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never" codeName="ThisWorkbook" defaultThemeVersion="166925"/>
  <mc:AlternateContent xmlns:mc="http://schemas.openxmlformats.org/markup-compatibility/2006">
    <mc:Choice Requires="x15">
      <x15ac:absPath xmlns:x15ac="http://schemas.microsoft.com/office/spreadsheetml/2010/11/ac" url="C:\Users\hardik.malhotra\Desktop\Desktop Data\Ammonium Nitrate\KRIBHCO Part- B\"/>
    </mc:Choice>
  </mc:AlternateContent>
  <xr:revisionPtr revIDLastSave="0" documentId="13_ncr:1_{D52728E9-90B0-45FD-AA06-23E073E075E0}" xr6:coauthVersionLast="47" xr6:coauthVersionMax="47" xr10:uidLastSave="{00000000-0000-0000-0000-000000000000}"/>
  <bookViews>
    <workbookView xWindow="-120" yWindow="-120" windowWidth="20730" windowHeight="11160" tabRatio="916" firstSheet="1" activeTab="9" xr2:uid="{00000000-000D-0000-FFFF-FFFF00000000}"/>
  </bookViews>
  <sheets>
    <sheet name="Raw Materials Requirement " sheetId="98" state="hidden" r:id="rId1"/>
    <sheet name="Basis" sheetId="102" r:id="rId2"/>
    <sheet name="Norms" sheetId="99" r:id="rId3"/>
    <sheet name="Capex" sheetId="16" r:id="rId4"/>
    <sheet name="Opex" sheetId="13" r:id="rId5"/>
    <sheet name="Cashflow " sheetId="39" r:id="rId6"/>
    <sheet name="IRR" sheetId="106" r:id="rId7"/>
    <sheet name="Reference Values" sheetId="101" state="hidden" r:id="rId8"/>
    <sheet name="Interest Cal." sheetId="103" state="hidden" r:id="rId9"/>
    <sheet name="Bal sheet" sheetId="105" r:id="rId10"/>
    <sheet name="Depreciation" sheetId="104" r:id="rId11"/>
    <sheet name="Profitability" sheetId="56" state="hidden" r:id="rId12"/>
    <sheet name=" Breakeven Point" sheetId="57" state="hidden" r:id="rId13"/>
    <sheet name="DSCR" sheetId="58" state="hidden" r:id="rId14"/>
  </sheets>
  <externalReferences>
    <externalReference r:id="rId15"/>
    <externalReference r:id="rId16"/>
    <externalReference r:id="rId17"/>
    <externalReference r:id="rId18"/>
    <externalReference r:id="rId19"/>
  </externalReferences>
  <definedNames>
    <definedName name="_Order1" hidden="1">255</definedName>
    <definedName name="anscount" hidden="1">3</definedName>
    <definedName name="ColumnAttributes1">#REF!</definedName>
    <definedName name="ColumnHeadings1">#REF!</definedName>
    <definedName name="cracker">#REF!</definedName>
    <definedName name="crackertblock">#REF!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2">#REF!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Excel_BuiltIn__FilterDatabase_2">#REF!</definedName>
    <definedName name="financialcalcs">#REF!</definedName>
    <definedName name="leverage">#REF!</definedName>
    <definedName name="limcount" hidden="1">2</definedName>
    <definedName name="MOD_prices">'[1]Pricing - Current'!$3:$74</definedName>
    <definedName name="PortionInDeal">#REF!</definedName>
    <definedName name="Price_chart">#REF!</definedName>
    <definedName name="Prices_cmai">#REF!</definedName>
    <definedName name="_xlnm.Print_Area" localSheetId="12">' Breakeven Point'!$A$1:$B$11</definedName>
    <definedName name="_xlnm.Print_Area" localSheetId="13">DSCR!$A$1:$J$17</definedName>
    <definedName name="_xlnm.Print_Area" localSheetId="6">IRR!$A$2:$R$39</definedName>
    <definedName name="_xlnm.Print_Area" localSheetId="11">Profitability!$A$1:$K$13</definedName>
    <definedName name="product">#REF!</definedName>
    <definedName name="Product2">#REF!</definedName>
    <definedName name="product25">#REF!</definedName>
    <definedName name="quantity">[2]Terms!$C$1</definedName>
    <definedName name="rate">#REF!</definedName>
    <definedName name="ReportTitle1">#REF!</definedName>
    <definedName name="RowDetails1">#REF!</definedName>
    <definedName name="sencount" hidden="1">2</definedName>
    <definedName name="Site">#REF!</definedName>
    <definedName name="Table">#REF!</definedName>
    <definedName name="Term">#REF!</definedName>
    <definedName name="TermDiscperiods">#REF!</definedName>
    <definedName name="TEST1">#REF!</definedName>
    <definedName name="TEST2">#REF!</definedName>
    <definedName name="TEST3">#REF!</definedName>
    <definedName name="TESTHKEY">#REF!</definedName>
    <definedName name="TESTKEYS">#REF!</definedName>
    <definedName name="TESTVKEY">#REF!</definedName>
    <definedName name="UNI_AA_VERSION" hidden="1">"322.3.0"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MSTIME" hidden="1">8192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TAG" hidden="1">1</definedName>
    <definedName name="UNI_RET_TIME" hidden="1">8</definedName>
    <definedName name="UNI_RET_UNIT" hidden="1">2</definedName>
    <definedName name="UNI_RET_VALUE" hidden="1">16</definedName>
    <definedName name="UNIFORMANCES1R103C7" hidden="1">[3]Source!$G$103</definedName>
    <definedName name="UNIFORMANCES1R107C7" hidden="1">[3]Source!$G$107</definedName>
    <definedName name="UNIFORMANCES1R110C7" hidden="1">[3]Source!$G$110</definedName>
    <definedName name="UNIFORMANCES1R114C7" hidden="1">[3]Source!$G$114</definedName>
    <definedName name="UNIFORMANCES1R118C7" hidden="1">[3]Source!$G$118</definedName>
    <definedName name="UNIFORMANCES1R121C7" hidden="1">[3]Source!$G$121</definedName>
    <definedName name="UNIFORMANCES1R127C7" hidden="1">[3]Source!$G$127</definedName>
    <definedName name="UNIFORMANCES1R130C7" hidden="1">[3]Source!$G$130</definedName>
    <definedName name="UNIFORMANCES1R134C7" hidden="1">[3]Source!$G$134</definedName>
    <definedName name="UNIFORMANCES1R138C7" hidden="1">[3]Source!$G$138</definedName>
    <definedName name="UNIFORMANCES1R141C7" hidden="1">[3]Source!$G$141</definedName>
    <definedName name="UNIFORMANCES1R145C7" hidden="1">[3]Source!$G$145</definedName>
    <definedName name="UNIFORMANCES1R149C7" hidden="1">[3]Source!$G$149</definedName>
    <definedName name="UNIFORMANCES1R152C7" hidden="1">[3]Source!$G$152</definedName>
    <definedName name="UNIFORMANCES1R156C7" hidden="1">[3]Source!$G$156</definedName>
    <definedName name="UNIFORMANCES1R15C7" hidden="1">[3]Source!$G$15</definedName>
    <definedName name="UNIFORMANCES1R163C7" hidden="1">[3]Source!$G$163</definedName>
    <definedName name="UNIFORMANCES1R167C7" hidden="1">[3]Source!$G$167</definedName>
    <definedName name="UNIFORMANCES1R171C7" hidden="1">[3]Source!$G$171</definedName>
    <definedName name="UNIFORMANCES1R175C7" hidden="1">[3]Source!$G$175</definedName>
    <definedName name="UNIFORMANCES1R179C7" hidden="1">[3]Source!$G$179</definedName>
    <definedName name="UNIFORMANCES1R186C7" hidden="1">[3]Source!$G$186</definedName>
    <definedName name="UNIFORMANCES1R18C7" hidden="1">[3]Source!$G$18</definedName>
    <definedName name="UNIFORMANCES1R190C7" hidden="1">[3]Source!$G$190</definedName>
    <definedName name="UNIFORMANCES1R193C7" hidden="1">[3]Source!$G$193</definedName>
    <definedName name="UNIFORMANCES1R197C7" hidden="1">[3]Source!$G$197</definedName>
    <definedName name="UNIFORMANCES1R19C7" hidden="1">[3]Source!$G$19</definedName>
    <definedName name="UNIFORMANCES1R203C7" hidden="1">[3]Source!$G$203</definedName>
    <definedName name="UNIFORMANCES1R207C7" hidden="1">[3]Source!$G$207</definedName>
    <definedName name="UNIFORMANCES1R210C7" hidden="1">[3]Source!$G$210</definedName>
    <definedName name="UNIFORMANCES1R211C7" hidden="1">[3]Source!$G$211</definedName>
    <definedName name="UNIFORMANCES1R214C7" hidden="1">[3]Source!$G$214</definedName>
    <definedName name="UNIFORMANCES1R218C7" hidden="1">[3]Source!$G$218</definedName>
    <definedName name="UNIFORMANCES1R219C7" hidden="1">[3]Source!$G$219</definedName>
    <definedName name="UNIFORMANCES1R221C7" hidden="1">[3]Source!$G$221</definedName>
    <definedName name="UNIFORMANCES1R222C7" hidden="1">[3]Source!$G$222</definedName>
    <definedName name="UNIFORMANCES1R225C7" hidden="1">[3]Source!$G$225</definedName>
    <definedName name="UNIFORMANCES1R229C7" hidden="1">[3]Source!$G$229</definedName>
    <definedName name="UNIFORMANCES1R230C7" hidden="1">[3]Source!$G$230</definedName>
    <definedName name="UNIFORMANCES1R235C7" hidden="1">[3]Source!$G$235</definedName>
    <definedName name="UNIFORMANCES1R23C7" hidden="1">[3]Source!$G$23</definedName>
    <definedName name="UNIFORMANCES1R240C7" hidden="1">[3]Source!$G$240</definedName>
    <definedName name="UNIFORMANCES1R243C7" hidden="1">[3]Source!$G$243</definedName>
    <definedName name="UNIFORMANCES1R247C7" hidden="1">[3]Source!$G$247</definedName>
    <definedName name="UNIFORMANCES1R248C7" hidden="1">[3]Source!$G$248</definedName>
    <definedName name="UNIFORMANCES1R25C7" hidden="1">[3]Source!$G$25</definedName>
    <definedName name="UNIFORMANCES1R26C7" hidden="1">[3]Source!$G$26</definedName>
    <definedName name="UNIFORMANCES1R29C7" hidden="1">[3]Source!$G$29</definedName>
    <definedName name="UNIFORMANCES1R33C7" hidden="1">[3]Source!$G$33</definedName>
    <definedName name="UNIFORMANCES1R37C7" hidden="1">[3]Source!$G$37</definedName>
    <definedName name="UNIFORMANCES1R38C7" hidden="1">[3]Source!$G$38</definedName>
    <definedName name="UNIFORMANCES1R41C7" hidden="1">[3]Source!$G$41</definedName>
    <definedName name="UNIFORMANCES1R43C7" hidden="1">[3]Source!$G$43</definedName>
    <definedName name="UNIFORMANCES1R46C7" hidden="1">[3]Source!$G$46</definedName>
    <definedName name="UNIFORMANCES1R50C7" hidden="1">[3]Source!$G$50</definedName>
    <definedName name="UNIFORMANCES1R51C7" hidden="1">[3]Source!$G$51</definedName>
    <definedName name="UNIFORMANCES1R53C7" hidden="1">[3]Source!$G$53</definedName>
    <definedName name="UNIFORMANCES1R54C7" hidden="1">[3]Source!$G$54</definedName>
    <definedName name="UNIFORMANCES1R59C7" hidden="1">[3]Source!$G$59</definedName>
    <definedName name="UNIFORMANCES1R5C7" hidden="1">[3]Source!$G$5</definedName>
    <definedName name="UNIFORMANCES1R60C7" hidden="1">[3]Source!$G$60</definedName>
    <definedName name="UNIFORMANCES1R62C7" hidden="1">[3]Source!$G$62</definedName>
    <definedName name="UNIFORMANCES1R63C7" hidden="1">[3]Source!$G$63</definedName>
    <definedName name="UNIFORMANCES1R66C7" hidden="1">[3]Source!$G$66</definedName>
    <definedName name="UNIFORMANCES1R67C7" hidden="1">[3]Source!$G$67</definedName>
    <definedName name="UNIFORMANCES1R68C7" hidden="1">[3]Source!$G$68</definedName>
    <definedName name="UNIFORMANCES1R70C7" hidden="1">[3]Source!$G$70</definedName>
    <definedName name="UNIFORMANCES1R71C7" hidden="1">[3]Source!$G$71</definedName>
    <definedName name="UNIFORMANCES1R74C7" hidden="1">[3]Source!$G$74</definedName>
    <definedName name="UNIFORMANCES1R75C7" hidden="1">[3]Source!$G$75</definedName>
    <definedName name="UNIFORMANCES1R76C7" hidden="1">[3]Source!$G$76</definedName>
    <definedName name="UNIFORMANCES1R78C7" hidden="1">[3]Source!$G$78</definedName>
    <definedName name="UNIFORMANCES1R79C7" hidden="1">[3]Source!$G$79</definedName>
    <definedName name="UNIFORMANCES1R81C7" hidden="1">[3]Source!$G$81</definedName>
    <definedName name="UNIFORMANCES1R82C7" hidden="1">[3]Source!$G$82</definedName>
    <definedName name="UNIFORMANCES1R83C7" hidden="1">[3]Source!$G$83</definedName>
    <definedName name="UNIFORMANCES1R85C7" hidden="1">[3]Source!$G$85</definedName>
    <definedName name="UNIFORMANCES1R86C7" hidden="1">[3]Source!$G$86</definedName>
    <definedName name="UNIFORMANCES1R87C7" hidden="1">[3]Source!$G$87</definedName>
    <definedName name="UNIFORMANCES1R89C7" hidden="1">[3]Source!$G$89</definedName>
    <definedName name="UNIFORMANCES1R90C7" hidden="1">[3]Source!$G$90</definedName>
    <definedName name="UNIFORMANCES1R93C7" hidden="1">[3]Source!$G$93</definedName>
    <definedName name="UNIFORMANCES1R94C7" hidden="1">[3]Source!$G$94</definedName>
    <definedName name="UNIFORMANCES1R97C7" hidden="1">[3]Source!$G$97</definedName>
    <definedName name="UNIFORMANCES1R98C7" hidden="1">[3]Source!$G$98</definedName>
    <definedName name="UNIFORMANCES1R99C7" hidden="1">[3]Source!$G$99</definedName>
    <definedName name="UNIFORMANCES2R100C6" hidden="1">[4]Sheet2!$F$100</definedName>
    <definedName name="UNIFORMANCES2R101C6" hidden="1">[4]Sheet2!$F$101</definedName>
    <definedName name="UNIFORMANCES2R102C6" hidden="1">[4]Sheet2!$F$102</definedName>
    <definedName name="UNIFORMANCES2R103C6" hidden="1">[4]Sheet2!$F$103</definedName>
    <definedName name="UNIFORMANCES2R104C6" hidden="1">[4]Sheet2!$F$104</definedName>
    <definedName name="UNIFORMANCES2R105C6" hidden="1">[4]Sheet2!$F$105</definedName>
    <definedName name="UNIFORMANCES2R106C6" hidden="1">[4]Sheet2!$F$106</definedName>
    <definedName name="UNIFORMANCES2R107C6" hidden="1">[4]Sheet2!$F$107</definedName>
    <definedName name="UNIFORMANCES2R108C6" hidden="1">[4]Sheet2!$F$108</definedName>
    <definedName name="UNIFORMANCES2R109C6" hidden="1">[4]Sheet2!$F$109</definedName>
    <definedName name="UNIFORMANCES2R10C6" hidden="1">[4]Sheet2!$F$10</definedName>
    <definedName name="UNIFORMANCES2R110C6" hidden="1">[4]Sheet2!$F$110</definedName>
    <definedName name="UNIFORMANCES2R111C6" hidden="1">[4]Sheet2!$F$111</definedName>
    <definedName name="UNIFORMANCES2R112C6" hidden="1">[4]Sheet2!$F$112</definedName>
    <definedName name="UNIFORMANCES2R113C6" hidden="1">[4]Sheet2!$F$113</definedName>
    <definedName name="UNIFORMANCES2R114C6" hidden="1">[4]Sheet2!$F$114</definedName>
    <definedName name="UNIFORMANCES2R115C6" hidden="1">[4]Sheet2!$F$115</definedName>
    <definedName name="UNIFORMANCES2R116C6" hidden="1">[4]Sheet2!$F$116</definedName>
    <definedName name="UNIFORMANCES2R117C6" hidden="1">[4]Sheet2!$F$117</definedName>
    <definedName name="UNIFORMANCES2R118C6" hidden="1">[4]Sheet2!$F$118</definedName>
    <definedName name="UNIFORMANCES2R119C6" hidden="1">[4]Sheet2!$F$119</definedName>
    <definedName name="UNIFORMANCES2R11C6" hidden="1">[4]Sheet2!$F$11</definedName>
    <definedName name="UNIFORMANCES2R120C6" hidden="1">[4]Sheet2!$F$120</definedName>
    <definedName name="UNIFORMANCES2R121C6" hidden="1">[4]Sheet2!$F$121</definedName>
    <definedName name="UNIFORMANCES2R122C6" hidden="1">[4]Sheet2!$F$122</definedName>
    <definedName name="UNIFORMANCES2R123C6" hidden="1">[4]Sheet2!$F$123</definedName>
    <definedName name="UNIFORMANCES2R124C6" hidden="1">[4]Sheet2!$F$124</definedName>
    <definedName name="UNIFORMANCES2R125C6" hidden="1">[4]Sheet2!$F$125</definedName>
    <definedName name="UNIFORMANCES2R126C6" hidden="1">[4]Sheet2!$F$126</definedName>
    <definedName name="UNIFORMANCES2R128C6" hidden="1">[4]Sheet2!$F$128</definedName>
    <definedName name="UNIFORMANCES2R129C6" hidden="1">[4]Sheet2!$F$129</definedName>
    <definedName name="UNIFORMANCES2R12C6" hidden="1">[4]Sheet2!$F$12</definedName>
    <definedName name="UNIFORMANCES2R130C6" hidden="1">[4]Sheet2!$F$130</definedName>
    <definedName name="UNIFORMANCES2R131C6" hidden="1">[4]Sheet2!$F$131</definedName>
    <definedName name="UNIFORMANCES2R132C6" hidden="1">[4]Sheet2!$F$132</definedName>
    <definedName name="UNIFORMANCES2R133C6" hidden="1">[4]Sheet2!$F$133</definedName>
    <definedName name="UNIFORMANCES2R134C6" hidden="1">[4]Sheet2!$F$134</definedName>
    <definedName name="UNIFORMANCES2R135C6" hidden="1">[4]Sheet2!$F$135</definedName>
    <definedName name="UNIFORMANCES2R136C6" hidden="1">[4]Sheet2!$F$136</definedName>
    <definedName name="UNIFORMANCES2R137C6" hidden="1">[4]Sheet2!$F$137</definedName>
    <definedName name="UNIFORMANCES2R138C6" hidden="1">[4]Sheet2!$F$138</definedName>
    <definedName name="UNIFORMANCES2R139C6" hidden="1">[4]Sheet2!$F$139</definedName>
    <definedName name="UNIFORMANCES2R13C6" hidden="1">[4]Sheet2!$F$13</definedName>
    <definedName name="UNIFORMANCES2R140C6" hidden="1">[4]Sheet2!$F$140</definedName>
    <definedName name="UNIFORMANCES2R141C6" hidden="1">[4]Sheet2!$F$141</definedName>
    <definedName name="UNIFORMANCES2R142C6" hidden="1">[4]Sheet2!$F$142</definedName>
    <definedName name="UNIFORMANCES2R143C6" hidden="1">[4]Sheet2!$F$143</definedName>
    <definedName name="UNIFORMANCES2R144C6" hidden="1">[4]Sheet2!$F$144</definedName>
    <definedName name="UNIFORMANCES2R145C6" hidden="1">[4]Sheet2!$F$145</definedName>
    <definedName name="UNIFORMANCES2R146C6" hidden="1">[4]Sheet2!$F$146</definedName>
    <definedName name="UNIFORMANCES2R147C6" hidden="1">[4]Sheet2!$F$147</definedName>
    <definedName name="UNIFORMANCES2R148C6" hidden="1">[4]Sheet2!$F$148</definedName>
    <definedName name="UNIFORMANCES2R149C6" hidden="1">[4]Sheet2!$F$149</definedName>
    <definedName name="UNIFORMANCES2R14C6" hidden="1">[4]Sheet2!$F$14</definedName>
    <definedName name="UNIFORMANCES2R150C6" hidden="1">[4]Sheet2!$F$150</definedName>
    <definedName name="UNIFORMANCES2R151C6" hidden="1">[4]Sheet2!$F$151</definedName>
    <definedName name="UNIFORMANCES2R152C6" hidden="1">[4]Sheet2!$F$152</definedName>
    <definedName name="UNIFORMANCES2R153C6" hidden="1">[4]Sheet2!$F$153</definedName>
    <definedName name="UNIFORMANCES2R154C6" hidden="1">[4]Sheet2!$F$154</definedName>
    <definedName name="UNIFORMANCES2R155C6" hidden="1">[4]Sheet2!$F$155</definedName>
    <definedName name="UNIFORMANCES2R156C6" hidden="1">[4]Sheet2!$F$156</definedName>
    <definedName name="UNIFORMANCES2R157C6" hidden="1">[4]Sheet2!$F$157</definedName>
    <definedName name="UNIFORMANCES2R158C6" hidden="1">[4]Sheet2!$F$158</definedName>
    <definedName name="UNIFORMANCES2R159C6" hidden="1">[4]Sheet2!$F$159</definedName>
    <definedName name="UNIFORMANCES2R160C6" hidden="1">[4]Sheet2!$F$160</definedName>
    <definedName name="UNIFORMANCES2R161C6" hidden="1">[4]Sheet2!$F$161</definedName>
    <definedName name="UNIFORMANCES2R16C6" hidden="1">[4]Sheet2!$F$16</definedName>
    <definedName name="UNIFORMANCES2R17C6" hidden="1">[4]Sheet2!$F$17</definedName>
    <definedName name="UNIFORMANCES2R184C6" hidden="1">[4]Sheet2!$F$184</definedName>
    <definedName name="UNIFORMANCES2R185C6" hidden="1">[4]Sheet2!$F$185</definedName>
    <definedName name="UNIFORMANCES2R186C6" hidden="1">[4]Sheet2!$F$186</definedName>
    <definedName name="UNIFORMANCES2R187C6" hidden="1">[4]Sheet2!$F$187</definedName>
    <definedName name="UNIFORMANCES2R18C6" hidden="1">[4]Sheet2!$F$18</definedName>
    <definedName name="UNIFORMANCES2R191C6" hidden="1">[4]Sheet2!$F$191</definedName>
    <definedName name="UNIFORMANCES2R192C6" hidden="1">[4]Sheet2!$F$192</definedName>
    <definedName name="UNIFORMANCES2R193C6" hidden="1">[4]Sheet2!$F$193</definedName>
    <definedName name="UNIFORMANCES2R194C6" hidden="1">[4]Sheet2!$F$194</definedName>
    <definedName name="UNIFORMANCES2R195C6" hidden="1">[4]Sheet2!$F$195</definedName>
    <definedName name="UNIFORMANCES2R196C6" hidden="1">[4]Sheet2!$F$196</definedName>
    <definedName name="UNIFORMANCES2R197C6" hidden="1">[4]Sheet2!$F$197</definedName>
    <definedName name="UNIFORMANCES2R198C6" hidden="1">[4]Sheet2!$F$198</definedName>
    <definedName name="UNIFORMANCES2R199C6" hidden="1">[4]Sheet2!$F$199</definedName>
    <definedName name="UNIFORMANCES2R19C6" hidden="1">[4]Sheet2!$F$19</definedName>
    <definedName name="UNIFORMANCES2R200C6" hidden="1">[4]Sheet2!$F$200</definedName>
    <definedName name="UNIFORMANCES2R201C6" hidden="1">[4]Sheet2!$F$201</definedName>
    <definedName name="UNIFORMANCES2R202C6" hidden="1">[4]Sheet2!$F$202</definedName>
    <definedName name="UNIFORMANCES2R203C6" hidden="1">[4]Sheet2!$F$203</definedName>
    <definedName name="UNIFORMANCES2R204C6" hidden="1">[4]Sheet2!$F$204</definedName>
    <definedName name="UNIFORMANCES2R205C6" hidden="1">[4]Sheet2!$F$205</definedName>
    <definedName name="UNIFORMANCES2R206C6" hidden="1">[4]Sheet2!$F$206</definedName>
    <definedName name="UNIFORMANCES2R207C6" hidden="1">[4]Sheet2!$F$207</definedName>
    <definedName name="UNIFORMANCES2R208C6" hidden="1">[4]Sheet2!$F$208</definedName>
    <definedName name="UNIFORMANCES2R209C6" hidden="1">[4]Sheet2!$F$209</definedName>
    <definedName name="UNIFORMANCES2R20C6" hidden="1">[4]Sheet2!$F$20</definedName>
    <definedName name="UNIFORMANCES2R210C6" hidden="1">[4]Sheet2!$F$210</definedName>
    <definedName name="UNIFORMANCES2R211C6" hidden="1">[4]Sheet2!$F$211</definedName>
    <definedName name="UNIFORMANCES2R212C6" hidden="1">[4]Sheet2!$F$212</definedName>
    <definedName name="UNIFORMANCES2R213C6" hidden="1">[4]Sheet2!$F$213</definedName>
    <definedName name="UNIFORMANCES2R214C6" hidden="1">[4]Sheet2!$F$214</definedName>
    <definedName name="UNIFORMANCES2R215C6" hidden="1">[4]Sheet2!$F$215</definedName>
    <definedName name="UNIFORMANCES2R216C6" hidden="1">[4]Sheet2!$F$216</definedName>
    <definedName name="UNIFORMANCES2R217C6" hidden="1">[4]Sheet2!$F$217</definedName>
    <definedName name="UNIFORMANCES2R218C6" hidden="1">[4]Sheet2!$F$218</definedName>
    <definedName name="UNIFORMANCES2R219C6" hidden="1">[4]Sheet2!$F$219</definedName>
    <definedName name="UNIFORMANCES2R21C6" hidden="1">[4]Sheet2!$F$21</definedName>
    <definedName name="UNIFORMANCES2R220C6" hidden="1">[4]Sheet2!$F$220</definedName>
    <definedName name="UNIFORMANCES2R221C6" hidden="1">[4]Sheet2!$F$221</definedName>
    <definedName name="UNIFORMANCES2R222C6" hidden="1">[4]Sheet2!$F$222</definedName>
    <definedName name="UNIFORMANCES2R223C6" hidden="1">[4]Sheet2!$F$223</definedName>
    <definedName name="UNIFORMANCES2R224C6" hidden="1">[4]Sheet2!$F$224</definedName>
    <definedName name="UNIFORMANCES2R225C6" hidden="1">[4]Sheet2!$F$225</definedName>
    <definedName name="UNIFORMANCES2R227C6" hidden="1">[4]Sheet2!$F$227</definedName>
    <definedName name="UNIFORMANCES2R229C6" hidden="1">[4]Sheet2!$F$229</definedName>
    <definedName name="UNIFORMANCES2R22C6" hidden="1">[4]Sheet2!$F$22</definedName>
    <definedName name="UNIFORMANCES2R230C6" hidden="1">[4]Sheet2!$F$230</definedName>
    <definedName name="UNIFORMANCES2R231C6" hidden="1">[4]Sheet2!$F$231</definedName>
    <definedName name="UNIFORMANCES2R232C6" hidden="1">[4]Sheet2!$F$232</definedName>
    <definedName name="UNIFORMANCES2R233C6" hidden="1">[4]Sheet2!$F$233</definedName>
    <definedName name="UNIFORMANCES2R234C6" hidden="1">[4]Sheet2!$F$234</definedName>
    <definedName name="UNIFORMANCES2R235C6" hidden="1">[4]Sheet2!$F$235</definedName>
    <definedName name="UNIFORMANCES2R236C6" hidden="1">[4]Sheet2!$F$236</definedName>
    <definedName name="UNIFORMANCES2R237C6" hidden="1">[4]Sheet2!$F$237</definedName>
    <definedName name="UNIFORMANCES2R238C6" hidden="1">[4]Sheet2!$F$238</definedName>
    <definedName name="UNIFORMANCES2R239C6" hidden="1">[4]Sheet2!$F$239</definedName>
    <definedName name="UNIFORMANCES2R23C6" hidden="1">[4]Sheet2!$F$23</definedName>
    <definedName name="UNIFORMANCES2R240C6" hidden="1">[4]Sheet2!$F$240</definedName>
    <definedName name="UNIFORMANCES2R241C6" hidden="1">[4]Sheet2!$F$241</definedName>
    <definedName name="UNIFORMANCES2R242C6" hidden="1">[4]Sheet2!$F$242</definedName>
    <definedName name="UNIFORMANCES2R243C6" hidden="1">[4]Sheet2!$F$243</definedName>
    <definedName name="UNIFORMANCES2R24C6" hidden="1">[4]Sheet2!$F$24</definedName>
    <definedName name="UNIFORMANCES2R25C6" hidden="1">[4]Sheet2!$F$25</definedName>
    <definedName name="UNIFORMANCES2R26C6" hidden="1">[4]Sheet2!$F$26</definedName>
    <definedName name="UNIFORMANCES2R27C6" hidden="1">[4]Sheet2!$F$27</definedName>
    <definedName name="UNIFORMANCES2R28C6" hidden="1">[4]Sheet2!$F$28</definedName>
    <definedName name="UNIFORMANCES2R29C6" hidden="1">[4]Sheet2!$F$29</definedName>
    <definedName name="UNIFORMANCES2R30C6" hidden="1">[4]Sheet2!$F$30</definedName>
    <definedName name="UNIFORMANCES2R31C6" hidden="1">[4]Sheet2!$F$31</definedName>
    <definedName name="UNIFORMANCES2R32C6" hidden="1">[4]Sheet2!$F$32</definedName>
    <definedName name="UNIFORMANCES2R33C6" hidden="1">[4]Sheet2!$F$33</definedName>
    <definedName name="UNIFORMANCES2R34C6" hidden="1">[4]Sheet2!$F$34</definedName>
    <definedName name="UNIFORMANCES2R35C6" hidden="1">[4]Sheet2!$F$35</definedName>
    <definedName name="UNIFORMANCES2R36C6" hidden="1">[4]Sheet2!$F$36</definedName>
    <definedName name="UNIFORMANCES2R37C6" hidden="1">[4]Sheet2!$F$37</definedName>
    <definedName name="UNIFORMANCES2R38C6" hidden="1">[4]Sheet2!$F$38</definedName>
    <definedName name="UNIFORMANCES2R39C6" hidden="1">[4]Sheet2!$F$39</definedName>
    <definedName name="UNIFORMANCES2R40C6" hidden="1">[4]Sheet2!$F$40</definedName>
    <definedName name="UNIFORMANCES2R41C6" hidden="1">[4]Sheet2!$F$41</definedName>
    <definedName name="UNIFORMANCES2R42C6" hidden="1">[4]Sheet2!$F$42</definedName>
    <definedName name="UNIFORMANCES2R43C6" hidden="1">[4]Sheet2!$F$43</definedName>
    <definedName name="UNIFORMANCES2R44C6" hidden="1">[4]Sheet2!$F$44</definedName>
    <definedName name="UNIFORMANCES2R45C6" hidden="1">[4]Sheet2!$F$45</definedName>
    <definedName name="UNIFORMANCES2R46C6" hidden="1">[4]Sheet2!$F$46</definedName>
    <definedName name="UNIFORMANCES2R47C6" hidden="1">[4]Sheet2!$F$47</definedName>
    <definedName name="UNIFORMANCES2R48C6" hidden="1">[4]Sheet2!$F$48</definedName>
    <definedName name="UNIFORMANCES2R49C6" hidden="1">[4]Sheet2!$F$49</definedName>
    <definedName name="UNIFORMANCES2R4C6" hidden="1">[4]Sheet2!$F$4</definedName>
    <definedName name="UNIFORMANCES2R50C6" hidden="1">[4]Sheet2!$F$50</definedName>
    <definedName name="UNIFORMANCES2R51C6" hidden="1">[4]Sheet2!$F$51</definedName>
    <definedName name="UNIFORMANCES2R52C6" hidden="1">[4]Sheet2!$F$52</definedName>
    <definedName name="UNIFORMANCES2R53C6" hidden="1">[4]Sheet2!$F$53</definedName>
    <definedName name="UNIFORMANCES2R54C6" hidden="1">[4]Sheet2!$F$54</definedName>
    <definedName name="UNIFORMANCES2R55C6" hidden="1">[4]Sheet2!$F$55</definedName>
    <definedName name="UNIFORMANCES2R56C6" hidden="1">[4]Sheet2!$F$56</definedName>
    <definedName name="UNIFORMANCES2R57C6" hidden="1">[4]Sheet2!$F$57</definedName>
    <definedName name="UNIFORMANCES2R58C6" hidden="1">[4]Sheet2!$F$58</definedName>
    <definedName name="UNIFORMANCES2R59C6" hidden="1">[4]Sheet2!$F$59</definedName>
    <definedName name="UNIFORMANCES2R60C6" hidden="1">[4]Sheet2!$F$60</definedName>
    <definedName name="UNIFORMANCES2R61C6" hidden="1">[4]Sheet2!$F$61</definedName>
    <definedName name="UNIFORMANCES2R62C6" hidden="1">[4]Sheet2!$F$62</definedName>
    <definedName name="UNIFORMANCES2R63C6" hidden="1">[4]Sheet2!$F$63</definedName>
    <definedName name="UNIFORMANCES2R64C6" hidden="1">[4]Sheet2!$F$64</definedName>
    <definedName name="UNIFORMANCES2R65C6" hidden="1">[4]Sheet2!$F$65</definedName>
    <definedName name="UNIFORMANCES2R66C6" hidden="1">[4]Sheet2!$F$66</definedName>
    <definedName name="UNIFORMANCES2R67C6" hidden="1">[4]Sheet2!$F$67</definedName>
    <definedName name="UNIFORMANCES2R68C6" hidden="1">[4]Sheet2!$F$68</definedName>
    <definedName name="UNIFORMANCES2R69C6" hidden="1">[4]Sheet2!$F$69</definedName>
    <definedName name="UNIFORMANCES2R6C6" hidden="1">[4]Sheet2!$F$6</definedName>
    <definedName name="UNIFORMANCES2R70C6" hidden="1">[4]Sheet2!$F$70</definedName>
    <definedName name="UNIFORMANCES2R71C6" hidden="1">[4]Sheet2!$F$71</definedName>
    <definedName name="UNIFORMANCES2R72C6" hidden="1">[4]Sheet2!$F$72</definedName>
    <definedName name="UNIFORMANCES2R73C6" hidden="1">[4]Sheet2!$F$73</definedName>
    <definedName name="UNIFORMANCES2R74C6" hidden="1">[4]Sheet2!$F$74</definedName>
    <definedName name="UNIFORMANCES2R75C6" hidden="1">[4]Sheet2!$F$75</definedName>
    <definedName name="UNIFORMANCES2R76C6" hidden="1">[4]Sheet2!$F$76</definedName>
    <definedName name="UNIFORMANCES2R77C6" hidden="1">[4]Sheet2!$F$77</definedName>
    <definedName name="UNIFORMANCES2R78C6" hidden="1">[4]Sheet2!$F$78</definedName>
    <definedName name="UNIFORMANCES2R79C6" hidden="1">[4]Sheet2!$F$79</definedName>
    <definedName name="UNIFORMANCES2R80C6" hidden="1">[4]Sheet2!$F$80</definedName>
    <definedName name="UNIFORMANCES2R81C6" hidden="1">[4]Sheet2!$F$81</definedName>
    <definedName name="UNIFORMANCES2R82C6" hidden="1">[4]Sheet2!$F$82</definedName>
    <definedName name="UNIFORMANCES2R83C6" hidden="1">[4]Sheet2!$F$83</definedName>
    <definedName name="UNIFORMANCES2R84C6" hidden="1">[4]Sheet2!$F$84</definedName>
    <definedName name="UNIFORMANCES2R85C6" hidden="1">[4]Sheet2!$F$85</definedName>
    <definedName name="UNIFORMANCES2R86C6" hidden="1">[4]Sheet2!$F$86</definedName>
    <definedName name="UNIFORMANCES2R87C6" hidden="1">[4]Sheet2!$F$87</definedName>
    <definedName name="UNIFORMANCES2R88C6" hidden="1">[4]Sheet2!$F$88</definedName>
    <definedName name="UNIFORMANCES2R89C6" hidden="1">[4]Sheet2!$F$89</definedName>
    <definedName name="UNIFORMANCES2R8C6" hidden="1">[4]Sheet2!$F$8</definedName>
    <definedName name="UNIFORMANCES2R90C6" hidden="1">[4]Sheet2!$F$90</definedName>
    <definedName name="UNIFORMANCES2R91C6" hidden="1">[4]Sheet2!$F$91</definedName>
    <definedName name="UNIFORMANCES2R92C6" hidden="1">[4]Sheet2!$F$92</definedName>
    <definedName name="UNIFORMANCES2R93C6" hidden="1">[4]Sheet2!$F$93</definedName>
    <definedName name="UNIFORMANCES2R94C6" hidden="1">[4]Sheet2!$F$94</definedName>
    <definedName name="UNIFORMANCES2R95C6" hidden="1">[4]Sheet2!$F$95</definedName>
    <definedName name="UNIFORMANCES2R96C6" hidden="1">[4]Sheet2!$F$96</definedName>
    <definedName name="UNIFORMANCES2R97C6" hidden="1">[4]Sheet2!$F$97</definedName>
    <definedName name="UNIFORMANCES2R98C6" hidden="1">[4]Sheet2!$F$98</definedName>
    <definedName name="UNIFORMANCES2R99C6" hidden="1">[4]Sheet2!$F$99</definedName>
    <definedName name="UNIFORMANCES2R9C6" hidden="1">[4]Sheet2!$F$9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1" i="105" l="1"/>
  <c r="G41" i="105"/>
  <c r="H41" i="105"/>
  <c r="I41" i="105"/>
  <c r="J41" i="105"/>
  <c r="K41" i="105"/>
  <c r="L41" i="105"/>
  <c r="M41" i="105"/>
  <c r="N41" i="105"/>
  <c r="O41" i="105"/>
  <c r="P41" i="105"/>
  <c r="Q41" i="105"/>
  <c r="R41" i="105"/>
  <c r="S41" i="105"/>
  <c r="E41" i="105"/>
  <c r="F22" i="13"/>
  <c r="C18" i="13"/>
  <c r="C5" i="13"/>
  <c r="B59" i="39"/>
  <c r="F74" i="39" l="1"/>
  <c r="D25" i="106" s="1"/>
  <c r="D36" i="106"/>
  <c r="D53" i="99" l="1"/>
  <c r="D147" i="39"/>
  <c r="E147" i="39"/>
  <c r="C147" i="39"/>
  <c r="D65" i="39" l="1"/>
  <c r="C65" i="39"/>
  <c r="C10" i="104" l="1"/>
  <c r="C9" i="104"/>
  <c r="B29" i="16"/>
  <c r="B28" i="16"/>
  <c r="B27" i="16"/>
  <c r="B26" i="16"/>
  <c r="B25" i="16"/>
  <c r="B24" i="16"/>
  <c r="M130" i="39"/>
  <c r="L24" i="106" s="1"/>
  <c r="N130" i="39"/>
  <c r="M24" i="106" s="1"/>
  <c r="O130" i="39"/>
  <c r="N24" i="106" s="1"/>
  <c r="P130" i="39"/>
  <c r="O24" i="106" s="1"/>
  <c r="Q130" i="39"/>
  <c r="P24" i="106" s="1"/>
  <c r="R130" i="39"/>
  <c r="Q24" i="106" s="1"/>
  <c r="S130" i="39"/>
  <c r="R24" i="106" s="1"/>
  <c r="R102" i="39" l="1"/>
  <c r="Q102" i="39"/>
  <c r="P102" i="39"/>
  <c r="O102" i="39"/>
  <c r="N102" i="39"/>
  <c r="M102" i="39"/>
  <c r="T102" i="39"/>
  <c r="S102" i="39"/>
  <c r="T100" i="39"/>
  <c r="T98" i="39"/>
  <c r="T91" i="39"/>
  <c r="T85" i="39"/>
  <c r="G17" i="39"/>
  <c r="H17" i="39"/>
  <c r="I17" i="39"/>
  <c r="J17" i="39"/>
  <c r="K17" i="39"/>
  <c r="L17" i="39"/>
  <c r="M17" i="39"/>
  <c r="N17" i="39"/>
  <c r="O17" i="39"/>
  <c r="P17" i="39"/>
  <c r="Q17" i="39"/>
  <c r="R17" i="39"/>
  <c r="S17" i="39"/>
  <c r="T17" i="39"/>
  <c r="F17" i="39"/>
  <c r="F7" i="13"/>
  <c r="G7" i="13" s="1"/>
  <c r="H7" i="13" s="1"/>
  <c r="I7" i="13" s="1"/>
  <c r="J7" i="13" s="1"/>
  <c r="K7" i="13" s="1"/>
  <c r="L7" i="13" s="1"/>
  <c r="M7" i="13" s="1"/>
  <c r="N7" i="13" s="1"/>
  <c r="O7" i="13" s="1"/>
  <c r="P7" i="13" s="1"/>
  <c r="Q7" i="13" s="1"/>
  <c r="R7" i="13" s="1"/>
  <c r="S7" i="13" s="1"/>
  <c r="Q43" i="105"/>
  <c r="Q91" i="39" s="1"/>
  <c r="I43" i="105"/>
  <c r="I91" i="39" s="1"/>
  <c r="S43" i="105"/>
  <c r="S91" i="39" s="1"/>
  <c r="R43" i="105"/>
  <c r="R91" i="39" s="1"/>
  <c r="P43" i="105"/>
  <c r="P91" i="39" s="1"/>
  <c r="O43" i="105"/>
  <c r="O91" i="39" s="1"/>
  <c r="N43" i="105"/>
  <c r="N91" i="39" s="1"/>
  <c r="M43" i="105"/>
  <c r="M91" i="39" s="1"/>
  <c r="L43" i="105"/>
  <c r="L91" i="39" s="1"/>
  <c r="K43" i="105"/>
  <c r="K91" i="39" s="1"/>
  <c r="J43" i="105"/>
  <c r="J91" i="39" s="1"/>
  <c r="H43" i="105"/>
  <c r="H91" i="39" s="1"/>
  <c r="G43" i="105"/>
  <c r="G91" i="39" s="1"/>
  <c r="F43" i="105"/>
  <c r="F91" i="39" s="1"/>
  <c r="E43" i="105"/>
  <c r="E91" i="39" s="1"/>
  <c r="B48" i="16"/>
  <c r="S142" i="39" l="1"/>
  <c r="T142" i="39" l="1"/>
  <c r="B59" i="16" l="1"/>
  <c r="B60" i="16" s="1"/>
  <c r="B39" i="16"/>
  <c r="D39" i="16" s="1"/>
  <c r="D41" i="16" s="1"/>
  <c r="B46" i="16" s="1"/>
  <c r="H4" i="103"/>
  <c r="C11" i="104" l="1"/>
  <c r="D9" i="104" s="1"/>
  <c r="B63" i="16"/>
  <c r="B62" i="16"/>
  <c r="B61" i="16"/>
  <c r="B64" i="16" l="1"/>
  <c r="B47" i="16" s="1"/>
  <c r="B51" i="16" s="1"/>
  <c r="B53" i="16" s="1"/>
  <c r="D10" i="104"/>
  <c r="D11" i="104"/>
  <c r="M11" i="103" l="1"/>
  <c r="N11" i="103"/>
  <c r="O11" i="103"/>
  <c r="P11" i="103"/>
  <c r="Q11" i="103"/>
  <c r="R11" i="103"/>
  <c r="S11" i="103"/>
  <c r="B11" i="58" l="1"/>
  <c r="N12" i="13" l="1"/>
  <c r="K14" i="56" s="1"/>
  <c r="O12" i="13"/>
  <c r="P12" i="13"/>
  <c r="Q12" i="13"/>
  <c r="R12" i="13"/>
  <c r="S12" i="13"/>
  <c r="S11" i="39"/>
  <c r="T11" i="39"/>
  <c r="S12" i="39"/>
  <c r="T12" i="39"/>
  <c r="Q11" i="39"/>
  <c r="R11" i="39"/>
  <c r="Q12" i="39"/>
  <c r="R12" i="39"/>
  <c r="G12" i="39"/>
  <c r="H12" i="39"/>
  <c r="I12" i="39"/>
  <c r="J12" i="39"/>
  <c r="K12" i="39"/>
  <c r="L12" i="39"/>
  <c r="M12" i="39"/>
  <c r="N12" i="39"/>
  <c r="O12" i="39"/>
  <c r="P12" i="39"/>
  <c r="F12" i="39"/>
  <c r="G11" i="39"/>
  <c r="H11" i="39"/>
  <c r="I11" i="39"/>
  <c r="J11" i="39"/>
  <c r="K11" i="39"/>
  <c r="L11" i="39"/>
  <c r="M11" i="39"/>
  <c r="N11" i="39"/>
  <c r="O11" i="39"/>
  <c r="P11" i="39"/>
  <c r="F11" i="39"/>
  <c r="E8" i="13"/>
  <c r="E7" i="13"/>
  <c r="G31" i="99"/>
  <c r="B19" i="13"/>
  <c r="B18" i="13"/>
  <c r="B5" i="13"/>
  <c r="G15" i="99"/>
  <c r="E34" i="98"/>
  <c r="B34" i="98"/>
  <c r="B88" i="99"/>
  <c r="D48" i="99"/>
  <c r="D49" i="99"/>
  <c r="D50" i="99"/>
  <c r="D51" i="99"/>
  <c r="D52" i="99"/>
  <c r="D47" i="99"/>
  <c r="E43" i="99"/>
  <c r="E39" i="99"/>
  <c r="D43" i="99"/>
  <c r="F6" i="99"/>
  <c r="F5" i="99"/>
  <c r="F4" i="99"/>
  <c r="F3" i="99"/>
  <c r="D39" i="99"/>
  <c r="H22" i="98"/>
  <c r="F23" i="98"/>
  <c r="F27" i="98"/>
  <c r="G14" i="99"/>
  <c r="G27" i="99"/>
  <c r="G26" i="99"/>
  <c r="G24" i="99"/>
  <c r="G23" i="99"/>
  <c r="G21" i="99"/>
  <c r="G18" i="99"/>
  <c r="G16" i="99"/>
  <c r="F8" i="13" l="1"/>
  <c r="F18" i="39"/>
  <c r="L28" i="105"/>
  <c r="E28" i="105"/>
  <c r="H28" i="105"/>
  <c r="K28" i="105"/>
  <c r="M28" i="105"/>
  <c r="P28" i="105"/>
  <c r="Q28" i="105"/>
  <c r="N28" i="105"/>
  <c r="O28" i="105"/>
  <c r="F28" i="105"/>
  <c r="G28" i="105"/>
  <c r="T10" i="39"/>
  <c r="S28" i="105"/>
  <c r="S10" i="39"/>
  <c r="R28" i="105"/>
  <c r="J28" i="105"/>
  <c r="I28" i="105"/>
  <c r="R10" i="39"/>
  <c r="Q10" i="39"/>
  <c r="B17" i="56"/>
  <c r="B66" i="101"/>
  <c r="B67" i="101"/>
  <c r="B68" i="101"/>
  <c r="B69" i="101"/>
  <c r="B70" i="101"/>
  <c r="B65" i="101"/>
  <c r="D6" i="101"/>
  <c r="D5" i="101"/>
  <c r="D4" i="101"/>
  <c r="D3" i="101"/>
  <c r="C60" i="101"/>
  <c r="C61" i="101" s="1"/>
  <c r="C56" i="101"/>
  <c r="C57" i="101" s="1"/>
  <c r="B89" i="101"/>
  <c r="G33" i="99"/>
  <c r="G32" i="99"/>
  <c r="Q4" i="106" l="1"/>
  <c r="O4" i="106"/>
  <c r="R4" i="106"/>
  <c r="P4" i="106"/>
  <c r="G8" i="13"/>
  <c r="G18" i="39"/>
  <c r="Q176" i="39"/>
  <c r="R176" i="39"/>
  <c r="T176" i="39"/>
  <c r="S66" i="99"/>
  <c r="S176" i="39"/>
  <c r="R66" i="99"/>
  <c r="B71" i="101"/>
  <c r="H8" i="13" l="1"/>
  <c r="H18" i="39"/>
  <c r="N21" i="99"/>
  <c r="N17" i="99"/>
  <c r="N19" i="99"/>
  <c r="F21" i="13"/>
  <c r="G21" i="13" s="1"/>
  <c r="H21" i="13" s="1"/>
  <c r="I21" i="13" s="1"/>
  <c r="J21" i="13" s="1"/>
  <c r="K21" i="13" s="1"/>
  <c r="L21" i="13" s="1"/>
  <c r="M21" i="13" s="1"/>
  <c r="N21" i="13" s="1"/>
  <c r="O21" i="13" s="1"/>
  <c r="P21" i="13" s="1"/>
  <c r="Q21" i="13" s="1"/>
  <c r="R21" i="13" s="1"/>
  <c r="S21" i="13" s="1"/>
  <c r="B60" i="99"/>
  <c r="N22" i="99"/>
  <c r="N20" i="99"/>
  <c r="N18" i="99"/>
  <c r="N16" i="99"/>
  <c r="N15" i="99"/>
  <c r="C19" i="16"/>
  <c r="C18" i="16" s="1"/>
  <c r="I8" i="13" l="1"/>
  <c r="I18" i="39"/>
  <c r="G30" i="99"/>
  <c r="G22" i="99"/>
  <c r="W40" i="101"/>
  <c r="W41" i="101" s="1"/>
  <c r="P10" i="39"/>
  <c r="H10" i="39"/>
  <c r="V40" i="101"/>
  <c r="V41" i="101" s="1"/>
  <c r="O10" i="39"/>
  <c r="G10" i="39"/>
  <c r="U40" i="101"/>
  <c r="U41" i="101" s="1"/>
  <c r="T40" i="101"/>
  <c r="T41" i="101" s="1"/>
  <c r="N10" i="39"/>
  <c r="L10" i="39"/>
  <c r="K10" i="39"/>
  <c r="J10" i="39"/>
  <c r="F10" i="39"/>
  <c r="I10" i="39"/>
  <c r="C2" i="56"/>
  <c r="D2" i="56"/>
  <c r="E2" i="56"/>
  <c r="F2" i="56"/>
  <c r="G2" i="56"/>
  <c r="H2" i="56"/>
  <c r="I2" i="56"/>
  <c r="J2" i="56"/>
  <c r="K2" i="56"/>
  <c r="B2" i="56"/>
  <c r="I4" i="106" l="1"/>
  <c r="F4" i="106"/>
  <c r="N4" i="106"/>
  <c r="H4" i="106"/>
  <c r="L4" i="106"/>
  <c r="J4" i="106"/>
  <c r="G4" i="106"/>
  <c r="E4" i="106"/>
  <c r="D4" i="106"/>
  <c r="M4" i="106"/>
  <c r="J8" i="13"/>
  <c r="J18" i="39"/>
  <c r="M40" i="101"/>
  <c r="M41" i="101" s="1"/>
  <c r="M66" i="99"/>
  <c r="M67" i="99" s="1"/>
  <c r="H40" i="101"/>
  <c r="H41" i="101" s="1"/>
  <c r="H66" i="99"/>
  <c r="H67" i="99" s="1"/>
  <c r="I40" i="101"/>
  <c r="I41" i="101" s="1"/>
  <c r="I66" i="99"/>
  <c r="I67" i="99" s="1"/>
  <c r="F40" i="101"/>
  <c r="F41" i="101" s="1"/>
  <c r="F66" i="99"/>
  <c r="F67" i="99" s="1"/>
  <c r="Q40" i="101"/>
  <c r="Q41" i="101" s="1"/>
  <c r="Q66" i="99"/>
  <c r="Q67" i="99" s="1"/>
  <c r="N40" i="101"/>
  <c r="N41" i="101" s="1"/>
  <c r="N66" i="99"/>
  <c r="N67" i="99" s="1"/>
  <c r="J40" i="101"/>
  <c r="J41" i="101" s="1"/>
  <c r="J66" i="99"/>
  <c r="J67" i="99" s="1"/>
  <c r="K40" i="101"/>
  <c r="K41" i="101" s="1"/>
  <c r="K66" i="99"/>
  <c r="K67" i="99" s="1"/>
  <c r="G40" i="101"/>
  <c r="G41" i="101" s="1"/>
  <c r="G66" i="99"/>
  <c r="G67" i="99" s="1"/>
  <c r="S40" i="101"/>
  <c r="S41" i="101" s="1"/>
  <c r="S67" i="99"/>
  <c r="O40" i="101"/>
  <c r="O41" i="101" s="1"/>
  <c r="O66" i="99"/>
  <c r="O67" i="99" s="1"/>
  <c r="E40" i="101"/>
  <c r="E41" i="101" s="1"/>
  <c r="E66" i="99"/>
  <c r="E67" i="99" s="1"/>
  <c r="J5" i="56"/>
  <c r="M10" i="39"/>
  <c r="H5" i="56"/>
  <c r="B5" i="56"/>
  <c r="G5" i="56"/>
  <c r="C5" i="56"/>
  <c r="D5" i="56"/>
  <c r="F5" i="56"/>
  <c r="K5" i="56"/>
  <c r="E5" i="56"/>
  <c r="B20" i="56" s="1"/>
  <c r="C20" i="56" s="1"/>
  <c r="K4" i="106" l="1"/>
  <c r="K8" i="13"/>
  <c r="K18" i="39"/>
  <c r="L40" i="101"/>
  <c r="L41" i="101" s="1"/>
  <c r="L66" i="99"/>
  <c r="L67" i="99" s="1"/>
  <c r="P40" i="101"/>
  <c r="P41" i="101" s="1"/>
  <c r="P66" i="99"/>
  <c r="P67" i="99" s="1"/>
  <c r="R40" i="101"/>
  <c r="R41" i="101" s="1"/>
  <c r="R67" i="99"/>
  <c r="G22" i="98"/>
  <c r="I22" i="98" s="1"/>
  <c r="D22" i="98"/>
  <c r="F20" i="56"/>
  <c r="D20" i="56"/>
  <c r="I5" i="56"/>
  <c r="E18" i="13"/>
  <c r="E5" i="13"/>
  <c r="G10" i="98"/>
  <c r="L6" i="98"/>
  <c r="K6" i="98"/>
  <c r="L3" i="98"/>
  <c r="K3" i="98"/>
  <c r="H1" i="98"/>
  <c r="H6" i="98"/>
  <c r="I6" i="98"/>
  <c r="H7" i="98"/>
  <c r="I7" i="98"/>
  <c r="F14" i="98"/>
  <c r="F15" i="98"/>
  <c r="E16" i="98"/>
  <c r="F16" i="98"/>
  <c r="E18" i="98"/>
  <c r="L8" i="13" l="1"/>
  <c r="L18" i="39"/>
  <c r="I23" i="98"/>
  <c r="J22" i="98"/>
  <c r="E20" i="56"/>
  <c r="E4" i="13"/>
  <c r="M8" i="13" l="1"/>
  <c r="M18" i="39"/>
  <c r="E3" i="13"/>
  <c r="F28" i="39"/>
  <c r="N8" i="13" l="1"/>
  <c r="N18" i="39"/>
  <c r="F176" i="39"/>
  <c r="G28" i="39"/>
  <c r="H28" i="39" s="1"/>
  <c r="I28" i="39" s="1"/>
  <c r="J28" i="39" s="1"/>
  <c r="K28" i="39" s="1"/>
  <c r="L28" i="39" s="1"/>
  <c r="M28" i="39" s="1"/>
  <c r="N28" i="39" s="1"/>
  <c r="O28" i="39" s="1"/>
  <c r="P28" i="39" s="1"/>
  <c r="Q28" i="39" s="1"/>
  <c r="O8" i="13" l="1"/>
  <c r="O18" i="39"/>
  <c r="R28" i="39"/>
  <c r="S28" i="39" s="1"/>
  <c r="T28" i="39" s="1"/>
  <c r="G176" i="39"/>
  <c r="P8" i="13" l="1"/>
  <c r="P18" i="39"/>
  <c r="H176" i="39"/>
  <c r="F4" i="13"/>
  <c r="Q8" i="13" l="1"/>
  <c r="Q18" i="39"/>
  <c r="G4" i="13"/>
  <c r="I176" i="39"/>
  <c r="B3" i="57"/>
  <c r="R8" i="13" l="1"/>
  <c r="R18" i="39"/>
  <c r="B15" i="57"/>
  <c r="J176" i="39"/>
  <c r="H4" i="13"/>
  <c r="S8" i="13" l="1"/>
  <c r="T18" i="39" s="1"/>
  <c r="S18" i="39"/>
  <c r="D15" i="57"/>
  <c r="E15" i="57"/>
  <c r="F15" i="57"/>
  <c r="C15" i="57"/>
  <c r="K176" i="39"/>
  <c r="I4" i="13"/>
  <c r="L176" i="39" l="1"/>
  <c r="J4" i="13"/>
  <c r="M176" i="39" l="1"/>
  <c r="K4" i="13"/>
  <c r="N176" i="39" l="1"/>
  <c r="L4" i="13"/>
  <c r="B19" i="57" l="1"/>
  <c r="C19" i="57" s="1"/>
  <c r="D19" i="57" s="1"/>
  <c r="E19" i="57" s="1"/>
  <c r="F19" i="57" s="1"/>
  <c r="O176" i="39"/>
  <c r="P176" i="39"/>
  <c r="M4" i="13"/>
  <c r="N4" i="13" l="1"/>
  <c r="O4" i="13" l="1"/>
  <c r="P4" i="13" l="1"/>
  <c r="Q4" i="13" l="1"/>
  <c r="R4" i="13" l="1"/>
  <c r="S4" i="13" l="1"/>
  <c r="C17" i="16" l="1"/>
  <c r="E4" i="16"/>
  <c r="E3" i="16" l="1"/>
  <c r="E15" i="16" l="1"/>
  <c r="E11" i="13"/>
  <c r="B78" i="101" l="1"/>
  <c r="C60" i="99"/>
  <c r="B10" i="56"/>
  <c r="F11" i="13"/>
  <c r="E9" i="13"/>
  <c r="B77" i="101"/>
  <c r="B85" i="101" s="1"/>
  <c r="B76" i="101"/>
  <c r="E10" i="13" l="1"/>
  <c r="F20" i="39" s="1"/>
  <c r="E31" i="105" s="1"/>
  <c r="D31" i="105" s="1"/>
  <c r="F19" i="39"/>
  <c r="F9" i="13"/>
  <c r="C10" i="56"/>
  <c r="G11" i="13"/>
  <c r="B90" i="101"/>
  <c r="B91" i="101" s="1"/>
  <c r="B92" i="101" s="1"/>
  <c r="I88" i="101"/>
  <c r="D88" i="101"/>
  <c r="C88" i="101"/>
  <c r="H87" i="101"/>
  <c r="D87" i="101"/>
  <c r="F88" i="101"/>
  <c r="C87" i="101"/>
  <c r="G88" i="101"/>
  <c r="G87" i="101"/>
  <c r="I87" i="101"/>
  <c r="F87" i="101"/>
  <c r="C85" i="101"/>
  <c r="H88" i="101"/>
  <c r="E88" i="101"/>
  <c r="J88" i="101"/>
  <c r="E87" i="101"/>
  <c r="J87" i="101"/>
  <c r="B20" i="57"/>
  <c r="C20" i="57" s="1"/>
  <c r="D20" i="57" s="1"/>
  <c r="E20" i="57" s="1"/>
  <c r="F20" i="57" s="1"/>
  <c r="F10" i="13" l="1"/>
  <c r="G10" i="13" s="1"/>
  <c r="E6" i="13"/>
  <c r="G19" i="39"/>
  <c r="F6" i="13"/>
  <c r="G16" i="39" s="1"/>
  <c r="G9" i="13"/>
  <c r="D42" i="105"/>
  <c r="D43" i="105" s="1"/>
  <c r="D91" i="39" s="1"/>
  <c r="D32" i="105"/>
  <c r="D98" i="39" s="1"/>
  <c r="H11" i="13"/>
  <c r="D10" i="56"/>
  <c r="G89" i="101"/>
  <c r="I89" i="101"/>
  <c r="D89" i="101"/>
  <c r="C89" i="101"/>
  <c r="C90" i="101"/>
  <c r="C86" i="101"/>
  <c r="H89" i="101"/>
  <c r="F89" i="101"/>
  <c r="J89" i="101"/>
  <c r="E89" i="101"/>
  <c r="C8" i="56" l="1"/>
  <c r="E6" i="106"/>
  <c r="G20" i="39"/>
  <c r="F31" i="105" s="1"/>
  <c r="E13" i="13"/>
  <c r="C19" i="13" s="1"/>
  <c r="F16" i="39"/>
  <c r="H10" i="13"/>
  <c r="H20" i="39"/>
  <c r="G31" i="105" s="1"/>
  <c r="C31" i="105" s="1"/>
  <c r="H19" i="39"/>
  <c r="G6" i="13"/>
  <c r="H16" i="39" s="1"/>
  <c r="H9" i="13"/>
  <c r="D55" i="105"/>
  <c r="I11" i="13"/>
  <c r="E10" i="56"/>
  <c r="B9" i="57"/>
  <c r="B26" i="57" s="1"/>
  <c r="C26" i="57" s="1"/>
  <c r="C91" i="101"/>
  <c r="C92" i="101" s="1"/>
  <c r="D85" i="101"/>
  <c r="D8" i="56" l="1"/>
  <c r="F6" i="106"/>
  <c r="B8" i="56"/>
  <c r="D6" i="106"/>
  <c r="G12" i="99"/>
  <c r="E19" i="13"/>
  <c r="E17" i="13" s="1"/>
  <c r="I9" i="13"/>
  <c r="I19" i="39"/>
  <c r="H6" i="13"/>
  <c r="I16" i="39" s="1"/>
  <c r="C42" i="105"/>
  <c r="C43" i="105" s="1"/>
  <c r="C91" i="39" s="1"/>
  <c r="C32" i="105"/>
  <c r="C98" i="39" s="1"/>
  <c r="I10" i="13"/>
  <c r="I20" i="39"/>
  <c r="H31" i="105" s="1"/>
  <c r="B25" i="56"/>
  <c r="C25" i="56"/>
  <c r="J11" i="13"/>
  <c r="F10" i="56"/>
  <c r="D26" i="57"/>
  <c r="F26" i="57" s="1"/>
  <c r="E26" i="57"/>
  <c r="D90" i="101"/>
  <c r="D86" i="101"/>
  <c r="E8" i="56" l="1"/>
  <c r="B23" i="56" s="1"/>
  <c r="G6" i="106"/>
  <c r="B7" i="57"/>
  <c r="B24" i="57" s="1"/>
  <c r="F15" i="39"/>
  <c r="F17" i="13"/>
  <c r="E16" i="13"/>
  <c r="E22" i="13" s="1"/>
  <c r="J10" i="13"/>
  <c r="J20" i="39"/>
  <c r="I31" i="105" s="1"/>
  <c r="C55" i="105"/>
  <c r="J9" i="13"/>
  <c r="I6" i="13"/>
  <c r="J16" i="39" s="1"/>
  <c r="J19" i="39"/>
  <c r="K11" i="13"/>
  <c r="G10" i="56"/>
  <c r="E85" i="101"/>
  <c r="D91" i="101"/>
  <c r="D92" i="101" s="1"/>
  <c r="D23" i="56" l="1"/>
  <c r="F23" i="56"/>
  <c r="E23" i="56"/>
  <c r="C23" i="56"/>
  <c r="F8" i="56"/>
  <c r="H6" i="106"/>
  <c r="D5" i="106"/>
  <c r="D7" i="106" s="1"/>
  <c r="G17" i="13"/>
  <c r="G15" i="39"/>
  <c r="E30" i="105"/>
  <c r="B7" i="56"/>
  <c r="K9" i="13"/>
  <c r="J6" i="13"/>
  <c r="K16" i="39" s="1"/>
  <c r="K19" i="39"/>
  <c r="K10" i="13"/>
  <c r="K20" i="39"/>
  <c r="J31" i="105" s="1"/>
  <c r="L11" i="13"/>
  <c r="H10" i="56"/>
  <c r="C24" i="57"/>
  <c r="E86" i="101"/>
  <c r="E90" i="101"/>
  <c r="E5" i="106" l="1"/>
  <c r="E7" i="106" s="1"/>
  <c r="G8" i="56"/>
  <c r="I6" i="106"/>
  <c r="F30" i="105"/>
  <c r="C7" i="56"/>
  <c r="H15" i="39"/>
  <c r="H17" i="13"/>
  <c r="L9" i="13"/>
  <c r="K6" i="13"/>
  <c r="L16" i="39" s="1"/>
  <c r="L19" i="39"/>
  <c r="L10" i="13"/>
  <c r="L20" i="39"/>
  <c r="K31" i="105" s="1"/>
  <c r="D24" i="57"/>
  <c r="M11" i="13"/>
  <c r="I10" i="56"/>
  <c r="F85" i="101"/>
  <c r="E91" i="101"/>
  <c r="E92" i="101" s="1"/>
  <c r="B17" i="57"/>
  <c r="H8" i="56" l="1"/>
  <c r="J6" i="106"/>
  <c r="F5" i="106"/>
  <c r="F7" i="106" s="1"/>
  <c r="I15" i="39"/>
  <c r="I17" i="13"/>
  <c r="G30" i="105"/>
  <c r="D7" i="56"/>
  <c r="M10" i="13"/>
  <c r="M20" i="39"/>
  <c r="L31" i="105" s="1"/>
  <c r="M9" i="13"/>
  <c r="L6" i="13"/>
  <c r="M16" i="39" s="1"/>
  <c r="M19" i="39"/>
  <c r="E24" i="57"/>
  <c r="N11" i="13"/>
  <c r="J10" i="56"/>
  <c r="C17" i="57"/>
  <c r="F17" i="57"/>
  <c r="E17" i="57"/>
  <c r="F86" i="101"/>
  <c r="F90" i="101"/>
  <c r="I8" i="56" l="1"/>
  <c r="K6" i="106"/>
  <c r="G5" i="106"/>
  <c r="G7" i="106" s="1"/>
  <c r="J17" i="13"/>
  <c r="J15" i="39"/>
  <c r="E7" i="56"/>
  <c r="B4" i="57"/>
  <c r="B5" i="57" s="1"/>
  <c r="H30" i="105"/>
  <c r="N9" i="13"/>
  <c r="N19" i="39"/>
  <c r="M6" i="13"/>
  <c r="N16" i="39" s="1"/>
  <c r="N10" i="13"/>
  <c r="N20" i="39"/>
  <c r="M31" i="105" s="1"/>
  <c r="F24" i="57"/>
  <c r="O11" i="13"/>
  <c r="P11" i="13" s="1"/>
  <c r="Q11" i="13" s="1"/>
  <c r="R11" i="13" s="1"/>
  <c r="S11" i="13" s="1"/>
  <c r="K10" i="56"/>
  <c r="D17" i="57"/>
  <c r="F91" i="101"/>
  <c r="F92" i="101" s="1"/>
  <c r="G85" i="101"/>
  <c r="J8" i="56" l="1"/>
  <c r="L6" i="106"/>
  <c r="H5" i="106"/>
  <c r="H7" i="106" s="1"/>
  <c r="K15" i="39"/>
  <c r="K17" i="13"/>
  <c r="B22" i="56"/>
  <c r="C22" i="56"/>
  <c r="F22" i="56"/>
  <c r="I30" i="105"/>
  <c r="F7" i="56"/>
  <c r="O10" i="13"/>
  <c r="O20" i="39"/>
  <c r="N31" i="105" s="1"/>
  <c r="O9" i="13"/>
  <c r="O19" i="39"/>
  <c r="N6" i="13"/>
  <c r="O16" i="39" s="1"/>
  <c r="G86" i="101"/>
  <c r="G90" i="101"/>
  <c r="G92" i="101" s="1"/>
  <c r="K8" i="56" l="1"/>
  <c r="M6" i="106"/>
  <c r="I5" i="106"/>
  <c r="I7" i="106" s="1"/>
  <c r="E22" i="56"/>
  <c r="D22" i="56"/>
  <c r="B21" i="56"/>
  <c r="L17" i="13"/>
  <c r="L15" i="39"/>
  <c r="J30" i="105"/>
  <c r="G7" i="56"/>
  <c r="P9" i="13"/>
  <c r="P19" i="39"/>
  <c r="O6" i="13"/>
  <c r="P16" i="39" s="1"/>
  <c r="P10" i="13"/>
  <c r="P20" i="39"/>
  <c r="O31" i="105" s="1"/>
  <c r="G91" i="101"/>
  <c r="H85" i="101"/>
  <c r="J5" i="106" l="1"/>
  <c r="J7" i="106" s="1"/>
  <c r="N6" i="106"/>
  <c r="K30" i="105"/>
  <c r="H7" i="56"/>
  <c r="M17" i="13"/>
  <c r="M15" i="39"/>
  <c r="F21" i="56"/>
  <c r="B24" i="56"/>
  <c r="B26" i="56" s="1"/>
  <c r="B27" i="56" s="1"/>
  <c r="B28" i="56" s="1"/>
  <c r="Q10" i="13"/>
  <c r="Q20" i="39"/>
  <c r="P31" i="105" s="1"/>
  <c r="Q9" i="13"/>
  <c r="Q19" i="39"/>
  <c r="P6" i="13"/>
  <c r="Q16" i="39" s="1"/>
  <c r="H90" i="101"/>
  <c r="H92" i="101" s="1"/>
  <c r="H86" i="101"/>
  <c r="K5" i="106" l="1"/>
  <c r="K7" i="106" s="1"/>
  <c r="O6" i="106"/>
  <c r="L30" i="105"/>
  <c r="I7" i="56"/>
  <c r="N17" i="13"/>
  <c r="N15" i="39"/>
  <c r="R10" i="13"/>
  <c r="R20" i="39"/>
  <c r="Q31" i="105" s="1"/>
  <c r="R9" i="13"/>
  <c r="Q6" i="13"/>
  <c r="R16" i="39" s="1"/>
  <c r="R19" i="39"/>
  <c r="H91" i="101"/>
  <c r="I85" i="101"/>
  <c r="P6" i="106" l="1"/>
  <c r="L5" i="106"/>
  <c r="L7" i="106" s="1"/>
  <c r="M30" i="105"/>
  <c r="J7" i="56"/>
  <c r="O15" i="39"/>
  <c r="O17" i="13"/>
  <c r="S9" i="13"/>
  <c r="R6" i="13"/>
  <c r="S16" i="39" s="1"/>
  <c r="S19" i="39"/>
  <c r="S10" i="13"/>
  <c r="T20" i="39" s="1"/>
  <c r="S31" i="105" s="1"/>
  <c r="S20" i="39"/>
  <c r="R31" i="105" s="1"/>
  <c r="I90" i="101"/>
  <c r="I92" i="101" s="1"/>
  <c r="I86" i="101"/>
  <c r="Q6" i="106" l="1"/>
  <c r="M5" i="106"/>
  <c r="M7" i="106" s="1"/>
  <c r="P15" i="39"/>
  <c r="P17" i="13"/>
  <c r="N30" i="105"/>
  <c r="K7" i="56"/>
  <c r="S6" i="13"/>
  <c r="T16" i="39" s="1"/>
  <c r="T19" i="39"/>
  <c r="I91" i="101"/>
  <c r="J85" i="101"/>
  <c r="O30" i="105" l="1"/>
  <c r="N5" i="106"/>
  <c r="N7" i="106" s="1"/>
  <c r="R6" i="106"/>
  <c r="Q15" i="39"/>
  <c r="Q17" i="13"/>
  <c r="J90" i="101"/>
  <c r="J92" i="101" s="1"/>
  <c r="J86" i="101"/>
  <c r="J91" i="101" s="1"/>
  <c r="O5" i="106" l="1"/>
  <c r="O7" i="106" s="1"/>
  <c r="R15" i="39"/>
  <c r="R17" i="13"/>
  <c r="Q21" i="39"/>
  <c r="P30" i="105"/>
  <c r="P5" i="106" l="1"/>
  <c r="P7" i="106" s="1"/>
  <c r="Q72" i="39"/>
  <c r="Q23" i="39"/>
  <c r="P29" i="105"/>
  <c r="P32" i="105" s="1"/>
  <c r="Q71" i="39"/>
  <c r="Q177" i="39"/>
  <c r="Q178" i="39" s="1"/>
  <c r="R21" i="39"/>
  <c r="Q30" i="105"/>
  <c r="S15" i="39"/>
  <c r="S17" i="13"/>
  <c r="T15" i="39" s="1"/>
  <c r="F21" i="39"/>
  <c r="F72" i="39" s="1"/>
  <c r="F6" i="56"/>
  <c r="F9" i="56" s="1"/>
  <c r="F11" i="56" s="1"/>
  <c r="D6" i="56"/>
  <c r="D9" i="56" s="1"/>
  <c r="D11" i="56" s="1"/>
  <c r="G21" i="39"/>
  <c r="G72" i="39" s="1"/>
  <c r="W45" i="101"/>
  <c r="L21" i="39"/>
  <c r="L72" i="39" s="1"/>
  <c r="O21" i="39"/>
  <c r="O72" i="39" s="1"/>
  <c r="K21" i="39"/>
  <c r="K72" i="39" s="1"/>
  <c r="V45" i="101"/>
  <c r="J6" i="56"/>
  <c r="J9" i="56" s="1"/>
  <c r="J11" i="56" s="1"/>
  <c r="I6" i="56"/>
  <c r="I9" i="56" s="1"/>
  <c r="I11" i="56" s="1"/>
  <c r="P21" i="39"/>
  <c r="P72" i="39" s="1"/>
  <c r="T45" i="101"/>
  <c r="U45" i="101"/>
  <c r="Q81" i="39" l="1"/>
  <c r="P55" i="105"/>
  <c r="P98" i="39"/>
  <c r="Q5" i="106"/>
  <c r="Q7" i="106" s="1"/>
  <c r="R5" i="106"/>
  <c r="R7" i="106" s="1"/>
  <c r="R30" i="105"/>
  <c r="S21" i="39"/>
  <c r="R72" i="39"/>
  <c r="R177" i="39"/>
  <c r="R178" i="39" s="1"/>
  <c r="R23" i="39"/>
  <c r="Q29" i="105"/>
  <c r="Q32" i="105" s="1"/>
  <c r="R71" i="39"/>
  <c r="P87" i="39"/>
  <c r="Q24" i="39"/>
  <c r="Q25" i="39"/>
  <c r="Q26" i="39"/>
  <c r="S30" i="105"/>
  <c r="T21" i="39"/>
  <c r="J29" i="105"/>
  <c r="J32" i="105" s="1"/>
  <c r="K71" i="39"/>
  <c r="K29" i="105"/>
  <c r="K32" i="105" s="1"/>
  <c r="L71" i="39"/>
  <c r="O29" i="105"/>
  <c r="O32" i="105" s="1"/>
  <c r="P71" i="39"/>
  <c r="F29" i="105"/>
  <c r="F32" i="105" s="1"/>
  <c r="G71" i="39"/>
  <c r="N29" i="105"/>
  <c r="N32" i="105" s="1"/>
  <c r="O71" i="39"/>
  <c r="E29" i="105"/>
  <c r="E32" i="105" s="1"/>
  <c r="F71" i="39"/>
  <c r="J21" i="39"/>
  <c r="J72" i="39" s="1"/>
  <c r="F45" i="101"/>
  <c r="F50" i="101" s="1"/>
  <c r="F51" i="101" s="1"/>
  <c r="F71" i="99"/>
  <c r="R45" i="101"/>
  <c r="R46" i="101" s="1"/>
  <c r="J45" i="101"/>
  <c r="J50" i="101" s="1"/>
  <c r="J51" i="101" s="1"/>
  <c r="J71" i="99"/>
  <c r="Q45" i="101"/>
  <c r="Q50" i="101" s="1"/>
  <c r="Q51" i="101" s="1"/>
  <c r="Q71" i="99"/>
  <c r="S45" i="101"/>
  <c r="S46" i="101" s="1"/>
  <c r="N45" i="101"/>
  <c r="N50" i="101" s="1"/>
  <c r="N51" i="101" s="1"/>
  <c r="N71" i="99"/>
  <c r="O45" i="101"/>
  <c r="O50" i="101" s="1"/>
  <c r="O51" i="101" s="1"/>
  <c r="O71" i="99"/>
  <c r="K45" i="101"/>
  <c r="K46" i="101" s="1"/>
  <c r="K71" i="99"/>
  <c r="E45" i="101"/>
  <c r="E50" i="101" s="1"/>
  <c r="E51" i="101" s="1"/>
  <c r="E71" i="99"/>
  <c r="P45" i="101"/>
  <c r="P46" i="101" s="1"/>
  <c r="P71" i="99"/>
  <c r="K6" i="56"/>
  <c r="K9" i="56" s="1"/>
  <c r="K11" i="56" s="1"/>
  <c r="K12" i="56" s="1"/>
  <c r="K13" i="56" s="1"/>
  <c r="K15" i="56" s="1"/>
  <c r="G6" i="56"/>
  <c r="G9" i="56" s="1"/>
  <c r="G11" i="56" s="1"/>
  <c r="G12" i="56" s="1"/>
  <c r="G13" i="56" s="1"/>
  <c r="M21" i="39"/>
  <c r="M72" i="39" s="1"/>
  <c r="B6" i="56"/>
  <c r="B9" i="56" s="1"/>
  <c r="B11" i="56" s="1"/>
  <c r="B12" i="56" s="1"/>
  <c r="H6" i="56"/>
  <c r="H9" i="56" s="1"/>
  <c r="H11" i="56" s="1"/>
  <c r="H12" i="56" s="1"/>
  <c r="H13" i="56" s="1"/>
  <c r="J12" i="56"/>
  <c r="J13" i="56" s="1"/>
  <c r="F12" i="56"/>
  <c r="F13" i="56" s="1"/>
  <c r="I12" i="56"/>
  <c r="I13" i="56" s="1"/>
  <c r="D12" i="56"/>
  <c r="D13" i="56" s="1"/>
  <c r="P23" i="39"/>
  <c r="P25" i="39" s="1"/>
  <c r="P177" i="39"/>
  <c r="P178" i="39" s="1"/>
  <c r="T46" i="101"/>
  <c r="T50" i="101"/>
  <c r="T51" i="101" s="1"/>
  <c r="U46" i="101"/>
  <c r="U50" i="101"/>
  <c r="U51" i="101" s="1"/>
  <c r="V50" i="101"/>
  <c r="V51" i="101" s="1"/>
  <c r="V46" i="101"/>
  <c r="W50" i="101"/>
  <c r="W51" i="101" s="1"/>
  <c r="W46" i="101"/>
  <c r="C6" i="56"/>
  <c r="C9" i="56" s="1"/>
  <c r="C11" i="56" s="1"/>
  <c r="H21" i="39"/>
  <c r="I21" i="39"/>
  <c r="I72" i="39" s="1"/>
  <c r="N21" i="39"/>
  <c r="N72" i="39" s="1"/>
  <c r="L177" i="39"/>
  <c r="L178" i="39" s="1"/>
  <c r="L23" i="39"/>
  <c r="L25" i="39" s="1"/>
  <c r="O177" i="39"/>
  <c r="O178" i="39" s="1"/>
  <c r="O23" i="39"/>
  <c r="O25" i="39" s="1"/>
  <c r="K23" i="39"/>
  <c r="K25" i="39" s="1"/>
  <c r="K177" i="39"/>
  <c r="K178" i="39" s="1"/>
  <c r="G23" i="39"/>
  <c r="G25" i="39" s="1"/>
  <c r="G177" i="39"/>
  <c r="G178" i="39" s="1"/>
  <c r="F177" i="39"/>
  <c r="F178" i="39" s="1"/>
  <c r="F23" i="39"/>
  <c r="F25" i="39" s="1"/>
  <c r="R81" i="39" l="1"/>
  <c r="F55" i="105"/>
  <c r="F98" i="39"/>
  <c r="F97" i="39"/>
  <c r="F92" i="39"/>
  <c r="O55" i="105"/>
  <c r="O97" i="39"/>
  <c r="O92" i="39"/>
  <c r="O98" i="39"/>
  <c r="E55" i="105"/>
  <c r="E98" i="39"/>
  <c r="K55" i="105"/>
  <c r="K97" i="39"/>
  <c r="K92" i="39"/>
  <c r="K98" i="39"/>
  <c r="P92" i="39"/>
  <c r="P97" i="39"/>
  <c r="N55" i="105"/>
  <c r="N98" i="39"/>
  <c r="J55" i="105"/>
  <c r="J98" i="39"/>
  <c r="Q55" i="105"/>
  <c r="Q97" i="39"/>
  <c r="Q98" i="39"/>
  <c r="Q92" i="39"/>
  <c r="O12" i="106"/>
  <c r="E87" i="39"/>
  <c r="E94" i="39" s="1"/>
  <c r="F81" i="39"/>
  <c r="K87" i="39"/>
  <c r="L81" i="39"/>
  <c r="N87" i="39"/>
  <c r="O81" i="39"/>
  <c r="J87" i="39"/>
  <c r="K81" i="39"/>
  <c r="O87" i="39"/>
  <c r="P81" i="39"/>
  <c r="F87" i="39"/>
  <c r="F94" i="39" s="1"/>
  <c r="G81" i="39"/>
  <c r="Q87" i="39"/>
  <c r="T87" i="39"/>
  <c r="T94" i="39" s="1"/>
  <c r="T177" i="39"/>
  <c r="T178" i="39" s="1"/>
  <c r="T71" i="39"/>
  <c r="S71" i="99"/>
  <c r="S76" i="99" s="1"/>
  <c r="S77" i="99" s="1"/>
  <c r="S29" i="105"/>
  <c r="S32" i="105" s="1"/>
  <c r="T72" i="39"/>
  <c r="T23" i="39"/>
  <c r="R24" i="39"/>
  <c r="R25" i="39"/>
  <c r="R26" i="39"/>
  <c r="Q30" i="39"/>
  <c r="Q29" i="39"/>
  <c r="S72" i="39"/>
  <c r="S177" i="39"/>
  <c r="S178" i="39" s="1"/>
  <c r="R71" i="99"/>
  <c r="R72" i="99" s="1"/>
  <c r="S71" i="39"/>
  <c r="R29" i="105"/>
  <c r="R32" i="105" s="1"/>
  <c r="S23" i="39"/>
  <c r="H71" i="39"/>
  <c r="H72" i="39"/>
  <c r="M29" i="105"/>
  <c r="M32" i="105" s="1"/>
  <c r="N92" i="39" s="1"/>
  <c r="N71" i="39"/>
  <c r="H29" i="105"/>
  <c r="H32" i="105" s="1"/>
  <c r="I71" i="39"/>
  <c r="I29" i="105"/>
  <c r="I32" i="105" s="1"/>
  <c r="J97" i="39" s="1"/>
  <c r="J71" i="39"/>
  <c r="L29" i="105"/>
  <c r="L32" i="105" s="1"/>
  <c r="M71" i="39"/>
  <c r="J177" i="39"/>
  <c r="J178" i="39" s="1"/>
  <c r="G29" i="105"/>
  <c r="G32" i="105" s="1"/>
  <c r="E17" i="39"/>
  <c r="E20" i="39"/>
  <c r="E18" i="39"/>
  <c r="E19" i="39"/>
  <c r="R50" i="101"/>
  <c r="R51" i="101" s="1"/>
  <c r="I71" i="99"/>
  <c r="I76" i="99" s="1"/>
  <c r="I77" i="99" s="1"/>
  <c r="I45" i="101"/>
  <c r="I50" i="101" s="1"/>
  <c r="I51" i="101" s="1"/>
  <c r="J23" i="39"/>
  <c r="J25" i="39" s="1"/>
  <c r="F46" i="101"/>
  <c r="F5" i="58"/>
  <c r="G5" i="58"/>
  <c r="J5" i="58"/>
  <c r="H5" i="58"/>
  <c r="D5" i="58"/>
  <c r="I5" i="58"/>
  <c r="B13" i="56"/>
  <c r="B5" i="58" s="1"/>
  <c r="S50" i="101"/>
  <c r="S51" i="101" s="1"/>
  <c r="O46" i="101"/>
  <c r="J46" i="101"/>
  <c r="P50" i="101"/>
  <c r="P51" i="101" s="1"/>
  <c r="E46" i="101"/>
  <c r="N46" i="101"/>
  <c r="K50" i="101"/>
  <c r="K51" i="101" s="1"/>
  <c r="Q46" i="101"/>
  <c r="K76" i="99"/>
  <c r="K77" i="99" s="1"/>
  <c r="K72" i="99"/>
  <c r="Q76" i="99"/>
  <c r="Q77" i="99" s="1"/>
  <c r="Q72" i="99"/>
  <c r="L45" i="101"/>
  <c r="L46" i="101" s="1"/>
  <c r="L71" i="99"/>
  <c r="J76" i="99"/>
  <c r="J77" i="99" s="1"/>
  <c r="J72" i="99"/>
  <c r="M45" i="101"/>
  <c r="M50" i="101" s="1"/>
  <c r="M51" i="101" s="1"/>
  <c r="M71" i="99"/>
  <c r="P72" i="99"/>
  <c r="P76" i="99"/>
  <c r="P77" i="99" s="1"/>
  <c r="N72" i="99"/>
  <c r="N76" i="99"/>
  <c r="N77" i="99" s="1"/>
  <c r="O72" i="99"/>
  <c r="O76" i="99"/>
  <c r="O77" i="99" s="1"/>
  <c r="H45" i="101"/>
  <c r="H46" i="101" s="1"/>
  <c r="H71" i="99"/>
  <c r="G45" i="101"/>
  <c r="G46" i="101" s="1"/>
  <c r="G71" i="99"/>
  <c r="E72" i="99"/>
  <c r="E76" i="99"/>
  <c r="E77" i="99" s="1"/>
  <c r="F72" i="99"/>
  <c r="F76" i="99"/>
  <c r="F77" i="99" s="1"/>
  <c r="M23" i="39"/>
  <c r="M25" i="39" s="1"/>
  <c r="M177" i="39"/>
  <c r="M178" i="39" s="1"/>
  <c r="P24" i="39"/>
  <c r="P26" i="39"/>
  <c r="P30" i="39" s="1"/>
  <c r="E6" i="56"/>
  <c r="E9" i="56" s="1"/>
  <c r="E11" i="56" s="1"/>
  <c r="C21" i="56"/>
  <c r="C24" i="56" s="1"/>
  <c r="C26" i="56" s="1"/>
  <c r="D21" i="56"/>
  <c r="D24" i="56" s="1"/>
  <c r="E21" i="56"/>
  <c r="E24" i="56" s="1"/>
  <c r="C12" i="56"/>
  <c r="C13" i="56" s="1"/>
  <c r="B18" i="57"/>
  <c r="E16" i="39"/>
  <c r="N23" i="39"/>
  <c r="N25" i="39" s="1"/>
  <c r="I23" i="39"/>
  <c r="I25" i="39" s="1"/>
  <c r="I177" i="39"/>
  <c r="I178" i="39" s="1"/>
  <c r="H177" i="39"/>
  <c r="H178" i="39" s="1"/>
  <c r="E15" i="39"/>
  <c r="H23" i="39"/>
  <c r="N177" i="39"/>
  <c r="N178" i="39" s="1"/>
  <c r="F24" i="39"/>
  <c r="G26" i="39"/>
  <c r="G24" i="39"/>
  <c r="K26" i="39"/>
  <c r="K24" i="39"/>
  <c r="L24" i="39"/>
  <c r="L26" i="39"/>
  <c r="O24" i="39"/>
  <c r="O26" i="39"/>
  <c r="T81" i="39" l="1"/>
  <c r="S81" i="39"/>
  <c r="S72" i="99"/>
  <c r="Q94" i="39"/>
  <c r="M55" i="105"/>
  <c r="M98" i="39"/>
  <c r="M97" i="39"/>
  <c r="M92" i="39"/>
  <c r="S55" i="105"/>
  <c r="S97" i="39"/>
  <c r="T97" i="39"/>
  <c r="S92" i="39"/>
  <c r="S98" i="39"/>
  <c r="T92" i="39"/>
  <c r="P12" i="106"/>
  <c r="M12" i="106"/>
  <c r="J12" i="106"/>
  <c r="N12" i="106"/>
  <c r="H55" i="105"/>
  <c r="H97" i="39"/>
  <c r="H92" i="39"/>
  <c r="H98" i="39"/>
  <c r="R76" i="99"/>
  <c r="R77" i="99" s="1"/>
  <c r="J92" i="39"/>
  <c r="J94" i="39" s="1"/>
  <c r="C30" i="16"/>
  <c r="B30" i="16" s="1"/>
  <c r="D12" i="106"/>
  <c r="L55" i="105"/>
  <c r="L97" i="39"/>
  <c r="L92" i="39"/>
  <c r="L98" i="39"/>
  <c r="I55" i="105"/>
  <c r="I97" i="39"/>
  <c r="I92" i="39"/>
  <c r="I98" i="39"/>
  <c r="R55" i="105"/>
  <c r="R97" i="39"/>
  <c r="R92" i="39"/>
  <c r="R98" i="39"/>
  <c r="I12" i="106"/>
  <c r="G55" i="105"/>
  <c r="G97" i="39"/>
  <c r="G92" i="39"/>
  <c r="G98" i="39"/>
  <c r="N94" i="39"/>
  <c r="N97" i="39"/>
  <c r="E12" i="106"/>
  <c r="H87" i="39"/>
  <c r="H94" i="39" s="1"/>
  <c r="I81" i="39"/>
  <c r="L87" i="39"/>
  <c r="M81" i="39"/>
  <c r="M87" i="39"/>
  <c r="N81" i="39"/>
  <c r="I87" i="39"/>
  <c r="J81" i="39"/>
  <c r="G87" i="39"/>
  <c r="H81" i="39"/>
  <c r="J24" i="39"/>
  <c r="S24" i="39"/>
  <c r="S25" i="39"/>
  <c r="S26" i="39"/>
  <c r="S87" i="39"/>
  <c r="R30" i="39"/>
  <c r="R29" i="39"/>
  <c r="R87" i="39"/>
  <c r="T26" i="39"/>
  <c r="T24" i="39"/>
  <c r="T25" i="39"/>
  <c r="J26" i="39"/>
  <c r="J29" i="39" s="1"/>
  <c r="O94" i="39"/>
  <c r="P94" i="39"/>
  <c r="K94" i="39"/>
  <c r="I72" i="99"/>
  <c r="I46" i="101"/>
  <c r="C5" i="58"/>
  <c r="H50" i="101"/>
  <c r="H51" i="101" s="1"/>
  <c r="M46" i="101"/>
  <c r="G50" i="101"/>
  <c r="G51" i="101" s="1"/>
  <c r="G72" i="99"/>
  <c r="G76" i="99"/>
  <c r="G77" i="99" s="1"/>
  <c r="L72" i="99"/>
  <c r="L76" i="99"/>
  <c r="L77" i="99" s="1"/>
  <c r="L50" i="101"/>
  <c r="L51" i="101" s="1"/>
  <c r="M72" i="99"/>
  <c r="M76" i="99"/>
  <c r="M77" i="99" s="1"/>
  <c r="H72" i="99"/>
  <c r="H76" i="99"/>
  <c r="H77" i="99" s="1"/>
  <c r="M26" i="39"/>
  <c r="M29" i="39" s="1"/>
  <c r="M24" i="39"/>
  <c r="P29" i="39"/>
  <c r="C27" i="56"/>
  <c r="C28" i="56" s="1"/>
  <c r="F24" i="56"/>
  <c r="E12" i="56"/>
  <c r="E13" i="56" s="1"/>
  <c r="C18" i="57"/>
  <c r="B21" i="57"/>
  <c r="B22" i="57" s="1"/>
  <c r="N24" i="39"/>
  <c r="N26" i="39"/>
  <c r="N29" i="39" s="1"/>
  <c r="H26" i="39"/>
  <c r="H29" i="39" s="1"/>
  <c r="H25" i="39"/>
  <c r="I24" i="39"/>
  <c r="H24" i="39"/>
  <c r="I26" i="39"/>
  <c r="G30" i="39"/>
  <c r="G29" i="39"/>
  <c r="O30" i="39"/>
  <c r="O29" i="39"/>
  <c r="L30" i="39"/>
  <c r="L29" i="39"/>
  <c r="K30" i="39"/>
  <c r="K29" i="39"/>
  <c r="M94" i="39" l="1"/>
  <c r="G94" i="39"/>
  <c r="I94" i="39"/>
  <c r="T105" i="39"/>
  <c r="T104" i="39"/>
  <c r="L94" i="39"/>
  <c r="Q12" i="106"/>
  <c r="K12" i="106"/>
  <c r="R94" i="39"/>
  <c r="R12" i="106"/>
  <c r="F12" i="106"/>
  <c r="E89" i="39"/>
  <c r="B31" i="16"/>
  <c r="D131" i="39"/>
  <c r="G12" i="106"/>
  <c r="S94" i="39"/>
  <c r="H12" i="106"/>
  <c r="L12" i="106"/>
  <c r="J30" i="39"/>
  <c r="T29" i="39"/>
  <c r="T30" i="39"/>
  <c r="S30" i="39"/>
  <c r="S29" i="39"/>
  <c r="E5" i="58"/>
  <c r="M30" i="39"/>
  <c r="D18" i="57"/>
  <c r="C21" i="57"/>
  <c r="C22" i="57" s="1"/>
  <c r="I30" i="39"/>
  <c r="N30" i="39"/>
  <c r="I29" i="39"/>
  <c r="H30" i="39"/>
  <c r="C48" i="39" l="1"/>
  <c r="C50" i="39" s="1"/>
  <c r="C15" i="106"/>
  <c r="C16" i="106" s="1"/>
  <c r="C36" i="106" s="1"/>
  <c r="C38" i="106" s="1"/>
  <c r="E18" i="57"/>
  <c r="D21" i="57"/>
  <c r="D22" i="57" s="1"/>
  <c r="F18" i="57" l="1"/>
  <c r="F21" i="57" s="1"/>
  <c r="F22" i="57" s="1"/>
  <c r="E21" i="57"/>
  <c r="E22" i="57" s="1"/>
  <c r="E103" i="39" l="1"/>
  <c r="F103" i="39" l="1"/>
  <c r="G103" i="39" l="1"/>
  <c r="C58" i="99"/>
  <c r="C59" i="99"/>
  <c r="B84" i="99" s="1"/>
  <c r="D87" i="99" s="1"/>
  <c r="D12" i="103" l="1"/>
  <c r="D13" i="103" s="1"/>
  <c r="G86" i="99"/>
  <c r="C86" i="99"/>
  <c r="F86" i="99"/>
  <c r="B89" i="99"/>
  <c r="C7" i="103"/>
  <c r="I86" i="99"/>
  <c r="I88" i="99" s="1"/>
  <c r="I11" i="58" s="1"/>
  <c r="C87" i="99"/>
  <c r="H86" i="99"/>
  <c r="E87" i="99"/>
  <c r="I87" i="99"/>
  <c r="G87" i="99"/>
  <c r="F87" i="99"/>
  <c r="D86" i="99"/>
  <c r="D88" i="99" s="1"/>
  <c r="D11" i="58" s="1"/>
  <c r="E86" i="99"/>
  <c r="E88" i="99" s="1"/>
  <c r="E11" i="58" s="1"/>
  <c r="J86" i="99"/>
  <c r="J88" i="99" s="1"/>
  <c r="J11" i="58" s="1"/>
  <c r="H87" i="99"/>
  <c r="J87" i="99"/>
  <c r="C84" i="99"/>
  <c r="H88" i="99" l="1"/>
  <c r="H11" i="58" s="1"/>
  <c r="E12" i="103"/>
  <c r="C8" i="103"/>
  <c r="F88" i="99"/>
  <c r="F11" i="58" s="1"/>
  <c r="C88" i="99"/>
  <c r="C11" i="58" s="1"/>
  <c r="B90" i="99"/>
  <c r="B91" i="99" s="1"/>
  <c r="C89" i="99"/>
  <c r="C85" i="99"/>
  <c r="G88" i="99"/>
  <c r="G11" i="58" s="1"/>
  <c r="E12" i="13" l="1"/>
  <c r="B14" i="56" s="1"/>
  <c r="B15" i="56" s="1"/>
  <c r="B6" i="58"/>
  <c r="C90" i="99"/>
  <c r="D84" i="99"/>
  <c r="E13" i="103"/>
  <c r="C91" i="99"/>
  <c r="F11" i="103"/>
  <c r="H11" i="103"/>
  <c r="G11" i="103"/>
  <c r="I11" i="103"/>
  <c r="E11" i="103"/>
  <c r="F12" i="103" s="1"/>
  <c r="J11" i="103"/>
  <c r="L11" i="103"/>
  <c r="K11" i="103"/>
  <c r="F13" i="103" l="1"/>
  <c r="G12" i="103"/>
  <c r="C6" i="58"/>
  <c r="F12" i="13"/>
  <c r="C14" i="56" s="1"/>
  <c r="C15" i="56" s="1"/>
  <c r="D89" i="99"/>
  <c r="D85" i="99"/>
  <c r="B8" i="58"/>
  <c r="B10" i="58"/>
  <c r="B13" i="58" s="1"/>
  <c r="C8" i="58" l="1"/>
  <c r="C10" i="58"/>
  <c r="C13" i="58" s="1"/>
  <c r="B15" i="58"/>
  <c r="E84" i="99"/>
  <c r="D90" i="99"/>
  <c r="G13" i="103"/>
  <c r="H12" i="103"/>
  <c r="D91" i="99"/>
  <c r="C15" i="58" l="1"/>
  <c r="H13" i="103"/>
  <c r="I12" i="103"/>
  <c r="E85" i="99"/>
  <c r="E89" i="99"/>
  <c r="D6" i="58"/>
  <c r="G12" i="13"/>
  <c r="D14" i="56" s="1"/>
  <c r="D15" i="56" s="1"/>
  <c r="J12" i="103" l="1"/>
  <c r="I13" i="103"/>
  <c r="E90" i="99"/>
  <c r="E91" i="99" s="1"/>
  <c r="F84" i="99"/>
  <c r="D10" i="58"/>
  <c r="D13" i="58" s="1"/>
  <c r="D8" i="58"/>
  <c r="H12" i="13" l="1"/>
  <c r="E14" i="56" s="1"/>
  <c r="E6" i="58"/>
  <c r="B8" i="57"/>
  <c r="F89" i="99"/>
  <c r="F85" i="99"/>
  <c r="K12" i="103"/>
  <c r="J13" i="103"/>
  <c r="D15" i="58"/>
  <c r="G84" i="99" l="1"/>
  <c r="F90" i="99"/>
  <c r="F91" i="99" s="1"/>
  <c r="B10" i="57"/>
  <c r="B11" i="57" s="1"/>
  <c r="B25" i="57"/>
  <c r="K13" i="103"/>
  <c r="L12" i="103"/>
  <c r="E8" i="58"/>
  <c r="E10" i="58"/>
  <c r="E13" i="58" s="1"/>
  <c r="B29" i="56"/>
  <c r="E15" i="56"/>
  <c r="F6" i="58" l="1"/>
  <c r="I12" i="13"/>
  <c r="F14" i="56" s="1"/>
  <c r="F15" i="56" s="1"/>
  <c r="B30" i="56"/>
  <c r="C33" i="56" s="1"/>
  <c r="C29" i="56"/>
  <c r="C30" i="56" s="1"/>
  <c r="C35" i="56" s="1"/>
  <c r="E29" i="56"/>
  <c r="F29" i="56"/>
  <c r="D29" i="56"/>
  <c r="G89" i="99"/>
  <c r="G91" i="99" s="1"/>
  <c r="G85" i="99"/>
  <c r="E15" i="58"/>
  <c r="C25" i="57"/>
  <c r="B27" i="57"/>
  <c r="B28" i="57" s="1"/>
  <c r="C31" i="57" s="1"/>
  <c r="M12" i="103"/>
  <c r="L13" i="103"/>
  <c r="D35" i="56" l="1"/>
  <c r="H84" i="99"/>
  <c r="G90" i="99"/>
  <c r="G6" i="58"/>
  <c r="J12" i="13"/>
  <c r="G14" i="56" s="1"/>
  <c r="G15" i="56" s="1"/>
  <c r="M13" i="103"/>
  <c r="N12" i="103"/>
  <c r="C27" i="57"/>
  <c r="C28" i="57" s="1"/>
  <c r="C33" i="57" s="1"/>
  <c r="D25" i="57"/>
  <c r="F10" i="58"/>
  <c r="F13" i="58" s="1"/>
  <c r="F8" i="58"/>
  <c r="E25" i="57" l="1"/>
  <c r="D27" i="57"/>
  <c r="D28" i="57" s="1"/>
  <c r="C34" i="57" s="1"/>
  <c r="G8" i="58"/>
  <c r="G10" i="58"/>
  <c r="G13" i="58" s="1"/>
  <c r="H85" i="99"/>
  <c r="H89" i="99"/>
  <c r="H91" i="99" s="1"/>
  <c r="O12" i="103"/>
  <c r="N13" i="103"/>
  <c r="F15" i="58"/>
  <c r="G15" i="58" l="1"/>
  <c r="I84" i="99"/>
  <c r="H90" i="99"/>
  <c r="H6" i="58"/>
  <c r="K12" i="13"/>
  <c r="H14" i="56" s="1"/>
  <c r="H15" i="56" s="1"/>
  <c r="O13" i="103"/>
  <c r="P12" i="103"/>
  <c r="E27" i="57"/>
  <c r="E28" i="57" s="1"/>
  <c r="C35" i="57" s="1"/>
  <c r="F25" i="57"/>
  <c r="F27" i="57" s="1"/>
  <c r="F28" i="57" s="1"/>
  <c r="C36" i="57" s="1"/>
  <c r="H8" i="58" l="1"/>
  <c r="H10" i="58"/>
  <c r="H13" i="58" s="1"/>
  <c r="I89" i="99"/>
  <c r="I91" i="99" s="1"/>
  <c r="I85" i="99"/>
  <c r="Q12" i="103"/>
  <c r="P13" i="103"/>
  <c r="H15" i="58" l="1"/>
  <c r="J84" i="99"/>
  <c r="I90" i="99"/>
  <c r="Q13" i="103"/>
  <c r="R12" i="103"/>
  <c r="L12" i="13"/>
  <c r="I14" i="56" s="1"/>
  <c r="I15" i="56" s="1"/>
  <c r="I6" i="58"/>
  <c r="R13" i="103" l="1"/>
  <c r="S12" i="103"/>
  <c r="S13" i="103" s="1"/>
  <c r="I8" i="58"/>
  <c r="I10" i="58"/>
  <c r="I13" i="58" s="1"/>
  <c r="J89" i="99"/>
  <c r="J91" i="99" s="1"/>
  <c r="J85" i="99"/>
  <c r="J90" i="99" s="1"/>
  <c r="J6" i="58" l="1"/>
  <c r="M12" i="13"/>
  <c r="J14" i="56" s="1"/>
  <c r="J15" i="56" s="1"/>
  <c r="I15" i="58"/>
  <c r="B17" i="58"/>
  <c r="J8" i="58" l="1"/>
  <c r="J10" i="58"/>
  <c r="J13" i="58" s="1"/>
  <c r="J15" i="58" l="1"/>
  <c r="D132" i="39" l="1"/>
  <c r="F75" i="39" s="1"/>
  <c r="D23" i="106" l="1"/>
  <c r="D100" i="39"/>
  <c r="B32" i="16"/>
  <c r="C41" i="106" l="1"/>
  <c r="C52" i="106" s="1"/>
  <c r="E10" i="104"/>
  <c r="F10" i="104" s="1"/>
  <c r="C49" i="39"/>
  <c r="C51" i="39" s="1"/>
  <c r="B33" i="16"/>
  <c r="E8" i="39" s="1"/>
  <c r="E9" i="104"/>
  <c r="E35" i="105" l="1"/>
  <c r="C59" i="39"/>
  <c r="F35" i="105"/>
  <c r="G35" i="105" s="1"/>
  <c r="H35" i="105" s="1"/>
  <c r="I35" i="105" s="1"/>
  <c r="J35" i="105" s="1"/>
  <c r="K35" i="105" s="1"/>
  <c r="L35" i="105" s="1"/>
  <c r="M35" i="105" s="1"/>
  <c r="N35" i="105" s="1"/>
  <c r="O35" i="105" s="1"/>
  <c r="P35" i="105" s="1"/>
  <c r="Q35" i="105" s="1"/>
  <c r="R35" i="105" s="1"/>
  <c r="S35" i="105" s="1"/>
  <c r="D35" i="105"/>
  <c r="D37" i="105" s="1"/>
  <c r="D38" i="105" s="1"/>
  <c r="D8" i="39"/>
  <c r="D25" i="56"/>
  <c r="D26" i="56" s="1"/>
  <c r="E25" i="56"/>
  <c r="E26" i="56" s="1"/>
  <c r="C8" i="39"/>
  <c r="F25" i="56"/>
  <c r="F26" i="56" s="1"/>
  <c r="E9" i="39"/>
  <c r="O46" i="105"/>
  <c r="P46" i="105"/>
  <c r="S46" i="105"/>
  <c r="R46" i="105"/>
  <c r="N46" i="105"/>
  <c r="D55" i="39"/>
  <c r="I46" i="105"/>
  <c r="K46" i="105"/>
  <c r="H46" i="105"/>
  <c r="J46" i="105"/>
  <c r="D54" i="39"/>
  <c r="C29" i="106" s="1"/>
  <c r="C30" i="106" s="1"/>
  <c r="E46" i="105"/>
  <c r="F46" i="105"/>
  <c r="L46" i="105"/>
  <c r="Q46" i="105"/>
  <c r="M46" i="105"/>
  <c r="G46" i="105"/>
  <c r="F9" i="104"/>
  <c r="E11" i="104"/>
  <c r="E19" i="104"/>
  <c r="D166" i="39"/>
  <c r="G109" i="39" l="1"/>
  <c r="O109" i="39"/>
  <c r="H109" i="39"/>
  <c r="P109" i="39"/>
  <c r="K109" i="39"/>
  <c r="N109" i="39"/>
  <c r="I109" i="39"/>
  <c r="Q109" i="39"/>
  <c r="J109" i="39"/>
  <c r="R109" i="39"/>
  <c r="S109" i="39"/>
  <c r="F109" i="39"/>
  <c r="L109" i="39"/>
  <c r="E109" i="39"/>
  <c r="M109" i="39"/>
  <c r="C35" i="105"/>
  <c r="C46" i="105"/>
  <c r="D165" i="39"/>
  <c r="E165" i="39" s="1"/>
  <c r="F11" i="104"/>
  <c r="C19" i="104"/>
  <c r="F27" i="56"/>
  <c r="F28" i="56" s="1"/>
  <c r="F30" i="56" s="1"/>
  <c r="C38" i="56" s="1"/>
  <c r="D38" i="56" s="1"/>
  <c r="C9" i="39"/>
  <c r="C26" i="39"/>
  <c r="E166" i="39"/>
  <c r="E27" i="56"/>
  <c r="E28" i="56" s="1"/>
  <c r="E30" i="56" s="1"/>
  <c r="C37" i="56" s="1"/>
  <c r="D37" i="56" s="1"/>
  <c r="F19" i="104"/>
  <c r="E20" i="104" s="1"/>
  <c r="F23" i="104"/>
  <c r="F36" i="104"/>
  <c r="F37" i="104"/>
  <c r="F25" i="104"/>
  <c r="F34" i="104"/>
  <c r="F21" i="104"/>
  <c r="F31" i="104"/>
  <c r="F33" i="104"/>
  <c r="F28" i="104"/>
  <c r="F38" i="104"/>
  <c r="F32" i="104"/>
  <c r="F22" i="104"/>
  <c r="F26" i="104"/>
  <c r="F20" i="104"/>
  <c r="F29" i="104"/>
  <c r="F27" i="104"/>
  <c r="F30" i="104"/>
  <c r="F24" i="104"/>
  <c r="F35" i="104"/>
  <c r="D27" i="56"/>
  <c r="D28" i="56" s="1"/>
  <c r="D30" i="56" s="1"/>
  <c r="C36" i="56" s="1"/>
  <c r="D36" i="56" s="1"/>
  <c r="C126" i="39"/>
  <c r="E131" i="39" s="1"/>
  <c r="D56" i="39"/>
  <c r="D26" i="39"/>
  <c r="D9" i="39"/>
  <c r="C37" i="105" l="1"/>
  <c r="C38" i="105" s="1"/>
  <c r="C96" i="39"/>
  <c r="C104" i="39" s="1"/>
  <c r="C48" i="105"/>
  <c r="C49" i="105" s="1"/>
  <c r="C90" i="39"/>
  <c r="C93" i="39" s="1"/>
  <c r="D46" i="105"/>
  <c r="D45" i="105"/>
  <c r="F166" i="39"/>
  <c r="E45" i="105" s="1"/>
  <c r="E21" i="104"/>
  <c r="E22" i="104" s="1"/>
  <c r="E23" i="104" s="1"/>
  <c r="E24" i="104" s="1"/>
  <c r="E25" i="104" s="1"/>
  <c r="E26" i="104" s="1"/>
  <c r="E27" i="104" s="1"/>
  <c r="E28" i="104" s="1"/>
  <c r="E29" i="104" s="1"/>
  <c r="E30" i="104" s="1"/>
  <c r="E31" i="104" s="1"/>
  <c r="E32" i="104" s="1"/>
  <c r="E33" i="104" s="1"/>
  <c r="E34" i="104" s="1"/>
  <c r="E35" i="104" s="1"/>
  <c r="E36" i="104" s="1"/>
  <c r="E37" i="104" s="1"/>
  <c r="E38" i="104" s="1"/>
  <c r="F26" i="39"/>
  <c r="E35" i="39" s="1"/>
  <c r="C127" i="39"/>
  <c r="D19" i="104"/>
  <c r="G19" i="104" s="1"/>
  <c r="D22" i="104"/>
  <c r="G22" i="104" s="1"/>
  <c r="D38" i="104"/>
  <c r="G38" i="104" s="1"/>
  <c r="D29" i="104"/>
  <c r="G29" i="104" s="1"/>
  <c r="D34" i="104"/>
  <c r="G34" i="104" s="1"/>
  <c r="D21" i="104"/>
  <c r="G21" i="104" s="1"/>
  <c r="D23" i="104"/>
  <c r="G23" i="104" s="1"/>
  <c r="D31" i="104"/>
  <c r="G31" i="104" s="1"/>
  <c r="D28" i="104"/>
  <c r="G28" i="104" s="1"/>
  <c r="D32" i="104"/>
  <c r="G32" i="104" s="1"/>
  <c r="D33" i="104"/>
  <c r="G33" i="104" s="1"/>
  <c r="D26" i="104"/>
  <c r="G26" i="104" s="1"/>
  <c r="D24" i="104"/>
  <c r="G24" i="104" s="1"/>
  <c r="D20" i="104"/>
  <c r="G20" i="104" s="1"/>
  <c r="D30" i="104"/>
  <c r="G30" i="104" s="1"/>
  <c r="D35" i="104"/>
  <c r="G35" i="104" s="1"/>
  <c r="D37" i="104"/>
  <c r="G37" i="104" s="1"/>
  <c r="D25" i="104"/>
  <c r="G25" i="104" s="1"/>
  <c r="D36" i="104"/>
  <c r="G36" i="104" s="1"/>
  <c r="D27" i="104"/>
  <c r="G27" i="104" s="1"/>
  <c r="E169" i="39"/>
  <c r="C142" i="39" s="1"/>
  <c r="F165" i="39"/>
  <c r="D89" i="39" l="1"/>
  <c r="D93" i="39" s="1"/>
  <c r="D96" i="39"/>
  <c r="D104" i="39" s="1"/>
  <c r="G166" i="39"/>
  <c r="D48" i="105"/>
  <c r="D49" i="105" s="1"/>
  <c r="T109" i="39"/>
  <c r="F76" i="39"/>
  <c r="F77" i="39" s="1"/>
  <c r="G39" i="104"/>
  <c r="G40" i="104" s="1"/>
  <c r="G165" i="39"/>
  <c r="F169" i="39"/>
  <c r="D142" i="39" s="1"/>
  <c r="E130" i="39"/>
  <c r="H130" i="39"/>
  <c r="G130" i="39"/>
  <c r="I130" i="39"/>
  <c r="K130" i="39"/>
  <c r="L130" i="39"/>
  <c r="J130" i="39"/>
  <c r="F130" i="39"/>
  <c r="E132" i="39"/>
  <c r="F31" i="39"/>
  <c r="F29" i="39"/>
  <c r="E34" i="39" s="1"/>
  <c r="F30" i="39"/>
  <c r="C20" i="104"/>
  <c r="C21" i="104" s="1"/>
  <c r="C22" i="104" s="1"/>
  <c r="C23" i="104" s="1"/>
  <c r="C24" i="104" s="1"/>
  <c r="C25" i="104" s="1"/>
  <c r="C26" i="104" s="1"/>
  <c r="C27" i="104" s="1"/>
  <c r="C28" i="104" s="1"/>
  <c r="C29" i="104" s="1"/>
  <c r="C30" i="104" s="1"/>
  <c r="C31" i="104" s="1"/>
  <c r="C32" i="104" s="1"/>
  <c r="C33" i="104" s="1"/>
  <c r="C34" i="104" s="1"/>
  <c r="C35" i="104" s="1"/>
  <c r="C36" i="104" s="1"/>
  <c r="C37" i="104" s="1"/>
  <c r="C38" i="104" s="1"/>
  <c r="H166" i="39"/>
  <c r="F45" i="105"/>
  <c r="F102" i="39" l="1"/>
  <c r="E24" i="106"/>
  <c r="J102" i="39"/>
  <c r="I24" i="106"/>
  <c r="L102" i="39"/>
  <c r="K24" i="106"/>
  <c r="K102" i="39"/>
  <c r="J24" i="106"/>
  <c r="D8" i="106"/>
  <c r="I102" i="39"/>
  <c r="H24" i="106"/>
  <c r="G102" i="39"/>
  <c r="F24" i="106"/>
  <c r="H102" i="39"/>
  <c r="G24" i="106"/>
  <c r="E102" i="39"/>
  <c r="D24" i="106"/>
  <c r="F131" i="39"/>
  <c r="F132" i="39" s="1"/>
  <c r="G75" i="39"/>
  <c r="E100" i="39"/>
  <c r="H165" i="39"/>
  <c r="G169" i="39"/>
  <c r="E142" i="39" s="1"/>
  <c r="F39" i="39"/>
  <c r="F41" i="39" s="1"/>
  <c r="F40" i="39"/>
  <c r="F42" i="39" s="1"/>
  <c r="G31" i="39"/>
  <c r="I166" i="39"/>
  <c r="G45" i="105"/>
  <c r="F36" i="105"/>
  <c r="F37" i="105" s="1"/>
  <c r="E36" i="105"/>
  <c r="E37" i="105" s="1"/>
  <c r="G76" i="39"/>
  <c r="C141" i="39"/>
  <c r="G131" i="39" l="1"/>
  <c r="E105" i="39"/>
  <c r="E107" i="39" s="1"/>
  <c r="E108" i="39" s="1"/>
  <c r="E110" i="39" s="1"/>
  <c r="E113" i="39" s="1"/>
  <c r="E101" i="39" s="1"/>
  <c r="E104" i="39" s="1"/>
  <c r="G77" i="39"/>
  <c r="E23" i="106"/>
  <c r="E8" i="106"/>
  <c r="D44" i="106"/>
  <c r="D55" i="106" s="1"/>
  <c r="D9" i="106"/>
  <c r="I165" i="39"/>
  <c r="H169" i="39"/>
  <c r="F142" i="39" s="1"/>
  <c r="J166" i="39"/>
  <c r="H45" i="105"/>
  <c r="D141" i="39"/>
  <c r="H76" i="39"/>
  <c r="H131" i="39"/>
  <c r="G132" i="39"/>
  <c r="F147" i="39"/>
  <c r="C140" i="39"/>
  <c r="C143" i="39" s="1"/>
  <c r="G39" i="39"/>
  <c r="G41" i="39" s="1"/>
  <c r="H31" i="39"/>
  <c r="G40" i="39"/>
  <c r="G42" i="39" s="1"/>
  <c r="H75" i="39"/>
  <c r="H77" i="39" s="1"/>
  <c r="F100" i="39"/>
  <c r="E112" i="39" l="1"/>
  <c r="E88" i="39" s="1"/>
  <c r="E93" i="39" s="1"/>
  <c r="E117" i="39" s="1"/>
  <c r="E118" i="39" s="1"/>
  <c r="E33" i="105" s="1"/>
  <c r="F23" i="106"/>
  <c r="E115" i="39"/>
  <c r="E44" i="105" s="1"/>
  <c r="C145" i="39"/>
  <c r="D144" i="39" s="1"/>
  <c r="D57" i="106"/>
  <c r="E44" i="106"/>
  <c r="E55" i="106" s="1"/>
  <c r="E9" i="106"/>
  <c r="F8" i="106"/>
  <c r="G100" i="39"/>
  <c r="I75" i="39"/>
  <c r="I169" i="39"/>
  <c r="G142" i="39" s="1"/>
  <c r="J165" i="39"/>
  <c r="I76" i="39"/>
  <c r="E141" i="39"/>
  <c r="H36" i="105"/>
  <c r="H37" i="105" s="1"/>
  <c r="G36" i="105"/>
  <c r="G37" i="105" s="1"/>
  <c r="I131" i="39"/>
  <c r="H132" i="39"/>
  <c r="H39" i="39"/>
  <c r="H41" i="39" s="1"/>
  <c r="H40" i="39"/>
  <c r="H42" i="39" s="1"/>
  <c r="I31" i="39"/>
  <c r="K166" i="39"/>
  <c r="I45" i="105"/>
  <c r="E119" i="39" l="1"/>
  <c r="F99" i="39"/>
  <c r="G74" i="39" s="1"/>
  <c r="I77" i="39"/>
  <c r="E25" i="106"/>
  <c r="G23" i="106"/>
  <c r="C146" i="39"/>
  <c r="C155" i="39" s="1"/>
  <c r="G8" i="106"/>
  <c r="F44" i="106"/>
  <c r="F55" i="106" s="1"/>
  <c r="F9" i="106"/>
  <c r="F105" i="39"/>
  <c r="F107" i="39" s="1"/>
  <c r="F108" i="39" s="1"/>
  <c r="F110" i="39" s="1"/>
  <c r="J76" i="39"/>
  <c r="F141" i="39"/>
  <c r="J169" i="39"/>
  <c r="H142" i="39" s="1"/>
  <c r="K165" i="39"/>
  <c r="I40" i="39"/>
  <c r="I42" i="39" s="1"/>
  <c r="J31" i="39"/>
  <c r="I39" i="39"/>
  <c r="I41" i="39" s="1"/>
  <c r="H100" i="39"/>
  <c r="J75" i="39"/>
  <c r="J77" i="39" s="1"/>
  <c r="I36" i="105"/>
  <c r="I37" i="105" s="1"/>
  <c r="J45" i="105"/>
  <c r="L166" i="39"/>
  <c r="J131" i="39"/>
  <c r="I132" i="39"/>
  <c r="C149" i="39" l="1"/>
  <c r="C153" i="39"/>
  <c r="C154" i="39" s="1"/>
  <c r="H23" i="106"/>
  <c r="C148" i="39"/>
  <c r="G147" i="39"/>
  <c r="D140" i="39"/>
  <c r="D143" i="39" s="1"/>
  <c r="G44" i="106"/>
  <c r="G55" i="106" s="1"/>
  <c r="G9" i="106"/>
  <c r="H8" i="106"/>
  <c r="F112" i="39"/>
  <c r="F113" i="39"/>
  <c r="F101" i="39" s="1"/>
  <c r="F104" i="39" s="1"/>
  <c r="K31" i="39"/>
  <c r="J39" i="39"/>
  <c r="J41" i="39" s="1"/>
  <c r="J40" i="39"/>
  <c r="J42" i="39" s="1"/>
  <c r="J132" i="39"/>
  <c r="K131" i="39"/>
  <c r="G141" i="39"/>
  <c r="K76" i="39"/>
  <c r="J36" i="105"/>
  <c r="J37" i="105" s="1"/>
  <c r="L165" i="39"/>
  <c r="K169" i="39"/>
  <c r="I142" i="39" s="1"/>
  <c r="K75" i="39"/>
  <c r="K77" i="39" s="1"/>
  <c r="I100" i="39"/>
  <c r="K45" i="105"/>
  <c r="M166" i="39"/>
  <c r="I23" i="106" l="1"/>
  <c r="E57" i="106"/>
  <c r="D145" i="39"/>
  <c r="H44" i="106"/>
  <c r="H55" i="106" s="1"/>
  <c r="H9" i="106"/>
  <c r="I8" i="106"/>
  <c r="F115" i="39"/>
  <c r="F88" i="39"/>
  <c r="F93" i="39" s="1"/>
  <c r="F117" i="39" s="1"/>
  <c r="F118" i="39" s="1"/>
  <c r="F33" i="105" s="1"/>
  <c r="M165" i="39"/>
  <c r="L169" i="39"/>
  <c r="J142" i="39" s="1"/>
  <c r="L131" i="39"/>
  <c r="K132" i="39"/>
  <c r="L75" i="39"/>
  <c r="L77" i="39" s="1"/>
  <c r="J100" i="39"/>
  <c r="N166" i="39"/>
  <c r="L45" i="105"/>
  <c r="L76" i="39"/>
  <c r="H141" i="39"/>
  <c r="K40" i="39"/>
  <c r="K42" i="39" s="1"/>
  <c r="K39" i="39"/>
  <c r="K41" i="39" s="1"/>
  <c r="L31" i="39"/>
  <c r="J23" i="106" l="1"/>
  <c r="E144" i="39"/>
  <c r="D146" i="39"/>
  <c r="G99" i="39"/>
  <c r="H74" i="39" s="1"/>
  <c r="F44" i="105"/>
  <c r="I44" i="106"/>
  <c r="I55" i="106" s="1"/>
  <c r="I9" i="106"/>
  <c r="K36" i="105"/>
  <c r="K37" i="105" s="1"/>
  <c r="J8" i="106"/>
  <c r="F119" i="39"/>
  <c r="M75" i="39"/>
  <c r="K100" i="39"/>
  <c r="L132" i="39"/>
  <c r="M131" i="39"/>
  <c r="N165" i="39"/>
  <c r="M169" i="39"/>
  <c r="K142" i="39" s="1"/>
  <c r="O166" i="39"/>
  <c r="M45" i="105"/>
  <c r="L39" i="39"/>
  <c r="L41" i="39" s="1"/>
  <c r="M31" i="39"/>
  <c r="L40" i="39"/>
  <c r="L42" i="39" s="1"/>
  <c r="M76" i="39"/>
  <c r="I141" i="39"/>
  <c r="M77" i="39" l="1"/>
  <c r="K23" i="106"/>
  <c r="F25" i="106"/>
  <c r="D155" i="39"/>
  <c r="D153" i="39"/>
  <c r="D154" i="39" s="1"/>
  <c r="D148" i="39"/>
  <c r="D149" i="39"/>
  <c r="J44" i="106"/>
  <c r="J55" i="106" s="1"/>
  <c r="J9" i="106"/>
  <c r="K8" i="106"/>
  <c r="G105" i="39"/>
  <c r="G107" i="39" s="1"/>
  <c r="G108" i="39" s="1"/>
  <c r="G110" i="39" s="1"/>
  <c r="M132" i="39"/>
  <c r="N131" i="39"/>
  <c r="M40" i="39"/>
  <c r="M42" i="39" s="1"/>
  <c r="N31" i="39"/>
  <c r="M39" i="39"/>
  <c r="M41" i="39" s="1"/>
  <c r="P166" i="39"/>
  <c r="N45" i="105"/>
  <c r="J141" i="39"/>
  <c r="N76" i="39"/>
  <c r="L36" i="105"/>
  <c r="L37" i="105" s="1"/>
  <c r="N169" i="39"/>
  <c r="L142" i="39" s="1"/>
  <c r="O165" i="39"/>
  <c r="N75" i="39"/>
  <c r="N77" i="39" s="1"/>
  <c r="L100" i="39"/>
  <c r="L23" i="106" l="1"/>
  <c r="E140" i="39"/>
  <c r="E143" i="39" s="1"/>
  <c r="H147" i="39"/>
  <c r="K44" i="106"/>
  <c r="K55" i="106" s="1"/>
  <c r="K9" i="106"/>
  <c r="L8" i="106"/>
  <c r="G113" i="39"/>
  <c r="G101" i="39" s="1"/>
  <c r="G104" i="39" s="1"/>
  <c r="G112" i="39"/>
  <c r="P165" i="39"/>
  <c r="O169" i="39"/>
  <c r="M142" i="39" s="1"/>
  <c r="K141" i="39"/>
  <c r="O76" i="39"/>
  <c r="M36" i="105"/>
  <c r="M37" i="105" s="1"/>
  <c r="O131" i="39"/>
  <c r="N132" i="39"/>
  <c r="O75" i="39"/>
  <c r="O77" i="39" s="1"/>
  <c r="M100" i="39"/>
  <c r="Q166" i="39"/>
  <c r="O45" i="105"/>
  <c r="N39" i="39"/>
  <c r="N41" i="39" s="1"/>
  <c r="O31" i="39"/>
  <c r="N40" i="39"/>
  <c r="N42" i="39" s="1"/>
  <c r="E145" i="39" l="1"/>
  <c r="F57" i="106"/>
  <c r="L44" i="106"/>
  <c r="L55" i="106" s="1"/>
  <c r="L9" i="106"/>
  <c r="M8" i="106"/>
  <c r="M23" i="106"/>
  <c r="G88" i="39"/>
  <c r="G93" i="39" s="1"/>
  <c r="G117" i="39" s="1"/>
  <c r="G118" i="39" s="1"/>
  <c r="G33" i="105" s="1"/>
  <c r="G115" i="39"/>
  <c r="R166" i="39"/>
  <c r="P45" i="105"/>
  <c r="P75" i="39"/>
  <c r="N100" i="39"/>
  <c r="P131" i="39"/>
  <c r="O132" i="39"/>
  <c r="P76" i="39"/>
  <c r="L141" i="39"/>
  <c r="N36" i="105"/>
  <c r="N37" i="105" s="1"/>
  <c r="O40" i="39"/>
  <c r="O42" i="39" s="1"/>
  <c r="O39" i="39"/>
  <c r="O41" i="39" s="1"/>
  <c r="P31" i="39"/>
  <c r="Q165" i="39"/>
  <c r="P169" i="39"/>
  <c r="N142" i="39" s="1"/>
  <c r="P77" i="39" l="1"/>
  <c r="N23" i="106"/>
  <c r="F144" i="39"/>
  <c r="E146" i="39"/>
  <c r="M44" i="106"/>
  <c r="M55" i="106" s="1"/>
  <c r="M9" i="106"/>
  <c r="N8" i="106"/>
  <c r="H99" i="39"/>
  <c r="I74" i="39" s="1"/>
  <c r="G44" i="105"/>
  <c r="G119" i="39"/>
  <c r="Q131" i="39"/>
  <c r="P132" i="39"/>
  <c r="M141" i="39"/>
  <c r="Q76" i="39"/>
  <c r="O36" i="105"/>
  <c r="O37" i="105" s="1"/>
  <c r="S166" i="39"/>
  <c r="Q45" i="105"/>
  <c r="Q169" i="39"/>
  <c r="O142" i="39" s="1"/>
  <c r="R165" i="39"/>
  <c r="P39" i="39"/>
  <c r="P41" i="39" s="1"/>
  <c r="Q31" i="39"/>
  <c r="P40" i="39"/>
  <c r="P42" i="39" s="1"/>
  <c r="Q75" i="39"/>
  <c r="Q77" i="39" s="1"/>
  <c r="O100" i="39"/>
  <c r="G25" i="106" l="1"/>
  <c r="E148" i="39"/>
  <c r="E153" i="39"/>
  <c r="E154" i="39" s="1"/>
  <c r="E149" i="39"/>
  <c r="E155" i="39"/>
  <c r="N44" i="106"/>
  <c r="N55" i="106" s="1"/>
  <c r="N9" i="106"/>
  <c r="O23" i="106"/>
  <c r="O8" i="106"/>
  <c r="P100" i="39"/>
  <c r="R75" i="39"/>
  <c r="R77" i="39" s="1"/>
  <c r="Q39" i="39"/>
  <c r="Q41" i="39" s="1"/>
  <c r="Q40" i="39"/>
  <c r="Q42" i="39" s="1"/>
  <c r="R31" i="39"/>
  <c r="R131" i="39"/>
  <c r="Q132" i="39"/>
  <c r="N141" i="39"/>
  <c r="R76" i="39"/>
  <c r="P36" i="105"/>
  <c r="P37" i="105" s="1"/>
  <c r="S165" i="39"/>
  <c r="R169" i="39"/>
  <c r="P142" i="39" s="1"/>
  <c r="R45" i="105"/>
  <c r="T166" i="39"/>
  <c r="S45" i="105" s="1"/>
  <c r="P23" i="106" l="1"/>
  <c r="I147" i="39"/>
  <c r="F140" i="39"/>
  <c r="F143" i="39" s="1"/>
  <c r="O44" i="106"/>
  <c r="O55" i="106" s="1"/>
  <c r="O9" i="106"/>
  <c r="P8" i="106"/>
  <c r="T165" i="39"/>
  <c r="T169" i="39" s="1"/>
  <c r="R142" i="39" s="1"/>
  <c r="S169" i="39"/>
  <c r="Q142" i="39" s="1"/>
  <c r="R39" i="39"/>
  <c r="R41" i="39" s="1"/>
  <c r="E36" i="39" s="1"/>
  <c r="R40" i="39"/>
  <c r="R42" i="39" s="1"/>
  <c r="E37" i="39" s="1"/>
  <c r="S31" i="39"/>
  <c r="O141" i="39"/>
  <c r="S76" i="39"/>
  <c r="R141" i="39"/>
  <c r="Q36" i="105"/>
  <c r="Q37" i="105" s="1"/>
  <c r="S75" i="39"/>
  <c r="S77" i="39" s="1"/>
  <c r="Q100" i="39"/>
  <c r="R132" i="39"/>
  <c r="S131" i="39"/>
  <c r="S132" i="39" s="1"/>
  <c r="S100" i="39" s="1"/>
  <c r="Q23" i="106" l="1"/>
  <c r="G57" i="106"/>
  <c r="F145" i="39"/>
  <c r="P44" i="106"/>
  <c r="P55" i="106" s="1"/>
  <c r="P9" i="106"/>
  <c r="Q8" i="106"/>
  <c r="R100" i="39"/>
  <c r="T75" i="39"/>
  <c r="T77" i="39" s="1"/>
  <c r="S39" i="39"/>
  <c r="S41" i="39" s="1"/>
  <c r="S40" i="39"/>
  <c r="S42" i="39" s="1"/>
  <c r="T31" i="39"/>
  <c r="S141" i="39"/>
  <c r="P141" i="39"/>
  <c r="T76" i="39"/>
  <c r="R36" i="105"/>
  <c r="R37" i="105" s="1"/>
  <c r="R23" i="106" l="1"/>
  <c r="G144" i="39"/>
  <c r="F146" i="39"/>
  <c r="Q44" i="106"/>
  <c r="Q55" i="106" s="1"/>
  <c r="Q9" i="106"/>
  <c r="R8" i="106"/>
  <c r="T40" i="39"/>
  <c r="T42" i="39" s="1"/>
  <c r="T39" i="39"/>
  <c r="T41" i="39" s="1"/>
  <c r="T141" i="39"/>
  <c r="Q141" i="39"/>
  <c r="S36" i="105"/>
  <c r="S37" i="105" s="1"/>
  <c r="F155" i="39" l="1"/>
  <c r="F153" i="39"/>
  <c r="F154" i="39" s="1"/>
  <c r="F148" i="39"/>
  <c r="F149" i="39"/>
  <c r="R44" i="106"/>
  <c r="R55" i="106" s="1"/>
  <c r="R9" i="106"/>
  <c r="E38" i="105" l="1"/>
  <c r="F38" i="105"/>
  <c r="G38" i="105"/>
  <c r="R147" i="39" l="1"/>
  <c r="S140" i="39"/>
  <c r="S143" i="39" s="1"/>
  <c r="Q140" i="39"/>
  <c r="Q143" i="39" s="1"/>
  <c r="S147" i="39"/>
  <c r="T140" i="39"/>
  <c r="T143" i="39" s="1"/>
  <c r="M140" i="39"/>
  <c r="M143" i="39" s="1"/>
  <c r="O140" i="39"/>
  <c r="O143" i="39" s="1"/>
  <c r="P57" i="106" s="1"/>
  <c r="R140" i="39"/>
  <c r="R143" i="39" s="1"/>
  <c r="K140" i="39"/>
  <c r="K143" i="39" s="1"/>
  <c r="L57" i="106" s="1"/>
  <c r="T147" i="39"/>
  <c r="P140" i="39"/>
  <c r="P143" i="39" s="1"/>
  <c r="Q57" i="106" s="1"/>
  <c r="M147" i="39"/>
  <c r="N140" i="39"/>
  <c r="N143" i="39" s="1"/>
  <c r="L140" i="39"/>
  <c r="L143" i="39" s="1"/>
  <c r="M57" i="106" s="1"/>
  <c r="I140" i="39"/>
  <c r="I143" i="39" s="1"/>
  <c r="O147" i="39"/>
  <c r="N147" i="39"/>
  <c r="P147" i="39"/>
  <c r="Q147" i="39"/>
  <c r="K147" i="39"/>
  <c r="L147" i="39"/>
  <c r="J140" i="39"/>
  <c r="J143" i="39" s="1"/>
  <c r="K57" i="106" s="1"/>
  <c r="H140" i="39"/>
  <c r="H143" i="39" s="1"/>
  <c r="I57" i="106" s="1"/>
  <c r="J57" i="106" l="1"/>
  <c r="O57" i="106"/>
  <c r="R57" i="106"/>
  <c r="N57" i="106"/>
  <c r="J147" i="39"/>
  <c r="G140" i="39"/>
  <c r="G143" i="39" s="1"/>
  <c r="G145" i="39" l="1"/>
  <c r="H57" i="106"/>
  <c r="G146" i="39" l="1"/>
  <c r="H144" i="39"/>
  <c r="H145" i="39" s="1"/>
  <c r="I144" i="39" l="1"/>
  <c r="I145" i="39" s="1"/>
  <c r="H146" i="39"/>
  <c r="G153" i="39"/>
  <c r="G154" i="39" s="1"/>
  <c r="G155" i="39"/>
  <c r="G148" i="39"/>
  <c r="G149" i="39"/>
  <c r="H149" i="39" l="1"/>
  <c r="H155" i="39"/>
  <c r="H153" i="39"/>
  <c r="H154" i="39" s="1"/>
  <c r="H148" i="39"/>
  <c r="J144" i="39"/>
  <c r="J145" i="39" s="1"/>
  <c r="I146" i="39"/>
  <c r="I148" i="39" l="1"/>
  <c r="I149" i="39"/>
  <c r="I155" i="39"/>
  <c r="I153" i="39"/>
  <c r="I154" i="39" s="1"/>
  <c r="K144" i="39"/>
  <c r="K145" i="39" s="1"/>
  <c r="J146" i="39"/>
  <c r="J153" i="39" l="1"/>
  <c r="J154" i="39" s="1"/>
  <c r="J148" i="39"/>
  <c r="J149" i="39"/>
  <c r="J155" i="39"/>
  <c r="L144" i="39"/>
  <c r="L145" i="39" s="1"/>
  <c r="K146" i="39"/>
  <c r="K155" i="39" l="1"/>
  <c r="K149" i="39"/>
  <c r="K153" i="39"/>
  <c r="K154" i="39" s="1"/>
  <c r="K148" i="39"/>
  <c r="L146" i="39"/>
  <c r="M144" i="39"/>
  <c r="M145" i="39" s="1"/>
  <c r="L149" i="39" l="1"/>
  <c r="L155" i="39"/>
  <c r="L148" i="39"/>
  <c r="L153" i="39"/>
  <c r="L154" i="39" s="1"/>
  <c r="N144" i="39"/>
  <c r="N145" i="39" s="1"/>
  <c r="M146" i="39"/>
  <c r="N146" i="39" l="1"/>
  <c r="O144" i="39"/>
  <c r="O145" i="39" s="1"/>
  <c r="M153" i="39"/>
  <c r="M154" i="39" s="1"/>
  <c r="M155" i="39"/>
  <c r="M148" i="39"/>
  <c r="M149" i="39"/>
  <c r="P144" i="39" l="1"/>
  <c r="P145" i="39" s="1"/>
  <c r="O146" i="39"/>
  <c r="N149" i="39"/>
  <c r="N153" i="39"/>
  <c r="N154" i="39" s="1"/>
  <c r="N155" i="39"/>
  <c r="N148" i="39"/>
  <c r="O153" i="39" l="1"/>
  <c r="O154" i="39" s="1"/>
  <c r="O149" i="39"/>
  <c r="O155" i="39"/>
  <c r="O148" i="39"/>
  <c r="Q144" i="39"/>
  <c r="Q145" i="39" s="1"/>
  <c r="P146" i="39"/>
  <c r="R144" i="39" l="1"/>
  <c r="R145" i="39" s="1"/>
  <c r="Q146" i="39"/>
  <c r="P155" i="39"/>
  <c r="P148" i="39"/>
  <c r="P149" i="39"/>
  <c r="P153" i="39"/>
  <c r="P154" i="39" s="1"/>
  <c r="R146" i="39" l="1"/>
  <c r="S144" i="39"/>
  <c r="S145" i="39" s="1"/>
  <c r="Q149" i="39"/>
  <c r="Q148" i="39"/>
  <c r="Q153" i="39"/>
  <c r="Q154" i="39" s="1"/>
  <c r="Q155" i="39"/>
  <c r="R155" i="39" l="1"/>
  <c r="U155" i="39" s="1"/>
  <c r="Q156" i="39" s="1"/>
  <c r="Q150" i="39" s="1"/>
  <c r="Q151" i="39" s="1"/>
  <c r="R153" i="39"/>
  <c r="R154" i="39" s="1"/>
  <c r="R149" i="39"/>
  <c r="R148" i="39"/>
  <c r="T144" i="39"/>
  <c r="T145" i="39" s="1"/>
  <c r="T146" i="39" s="1"/>
  <c r="S146" i="39"/>
  <c r="R156" i="39" l="1"/>
  <c r="R150" i="39" s="1"/>
  <c r="R151" i="39" s="1"/>
  <c r="R28" i="106"/>
  <c r="R56" i="106" s="1"/>
  <c r="T78" i="39"/>
  <c r="T153" i="39"/>
  <c r="T155" i="39"/>
  <c r="T148" i="39"/>
  <c r="T149" i="39"/>
  <c r="E156" i="39"/>
  <c r="E150" i="39" s="1"/>
  <c r="E151" i="39" s="1"/>
  <c r="F156" i="39"/>
  <c r="F150" i="39" s="1"/>
  <c r="F151" i="39" s="1"/>
  <c r="D156" i="39"/>
  <c r="D150" i="39" s="1"/>
  <c r="D151" i="39" s="1"/>
  <c r="C156" i="39"/>
  <c r="C150" i="39" s="1"/>
  <c r="C151" i="39" s="1"/>
  <c r="G156" i="39"/>
  <c r="G150" i="39" s="1"/>
  <c r="G151" i="39" s="1"/>
  <c r="H156" i="39"/>
  <c r="H150" i="39" s="1"/>
  <c r="H151" i="39" s="1"/>
  <c r="I156" i="39"/>
  <c r="I150" i="39" s="1"/>
  <c r="I151" i="39" s="1"/>
  <c r="J156" i="39"/>
  <c r="J150" i="39" s="1"/>
  <c r="J151" i="39" s="1"/>
  <c r="K156" i="39"/>
  <c r="K150" i="39" s="1"/>
  <c r="K151" i="39" s="1"/>
  <c r="L156" i="39"/>
  <c r="L150" i="39" s="1"/>
  <c r="L151" i="39" s="1"/>
  <c r="M156" i="39"/>
  <c r="M150" i="39" s="1"/>
  <c r="M151" i="39" s="1"/>
  <c r="N156" i="39"/>
  <c r="N150" i="39" s="1"/>
  <c r="N151" i="39" s="1"/>
  <c r="O156" i="39"/>
  <c r="O150" i="39" s="1"/>
  <c r="O151" i="39" s="1"/>
  <c r="P156" i="39"/>
  <c r="P150" i="39" s="1"/>
  <c r="P151" i="39" s="1"/>
  <c r="S149" i="39"/>
  <c r="S155" i="39"/>
  <c r="S153" i="39"/>
  <c r="S154" i="39" s="1"/>
  <c r="S148" i="39"/>
  <c r="S156" i="39" l="1"/>
  <c r="S150" i="39" s="1"/>
  <c r="S151" i="39" s="1"/>
  <c r="T154" i="39"/>
  <c r="T156" i="39" s="1"/>
  <c r="T150" i="39" s="1"/>
  <c r="T151" i="39" s="1"/>
  <c r="J28" i="106"/>
  <c r="J56" i="106" s="1"/>
  <c r="L78" i="39"/>
  <c r="K78" i="39"/>
  <c r="I28" i="106"/>
  <c r="I56" i="106" s="1"/>
  <c r="H28" i="106"/>
  <c r="H56" i="106" s="1"/>
  <c r="J78" i="39"/>
  <c r="Q78" i="39"/>
  <c r="O28" i="106"/>
  <c r="O56" i="106" s="1"/>
  <c r="D28" i="106"/>
  <c r="D56" i="106" s="1"/>
  <c r="F78" i="39"/>
  <c r="N28" i="106"/>
  <c r="N56" i="106" s="1"/>
  <c r="P78" i="39"/>
  <c r="G78" i="39"/>
  <c r="E28" i="106"/>
  <c r="E56" i="106" s="1"/>
  <c r="R10" i="106"/>
  <c r="T79" i="39"/>
  <c r="R43" i="106" s="1"/>
  <c r="S78" i="39"/>
  <c r="Q28" i="106"/>
  <c r="Q56" i="106" s="1"/>
  <c r="I78" i="39"/>
  <c r="G28" i="106"/>
  <c r="G56" i="106" s="1"/>
  <c r="M28" i="106"/>
  <c r="M56" i="106" s="1"/>
  <c r="O78" i="39"/>
  <c r="N78" i="39"/>
  <c r="L28" i="106"/>
  <c r="L56" i="106" s="1"/>
  <c r="F28" i="106"/>
  <c r="F56" i="106" s="1"/>
  <c r="H78" i="39"/>
  <c r="R78" i="39"/>
  <c r="P28" i="106"/>
  <c r="P56" i="106" s="1"/>
  <c r="K28" i="106"/>
  <c r="K56" i="106" s="1"/>
  <c r="M78" i="39"/>
  <c r="L103" i="39" l="1"/>
  <c r="J79" i="39"/>
  <c r="H43" i="106" s="1"/>
  <c r="H10" i="106"/>
  <c r="K103" i="39"/>
  <c r="G10" i="106"/>
  <c r="I79" i="39"/>
  <c r="G43" i="106" s="1"/>
  <c r="I103" i="39"/>
  <c r="E10" i="106"/>
  <c r="G79" i="39"/>
  <c r="E43" i="106" s="1"/>
  <c r="M103" i="39"/>
  <c r="K79" i="39"/>
  <c r="I43" i="106" s="1"/>
  <c r="I10" i="106"/>
  <c r="F10" i="106"/>
  <c r="J103" i="39"/>
  <c r="H79" i="39"/>
  <c r="F43" i="106" s="1"/>
  <c r="Q10" i="106"/>
  <c r="S79" i="39"/>
  <c r="Q43" i="106" s="1"/>
  <c r="D10" i="106"/>
  <c r="F79" i="39"/>
  <c r="H103" i="39"/>
  <c r="H105" i="39" s="1"/>
  <c r="H107" i="39" s="1"/>
  <c r="H108" i="39" s="1"/>
  <c r="N103" i="39"/>
  <c r="J10" i="106"/>
  <c r="L79" i="39"/>
  <c r="J43" i="106" s="1"/>
  <c r="R103" i="39"/>
  <c r="N10" i="106"/>
  <c r="P79" i="39"/>
  <c r="N43" i="106" s="1"/>
  <c r="R79" i="39"/>
  <c r="P43" i="106" s="1"/>
  <c r="T103" i="39"/>
  <c r="P10" i="106"/>
  <c r="L10" i="106"/>
  <c r="P103" i="39"/>
  <c r="N79" i="39"/>
  <c r="L43" i="106" s="1"/>
  <c r="R54" i="106"/>
  <c r="M79" i="39"/>
  <c r="K43" i="106" s="1"/>
  <c r="K10" i="106"/>
  <c r="O103" i="39"/>
  <c r="M10" i="106"/>
  <c r="O79" i="39"/>
  <c r="M43" i="106" s="1"/>
  <c r="Q103" i="39"/>
  <c r="R11" i="106"/>
  <c r="R45" i="106"/>
  <c r="R58" i="106" s="1"/>
  <c r="S103" i="39"/>
  <c r="O10" i="106"/>
  <c r="Q79" i="39"/>
  <c r="O43" i="106" s="1"/>
  <c r="R46" i="106" l="1"/>
  <c r="R59" i="106"/>
  <c r="R14" i="106"/>
  <c r="R16" i="106" s="1"/>
  <c r="R22" i="106" s="1"/>
  <c r="R27" i="106"/>
  <c r="K54" i="106"/>
  <c r="D45" i="106"/>
  <c r="D58" i="106" s="1"/>
  <c r="D11" i="106"/>
  <c r="S10" i="106"/>
  <c r="I11" i="106"/>
  <c r="I45" i="106"/>
  <c r="I58" i="106" s="1"/>
  <c r="G54" i="106"/>
  <c r="J54" i="106"/>
  <c r="Q54" i="106"/>
  <c r="I54" i="106"/>
  <c r="G11" i="106"/>
  <c r="G45" i="106"/>
  <c r="G58" i="106" s="1"/>
  <c r="P54" i="106"/>
  <c r="J45" i="106"/>
  <c r="J58" i="106" s="1"/>
  <c r="J11" i="106"/>
  <c r="Q45" i="106"/>
  <c r="Q58" i="106" s="1"/>
  <c r="Q11" i="106"/>
  <c r="O54" i="106"/>
  <c r="O11" i="106"/>
  <c r="O45" i="106"/>
  <c r="O58" i="106" s="1"/>
  <c r="F54" i="106"/>
  <c r="E54" i="106"/>
  <c r="H45" i="106"/>
  <c r="H58" i="106" s="1"/>
  <c r="H11" i="106"/>
  <c r="H110" i="39"/>
  <c r="E45" i="106"/>
  <c r="E58" i="106" s="1"/>
  <c r="E11" i="106"/>
  <c r="H54" i="106"/>
  <c r="L54" i="106"/>
  <c r="N54" i="106"/>
  <c r="K45" i="106"/>
  <c r="K58" i="106" s="1"/>
  <c r="K11" i="106"/>
  <c r="L11" i="106"/>
  <c r="L45" i="106"/>
  <c r="L58" i="106" s="1"/>
  <c r="F45" i="106"/>
  <c r="F58" i="106" s="1"/>
  <c r="F11" i="106"/>
  <c r="M54" i="106"/>
  <c r="M45" i="106"/>
  <c r="M58" i="106" s="1"/>
  <c r="M11" i="106"/>
  <c r="P11" i="106"/>
  <c r="P45" i="106"/>
  <c r="P58" i="106" s="1"/>
  <c r="N45" i="106"/>
  <c r="N58" i="106" s="1"/>
  <c r="N11" i="106"/>
  <c r="F80" i="39"/>
  <c r="D43" i="106"/>
  <c r="I59" i="106" l="1"/>
  <c r="I46" i="106"/>
  <c r="L46" i="106"/>
  <c r="F46" i="106"/>
  <c r="I27" i="106"/>
  <c r="I14" i="106"/>
  <c r="I16" i="106" s="1"/>
  <c r="I22" i="106" s="1"/>
  <c r="H113" i="39"/>
  <c r="H101" i="39" s="1"/>
  <c r="H104" i="39" s="1"/>
  <c r="H112" i="39"/>
  <c r="Q14" i="106"/>
  <c r="Q16" i="106" s="1"/>
  <c r="Q22" i="106" s="1"/>
  <c r="Q27" i="106"/>
  <c r="J14" i="106"/>
  <c r="J16" i="106" s="1"/>
  <c r="J22" i="106" s="1"/>
  <c r="J27" i="106"/>
  <c r="Q46" i="106"/>
  <c r="N14" i="106"/>
  <c r="N16" i="106" s="1"/>
  <c r="N22" i="106" s="1"/>
  <c r="N27" i="106"/>
  <c r="F14" i="106"/>
  <c r="F16" i="106" s="1"/>
  <c r="F22" i="106" s="1"/>
  <c r="F26" i="106" s="1"/>
  <c r="F27" i="106"/>
  <c r="L14" i="106"/>
  <c r="L16" i="106" s="1"/>
  <c r="L22" i="106" s="1"/>
  <c r="L27" i="106"/>
  <c r="Q59" i="106"/>
  <c r="D14" i="106"/>
  <c r="D16" i="106" s="1"/>
  <c r="D27" i="106"/>
  <c r="K14" i="106"/>
  <c r="K16" i="106" s="1"/>
  <c r="K22" i="106" s="1"/>
  <c r="K27" i="106"/>
  <c r="H27" i="106"/>
  <c r="H14" i="106"/>
  <c r="H16" i="106" s="1"/>
  <c r="H22" i="106" s="1"/>
  <c r="P59" i="106"/>
  <c r="J46" i="106"/>
  <c r="D54" i="106"/>
  <c r="D59" i="106" s="1"/>
  <c r="D60" i="106" s="1"/>
  <c r="D46" i="106"/>
  <c r="D47" i="106" s="1"/>
  <c r="E47" i="105"/>
  <c r="E48" i="105" s="1"/>
  <c r="E49" i="105" s="1"/>
  <c r="G80" i="39"/>
  <c r="O14" i="106"/>
  <c r="O16" i="106" s="1"/>
  <c r="O22" i="106" s="1"/>
  <c r="O27" i="106"/>
  <c r="P46" i="106"/>
  <c r="J59" i="106"/>
  <c r="K46" i="106"/>
  <c r="P14" i="106"/>
  <c r="P16" i="106" s="1"/>
  <c r="P22" i="106" s="1"/>
  <c r="P27" i="106"/>
  <c r="N59" i="106"/>
  <c r="H59" i="106"/>
  <c r="E59" i="106"/>
  <c r="O59" i="106"/>
  <c r="G59" i="106"/>
  <c r="K59" i="106"/>
  <c r="M14" i="106"/>
  <c r="M16" i="106" s="1"/>
  <c r="M22" i="106" s="1"/>
  <c r="M27" i="106"/>
  <c r="M46" i="106"/>
  <c r="N46" i="106"/>
  <c r="H46" i="106"/>
  <c r="E46" i="106"/>
  <c r="O46" i="106"/>
  <c r="G14" i="106"/>
  <c r="G16" i="106" s="1"/>
  <c r="G22" i="106" s="1"/>
  <c r="G26" i="106" s="1"/>
  <c r="G27" i="106"/>
  <c r="G46" i="106"/>
  <c r="M59" i="106"/>
  <c r="L59" i="106"/>
  <c r="E14" i="106"/>
  <c r="E16" i="106" s="1"/>
  <c r="E22" i="106" s="1"/>
  <c r="E26" i="106" s="1"/>
  <c r="E27" i="106"/>
  <c r="F59" i="106"/>
  <c r="E30" i="106" l="1"/>
  <c r="E60" i="106"/>
  <c r="F60" i="106" s="1"/>
  <c r="G60" i="106" s="1"/>
  <c r="H60" i="106" s="1"/>
  <c r="I60" i="106" s="1"/>
  <c r="J60" i="106" s="1"/>
  <c r="K60" i="106" s="1"/>
  <c r="L60" i="106" s="1"/>
  <c r="M60" i="106" s="1"/>
  <c r="N60" i="106" s="1"/>
  <c r="O60" i="106" s="1"/>
  <c r="P60" i="106" s="1"/>
  <c r="Q60" i="106" s="1"/>
  <c r="R60" i="106" s="1"/>
  <c r="E47" i="106"/>
  <c r="F47" i="106" s="1"/>
  <c r="G47" i="106" s="1"/>
  <c r="H47" i="106" s="1"/>
  <c r="I47" i="106" s="1"/>
  <c r="J47" i="106" s="1"/>
  <c r="K47" i="106" s="1"/>
  <c r="L47" i="106" s="1"/>
  <c r="M47" i="106" s="1"/>
  <c r="N47" i="106" s="1"/>
  <c r="O47" i="106" s="1"/>
  <c r="P47" i="106" s="1"/>
  <c r="Q47" i="106" s="1"/>
  <c r="R47" i="106" s="1"/>
  <c r="H88" i="39"/>
  <c r="H93" i="39" s="1"/>
  <c r="H117" i="39" s="1"/>
  <c r="H118" i="39" s="1"/>
  <c r="H33" i="105" s="1"/>
  <c r="H38" i="105" s="1"/>
  <c r="H115" i="39"/>
  <c r="D22" i="106"/>
  <c r="D26" i="106" s="1"/>
  <c r="D30" i="106" s="1"/>
  <c r="C17" i="106"/>
  <c r="G30" i="106"/>
  <c r="F47" i="105"/>
  <c r="F48" i="105" s="1"/>
  <c r="F49" i="105" s="1"/>
  <c r="H80" i="39"/>
  <c r="F30" i="106"/>
  <c r="H44" i="105" l="1"/>
  <c r="H119" i="39"/>
  <c r="I99" i="39"/>
  <c r="C45" i="39"/>
  <c r="I80" i="39"/>
  <c r="G47" i="105"/>
  <c r="G48" i="105" s="1"/>
  <c r="G49" i="105" s="1"/>
  <c r="I105" i="39" l="1"/>
  <c r="I107" i="39" s="1"/>
  <c r="I108" i="39" s="1"/>
  <c r="J74" i="39"/>
  <c r="H25" i="106" s="1"/>
  <c r="H26" i="106" s="1"/>
  <c r="H30" i="106" s="1"/>
  <c r="J80" i="39"/>
  <c r="H47" i="105"/>
  <c r="H48" i="105" s="1"/>
  <c r="H49" i="105" s="1"/>
  <c r="I47" i="105" l="1"/>
  <c r="K80" i="39"/>
  <c r="I110" i="39"/>
  <c r="I112" i="39" l="1"/>
  <c r="I113" i="39"/>
  <c r="I101" i="39" s="1"/>
  <c r="I104" i="39" s="1"/>
  <c r="L80" i="39"/>
  <c r="J47" i="105"/>
  <c r="K47" i="105" l="1"/>
  <c r="M80" i="39"/>
  <c r="I88" i="39"/>
  <c r="I93" i="39" s="1"/>
  <c r="I117" i="39" s="1"/>
  <c r="I118" i="39" s="1"/>
  <c r="I33" i="105" s="1"/>
  <c r="I38" i="105" s="1"/>
  <c r="I115" i="39"/>
  <c r="I119" i="39" l="1"/>
  <c r="I44" i="105"/>
  <c r="I48" i="105" s="1"/>
  <c r="I49" i="105" s="1"/>
  <c r="J99" i="39"/>
  <c r="N80" i="39"/>
  <c r="L47" i="105"/>
  <c r="O80" i="39" l="1"/>
  <c r="M47" i="105"/>
  <c r="K74" i="39"/>
  <c r="I25" i="106" s="1"/>
  <c r="I26" i="106" s="1"/>
  <c r="I30" i="106" s="1"/>
  <c r="J105" i="39"/>
  <c r="J107" i="39" s="1"/>
  <c r="J108" i="39" s="1"/>
  <c r="J110" i="39" l="1"/>
  <c r="P80" i="39"/>
  <c r="N47" i="105"/>
  <c r="Q80" i="39" l="1"/>
  <c r="O47" i="105"/>
  <c r="J113" i="39"/>
  <c r="J101" i="39" s="1"/>
  <c r="J104" i="39" s="1"/>
  <c r="J112" i="39"/>
  <c r="J88" i="39" l="1"/>
  <c r="J93" i="39" s="1"/>
  <c r="J117" i="39" s="1"/>
  <c r="J118" i="39" s="1"/>
  <c r="J33" i="105" s="1"/>
  <c r="J38" i="105" s="1"/>
  <c r="J115" i="39"/>
  <c r="P47" i="105"/>
  <c r="R80" i="39"/>
  <c r="S80" i="39" l="1"/>
  <c r="Q47" i="105"/>
  <c r="J119" i="39"/>
  <c r="K99" i="39"/>
  <c r="J44" i="105"/>
  <c r="J48" i="105" s="1"/>
  <c r="J49" i="105" s="1"/>
  <c r="L74" i="39" l="1"/>
  <c r="J25" i="106" s="1"/>
  <c r="J26" i="106" s="1"/>
  <c r="J30" i="106" s="1"/>
  <c r="K105" i="39"/>
  <c r="K107" i="39" s="1"/>
  <c r="K108" i="39" s="1"/>
  <c r="R47" i="105"/>
  <c r="T80" i="39"/>
  <c r="S47" i="105" s="1"/>
  <c r="K110" i="39" l="1"/>
  <c r="K112" i="39" l="1"/>
  <c r="K113" i="39"/>
  <c r="K101" i="39" s="1"/>
  <c r="K104" i="39" s="1"/>
  <c r="K88" i="39" l="1"/>
  <c r="K93" i="39" s="1"/>
  <c r="K117" i="39" s="1"/>
  <c r="K118" i="39" s="1"/>
  <c r="K33" i="105" s="1"/>
  <c r="K38" i="105" s="1"/>
  <c r="K115" i="39"/>
  <c r="K44" i="105" l="1"/>
  <c r="K48" i="105" s="1"/>
  <c r="K49" i="105" s="1"/>
  <c r="K119" i="39"/>
  <c r="L99" i="39"/>
  <c r="L105" i="39" l="1"/>
  <c r="L107" i="39" s="1"/>
  <c r="L108" i="39" s="1"/>
  <c r="M74" i="39"/>
  <c r="K25" i="106" s="1"/>
  <c r="K26" i="106" s="1"/>
  <c r="K30" i="106" s="1"/>
  <c r="L110" i="39" l="1"/>
  <c r="L113" i="39" l="1"/>
  <c r="L101" i="39" s="1"/>
  <c r="L104" i="39" s="1"/>
  <c r="L112" i="39"/>
  <c r="L88" i="39" l="1"/>
  <c r="L93" i="39" s="1"/>
  <c r="L117" i="39" s="1"/>
  <c r="L118" i="39" s="1"/>
  <c r="L33" i="105" s="1"/>
  <c r="L38" i="105" s="1"/>
  <c r="L115" i="39"/>
  <c r="M99" i="39" l="1"/>
  <c r="L44" i="105"/>
  <c r="L48" i="105" s="1"/>
  <c r="L49" i="105" s="1"/>
  <c r="L119" i="39"/>
  <c r="N74" i="39" l="1"/>
  <c r="L25" i="106" s="1"/>
  <c r="L26" i="106" s="1"/>
  <c r="L30" i="106" s="1"/>
  <c r="M105" i="39"/>
  <c r="M107" i="39" s="1"/>
  <c r="M108" i="39" s="1"/>
  <c r="M110" i="39" l="1"/>
  <c r="M112" i="39" l="1"/>
  <c r="M113" i="39"/>
  <c r="M101" i="39" s="1"/>
  <c r="M104" i="39" s="1"/>
  <c r="M88" i="39" l="1"/>
  <c r="M93" i="39" s="1"/>
  <c r="M117" i="39" s="1"/>
  <c r="M118" i="39" s="1"/>
  <c r="M33" i="105" s="1"/>
  <c r="M38" i="105" s="1"/>
  <c r="M115" i="39"/>
  <c r="N99" i="39" l="1"/>
  <c r="M44" i="105"/>
  <c r="M48" i="105" s="1"/>
  <c r="M49" i="105" s="1"/>
  <c r="M119" i="39"/>
  <c r="O74" i="39" l="1"/>
  <c r="M25" i="106" s="1"/>
  <c r="M26" i="106" s="1"/>
  <c r="M30" i="106" s="1"/>
  <c r="N105" i="39"/>
  <c r="N107" i="39" s="1"/>
  <c r="N108" i="39" s="1"/>
  <c r="N110" i="39" l="1"/>
  <c r="N112" i="39" l="1"/>
  <c r="N113" i="39"/>
  <c r="N101" i="39" s="1"/>
  <c r="N104" i="39" s="1"/>
  <c r="N88" i="39" l="1"/>
  <c r="N93" i="39" s="1"/>
  <c r="N117" i="39" s="1"/>
  <c r="N118" i="39" s="1"/>
  <c r="N33" i="105" s="1"/>
  <c r="N38" i="105" s="1"/>
  <c r="N115" i="39"/>
  <c r="N119" i="39" l="1"/>
  <c r="O99" i="39"/>
  <c r="N44" i="105"/>
  <c r="N48" i="105" s="1"/>
  <c r="N49" i="105" s="1"/>
  <c r="O105" i="39" l="1"/>
  <c r="O107" i="39" s="1"/>
  <c r="O108" i="39" s="1"/>
  <c r="P74" i="39"/>
  <c r="N25" i="106" s="1"/>
  <c r="N26" i="106" s="1"/>
  <c r="N30" i="106" s="1"/>
  <c r="O110" i="39" l="1"/>
  <c r="O112" i="39" l="1"/>
  <c r="O113" i="39"/>
  <c r="O101" i="39" s="1"/>
  <c r="O104" i="39" s="1"/>
  <c r="O88" i="39" l="1"/>
  <c r="O93" i="39" s="1"/>
  <c r="O117" i="39" s="1"/>
  <c r="O118" i="39" s="1"/>
  <c r="O33" i="105" s="1"/>
  <c r="O38" i="105" s="1"/>
  <c r="O115" i="39"/>
  <c r="O119" i="39" l="1"/>
  <c r="P99" i="39"/>
  <c r="O44" i="105"/>
  <c r="O48" i="105" s="1"/>
  <c r="O49" i="105" s="1"/>
  <c r="P105" i="39" l="1"/>
  <c r="P107" i="39" s="1"/>
  <c r="P108" i="39" s="1"/>
  <c r="Q74" i="39"/>
  <c r="O25" i="106" s="1"/>
  <c r="O26" i="106" s="1"/>
  <c r="O30" i="106" s="1"/>
  <c r="P110" i="39" l="1"/>
  <c r="P112" i="39" l="1"/>
  <c r="P113" i="39"/>
  <c r="P101" i="39" s="1"/>
  <c r="P104" i="39" s="1"/>
  <c r="P88" i="39" l="1"/>
  <c r="P93" i="39" s="1"/>
  <c r="P117" i="39" s="1"/>
  <c r="P118" i="39" s="1"/>
  <c r="P33" i="105" s="1"/>
  <c r="P38" i="105" s="1"/>
  <c r="P115" i="39"/>
  <c r="Q99" i="39" l="1"/>
  <c r="P44" i="105"/>
  <c r="P48" i="105" s="1"/>
  <c r="P49" i="105" s="1"/>
  <c r="P119" i="39"/>
  <c r="R74" i="39" l="1"/>
  <c r="P25" i="106" s="1"/>
  <c r="P26" i="106" s="1"/>
  <c r="P30" i="106" s="1"/>
  <c r="Q105" i="39"/>
  <c r="Q107" i="39" s="1"/>
  <c r="Q108" i="39" s="1"/>
  <c r="Q110" i="39" l="1"/>
  <c r="Q112" i="39" l="1"/>
  <c r="Q113" i="39"/>
  <c r="Q101" i="39" s="1"/>
  <c r="Q104" i="39" s="1"/>
  <c r="Q88" i="39" l="1"/>
  <c r="Q93" i="39" s="1"/>
  <c r="Q117" i="39" s="1"/>
  <c r="Q118" i="39" s="1"/>
  <c r="Q33" i="105" s="1"/>
  <c r="Q38" i="105" s="1"/>
  <c r="Q115" i="39"/>
  <c r="Q119" i="39" l="1"/>
  <c r="R99" i="39"/>
  <c r="Q44" i="105"/>
  <c r="Q48" i="105" s="1"/>
  <c r="Q49" i="105" s="1"/>
  <c r="S74" i="39" l="1"/>
  <c r="Q25" i="106" s="1"/>
  <c r="Q26" i="106" s="1"/>
  <c r="Q30" i="106" s="1"/>
  <c r="R105" i="39"/>
  <c r="R107" i="39" s="1"/>
  <c r="R108" i="39" s="1"/>
  <c r="R110" i="39" l="1"/>
  <c r="R112" i="39" l="1"/>
  <c r="R113" i="39"/>
  <c r="R101" i="39" s="1"/>
  <c r="R104" i="39" s="1"/>
  <c r="R88" i="39" l="1"/>
  <c r="R93" i="39" s="1"/>
  <c r="R117" i="39" s="1"/>
  <c r="R118" i="39" s="1"/>
  <c r="R33" i="105" s="1"/>
  <c r="R38" i="105" s="1"/>
  <c r="R115" i="39"/>
  <c r="R119" i="39" l="1"/>
  <c r="S99" i="39"/>
  <c r="R44" i="105"/>
  <c r="R48" i="105" s="1"/>
  <c r="R49" i="105" s="1"/>
  <c r="S105" i="39" l="1"/>
  <c r="S107" i="39" s="1"/>
  <c r="S108" i="39" s="1"/>
  <c r="T74" i="39"/>
  <c r="R25" i="106" s="1"/>
  <c r="R26" i="106" s="1"/>
  <c r="R30" i="106" s="1"/>
  <c r="C31" i="106" s="1"/>
  <c r="S110" i="39" l="1"/>
  <c r="C46" i="39"/>
  <c r="S113" i="39" l="1"/>
  <c r="S101" i="39" s="1"/>
  <c r="S104" i="39" s="1"/>
  <c r="S112" i="39"/>
  <c r="S88" i="39" l="1"/>
  <c r="S93" i="39" s="1"/>
  <c r="S117" i="39" s="1"/>
  <c r="S118" i="39" s="1"/>
  <c r="S33" i="105" s="1"/>
  <c r="S38" i="105" s="1"/>
  <c r="T107" i="39"/>
  <c r="T108" i="39" s="1"/>
  <c r="T110" i="39" s="1"/>
  <c r="S115" i="39"/>
  <c r="S44" i="105" l="1"/>
  <c r="S48" i="105" s="1"/>
  <c r="S49" i="105" s="1"/>
  <c r="S119" i="39"/>
  <c r="T99" i="39"/>
  <c r="T112" i="39"/>
  <c r="T88" i="39" s="1"/>
  <c r="T93" i="39" s="1"/>
  <c r="T117" i="39" s="1"/>
  <c r="T118" i="39" s="1"/>
  <c r="T113" i="39"/>
  <c r="T101" i="39" s="1"/>
  <c r="T115" i="39" l="1"/>
  <c r="O36" i="106" l="1"/>
  <c r="Q36" i="106"/>
  <c r="R36" i="106"/>
  <c r="M36" i="106"/>
  <c r="C39" i="106"/>
  <c r="D38" i="106"/>
  <c r="L38" i="106"/>
  <c r="E38" i="106"/>
  <c r="E36" i="106"/>
  <c r="C37" i="106"/>
  <c r="K36" i="106"/>
  <c r="Q38" i="106"/>
  <c r="H36" i="106"/>
  <c r="P36" i="106"/>
  <c r="J36" i="106"/>
  <c r="G36" i="106"/>
  <c r="P38" i="106"/>
  <c r="M38" i="106"/>
  <c r="N38" i="106"/>
  <c r="R38" i="106"/>
  <c r="O38" i="106"/>
  <c r="G38" i="106"/>
  <c r="N36" i="106"/>
  <c r="I38" i="106"/>
  <c r="F38" i="106"/>
  <c r="K38" i="106"/>
  <c r="F36" i="106"/>
  <c r="I36" i="106"/>
  <c r="J38" i="106"/>
  <c r="L36" i="106"/>
  <c r="H38" i="1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ravinderkr</author>
  </authors>
  <commentList>
    <comment ref="B28" authorId="0" shapeId="0" xr:uid="{BC0264B8-BDBF-44DC-A380-3007F4D45C09}">
      <text>
        <r>
          <rPr>
            <b/>
            <sz val="9"/>
            <color indexed="81"/>
            <rFont val="Tahoma"/>
            <family val="2"/>
          </rPr>
          <t>ravinderkr:</t>
        </r>
        <r>
          <rPr>
            <sz val="9"/>
            <color indexed="81"/>
            <rFont val="Tahoma"/>
            <family val="2"/>
          </rPr>
          <t xml:space="preserve">
changed after plant suggestion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0C19FC-2878-4D06-A72C-2F897937F4DD}" keepAlive="1" name="Query - option-chain-indices?symbol=NIFTY" description="Connection to the 'option-chain-indices?symbol=NIFTY' query in the workbook." type="5" refreshedVersion="7" background="1" saveData="1">
    <dbPr connection="Provider=Microsoft.Mashup.OleDb.1;Data Source=$Workbook$;Location=&quot;option-chain-indices?symbol=NIFTY&quot;;Extended Properties=&quot;&quot;" command="SELECT * FROM [option-chain-indices?symbol=NIFTY]"/>
  </connection>
</connections>
</file>

<file path=xl/sharedStrings.xml><?xml version="1.0" encoding="utf-8"?>
<sst xmlns="http://schemas.openxmlformats.org/spreadsheetml/2006/main" count="1058" uniqueCount="651">
  <si>
    <t>Naphtha</t>
  </si>
  <si>
    <t>Product</t>
  </si>
  <si>
    <t>MANUFACTURING COST</t>
  </si>
  <si>
    <t>Catalyst &amp; Chemicals</t>
  </si>
  <si>
    <t>Labour</t>
  </si>
  <si>
    <t>Variable Overheads</t>
  </si>
  <si>
    <t>Fixed Overheads</t>
  </si>
  <si>
    <t>Selling Overheads</t>
  </si>
  <si>
    <t>Total  Production Cost</t>
  </si>
  <si>
    <t>Description</t>
  </si>
  <si>
    <t>Operating Period</t>
  </si>
  <si>
    <t>Operating Revenue</t>
  </si>
  <si>
    <t>Total Operating Cost</t>
  </si>
  <si>
    <t>Depreciation</t>
  </si>
  <si>
    <t>Net Cash Flow</t>
  </si>
  <si>
    <t>Cost of Capital (10%)</t>
  </si>
  <si>
    <t>Discounted Cash Flow</t>
  </si>
  <si>
    <t>Undiscounted Cash Flow</t>
  </si>
  <si>
    <t>NPV</t>
  </si>
  <si>
    <t>IRR</t>
  </si>
  <si>
    <t>Accounts Receivable</t>
  </si>
  <si>
    <t>DSO</t>
  </si>
  <si>
    <t>Days</t>
  </si>
  <si>
    <t>Change in sales/ mth.</t>
  </si>
  <si>
    <t>Change in AR</t>
  </si>
  <si>
    <t>Inventory (Impact of COGS change)</t>
  </si>
  <si>
    <t>DIO (Days Inventory)</t>
  </si>
  <si>
    <t>Change in COGS/ mth.</t>
  </si>
  <si>
    <t>Change in Inv.</t>
  </si>
  <si>
    <t>Accounts Payable</t>
  </si>
  <si>
    <t>DPO</t>
  </si>
  <si>
    <t>Change in payables/ mth.</t>
  </si>
  <si>
    <t>A</t>
  </si>
  <si>
    <t>TOTAL FIXED-CAPITAL INVESTMENT</t>
  </si>
  <si>
    <t>A1</t>
  </si>
  <si>
    <t>TOTAL DIRECT PLANT COST</t>
  </si>
  <si>
    <t>Purchased-equipment installation</t>
  </si>
  <si>
    <t>Instrumentation and controls (installed)</t>
  </si>
  <si>
    <t>Piping (installed)</t>
  </si>
  <si>
    <t>Electrical (installed)</t>
  </si>
  <si>
    <t>Buildings (including services)</t>
  </si>
  <si>
    <t>Service facilities (installed)</t>
  </si>
  <si>
    <t>A2</t>
  </si>
  <si>
    <t>TOTAL INDIRECT PLANT COST</t>
  </si>
  <si>
    <t>B</t>
  </si>
  <si>
    <t>WORKING CAPITAL</t>
  </si>
  <si>
    <t>TOTAL CAPITAL INVESTMENT</t>
  </si>
  <si>
    <t xml:space="preserve">Annual Qty </t>
  </si>
  <si>
    <t xml:space="preserve">Unit Rate </t>
  </si>
  <si>
    <t>Tonne</t>
  </si>
  <si>
    <r>
      <t xml:space="preserve">A1 </t>
    </r>
    <r>
      <rPr>
        <sz val="10"/>
        <color theme="1"/>
        <rFont val="Arial"/>
        <family val="2"/>
      </rPr>
      <t xml:space="preserve">+ </t>
    </r>
    <r>
      <rPr>
        <b/>
        <sz val="10"/>
        <color theme="1"/>
        <rFont val="Arial"/>
        <family val="2"/>
      </rPr>
      <t>A2</t>
    </r>
  </si>
  <si>
    <t>No of Employee Break-Up</t>
  </si>
  <si>
    <t>No of Employee</t>
  </si>
  <si>
    <t>Total CTC</t>
  </si>
  <si>
    <t>Top Level</t>
  </si>
  <si>
    <t>Senior level Management</t>
  </si>
  <si>
    <t>Mid Level Management</t>
  </si>
  <si>
    <t xml:space="preserve">Engineer/ Sr. Engineer </t>
  </si>
  <si>
    <t>Blue Collar</t>
  </si>
  <si>
    <t>Contractual, skilled &amp; Unskilled Worker</t>
  </si>
  <si>
    <t>Operating Cost</t>
  </si>
  <si>
    <t>CTC Break-up(Lacs)</t>
  </si>
  <si>
    <t>Total (Cr.)</t>
  </si>
  <si>
    <t>S.No.</t>
  </si>
  <si>
    <t>INR Crore</t>
  </si>
  <si>
    <t>Power</t>
  </si>
  <si>
    <t>Cooling Water</t>
  </si>
  <si>
    <t xml:space="preserve">Delivered main equipment (includes auxiliary equipment) </t>
  </si>
  <si>
    <t>Steam</t>
  </si>
  <si>
    <t>INR / Tonne</t>
  </si>
  <si>
    <t>Total Fixed Cost</t>
  </si>
  <si>
    <t>Unit</t>
  </si>
  <si>
    <t>MT</t>
  </si>
  <si>
    <t>Total</t>
  </si>
  <si>
    <t>Nitrogen-Rs./NM3 (Considered for Oxygen cost of Production)</t>
  </si>
  <si>
    <t>Condensate Cost  INR/M3</t>
  </si>
  <si>
    <t>TOTAL SALES</t>
  </si>
  <si>
    <t>Price (INR / Tonne)</t>
  </si>
  <si>
    <t>Annual Production</t>
  </si>
  <si>
    <t>Value in (INR Crore)</t>
  </si>
  <si>
    <t>Product &amp; Co-Product</t>
  </si>
  <si>
    <t>Cooling water cost INR/M3</t>
  </si>
  <si>
    <t>Compressed Air cost INR/NM3</t>
  </si>
  <si>
    <t>BFW cost INR/MT</t>
  </si>
  <si>
    <t>Expenditure phasing / Capacity Utilization</t>
  </si>
  <si>
    <t>ISBL</t>
  </si>
  <si>
    <t>OSBL</t>
  </si>
  <si>
    <t>Overheads</t>
  </si>
  <si>
    <t>Capex (In INR Crore)</t>
  </si>
  <si>
    <t>Total Investment (In INR Crore)</t>
  </si>
  <si>
    <t xml:space="preserve">All Figures are in INR Crore </t>
  </si>
  <si>
    <t>Plant &amp; Machinery</t>
  </si>
  <si>
    <t>Percentage Share</t>
  </si>
  <si>
    <t>Total Investment  (INR Crore)</t>
  </si>
  <si>
    <t>Capacity Utilization</t>
  </si>
  <si>
    <t>Rs Crore</t>
  </si>
  <si>
    <t>1st Year</t>
  </si>
  <si>
    <t>2nd Year</t>
  </si>
  <si>
    <t>3rd Year</t>
  </si>
  <si>
    <t>4th Year</t>
  </si>
  <si>
    <t>5th Year</t>
  </si>
  <si>
    <t>6th Year</t>
  </si>
  <si>
    <t>7th Year</t>
  </si>
  <si>
    <t>8th Year</t>
  </si>
  <si>
    <t>9th Year</t>
  </si>
  <si>
    <t>10th Year</t>
  </si>
  <si>
    <t>Income Tax Provision</t>
  </si>
  <si>
    <t>Profit After Tax</t>
  </si>
  <si>
    <t>(A) Gross Revenue</t>
  </si>
  <si>
    <t>(B) Variable Expenses</t>
  </si>
  <si>
    <t>Total Variable Expenses</t>
  </si>
  <si>
    <t>(C) Contribution</t>
  </si>
  <si>
    <t>(D) Fixed Expenses</t>
  </si>
  <si>
    <t>(E) Break Even Point</t>
  </si>
  <si>
    <t>Debt Service Coverage Ratio (DSCR)</t>
  </si>
  <si>
    <t>Particulars</t>
  </si>
  <si>
    <t>(a) Profit After Tax</t>
  </si>
  <si>
    <t>(c) Add Back Interest on Term Loan</t>
  </si>
  <si>
    <t>Average DSCR (for Loan Period)</t>
  </si>
  <si>
    <t>Particular</t>
  </si>
  <si>
    <t xml:space="preserve">Share </t>
  </si>
  <si>
    <t>Value (Rs. Crore)</t>
  </si>
  <si>
    <t>Equity Share Capital</t>
  </si>
  <si>
    <t>Term Loan</t>
  </si>
  <si>
    <t>Rate of Interest on Term Loan</t>
  </si>
  <si>
    <t xml:space="preserve">                                                                                                                                                                                                                                                                                                                                                                                             </t>
  </si>
  <si>
    <t>Year</t>
  </si>
  <si>
    <t>Term Loan Amount</t>
  </si>
  <si>
    <t>Repayment (Half Yearly)</t>
  </si>
  <si>
    <t xml:space="preserve">Total Repayment during the year </t>
  </si>
  <si>
    <t>Interest (Half Yearly)</t>
  </si>
  <si>
    <t>Total Interest Payment during the year</t>
  </si>
  <si>
    <t>Gross Revenue</t>
  </si>
  <si>
    <t>Details</t>
  </si>
  <si>
    <t>Assumptions</t>
  </si>
  <si>
    <t>Source</t>
  </si>
  <si>
    <t>Feed Price</t>
  </si>
  <si>
    <t>Weighted Average</t>
  </si>
  <si>
    <t>Actual</t>
  </si>
  <si>
    <t>MMBTU</t>
  </si>
  <si>
    <t>Chemical Products' Price</t>
  </si>
  <si>
    <t>Derived</t>
  </si>
  <si>
    <t>Tonnes</t>
  </si>
  <si>
    <t>Power INR/KWh</t>
  </si>
  <si>
    <t>Steam INR/MT</t>
  </si>
  <si>
    <t>DM Water INR/MT</t>
  </si>
  <si>
    <t>MWh</t>
  </si>
  <si>
    <t>NM3</t>
  </si>
  <si>
    <t>Boiler Feed Water</t>
  </si>
  <si>
    <t>INR</t>
  </si>
  <si>
    <t>Total Utilities Cost</t>
  </si>
  <si>
    <t>Catchem</t>
  </si>
  <si>
    <t>Project Phase in Years</t>
  </si>
  <si>
    <t>Project Sensitivity</t>
  </si>
  <si>
    <t>Break-Even Point</t>
  </si>
  <si>
    <t>Selling Price decreases by 11%, Raw Material Price remains same</t>
  </si>
  <si>
    <t>Increase in Raw Material price by 16.5 % with no change in selling price</t>
  </si>
  <si>
    <t>Increase in raw material price by 9 % with decrease in selling price by 5%</t>
  </si>
  <si>
    <t>Increase in Cost of Production by 14.5% with no change in selling price</t>
  </si>
  <si>
    <t>Project Sensitivity Analysis</t>
  </si>
  <si>
    <t>Total (a+b)</t>
  </si>
  <si>
    <t>(c) Interest on Term Loan</t>
  </si>
  <si>
    <t>(d) Term Loan Instalment</t>
  </si>
  <si>
    <t>Total (c+d)</t>
  </si>
  <si>
    <t>DSCR</t>
  </si>
  <si>
    <t>Per MT Margin</t>
  </si>
  <si>
    <t>Margin %</t>
  </si>
  <si>
    <t>Unit Margin</t>
  </si>
  <si>
    <t>Gross Margin (EBITDA/PBITDA)</t>
  </si>
  <si>
    <t>Inflation (after adjustment of dollar appreciation)</t>
  </si>
  <si>
    <t>Payback Period after project completion (Simple)</t>
  </si>
  <si>
    <t>Payback Period after project completion (Discounted)</t>
  </si>
  <si>
    <t>Simple</t>
  </si>
  <si>
    <t>Discounted</t>
  </si>
  <si>
    <t>Simple Factor</t>
  </si>
  <si>
    <t>Discounted Factor</t>
  </si>
  <si>
    <t xml:space="preserve">Unit </t>
  </si>
  <si>
    <t>Break Even Point (at optimum capacity utilization)</t>
  </si>
  <si>
    <t>Year of Operation</t>
  </si>
  <si>
    <t>Total  Cost of Sales</t>
  </si>
  <si>
    <t>Gross Profit</t>
  </si>
  <si>
    <t>Cumulative Cash Flow</t>
  </si>
  <si>
    <t>Raw material and Catalyst &amp; Chemicals</t>
  </si>
  <si>
    <t>(-)Depreciation</t>
  </si>
  <si>
    <t>Profit Before Tax</t>
  </si>
  <si>
    <t>Interest on Term Loan</t>
  </si>
  <si>
    <t>Nil</t>
  </si>
  <si>
    <t>Anhydrous Ammonia (liquid)</t>
  </si>
  <si>
    <t>Weak Nitric Acid</t>
  </si>
  <si>
    <t>Natural Gas</t>
  </si>
  <si>
    <t>Anhydrous Ammonia (Liquid)</t>
  </si>
  <si>
    <t>Production</t>
  </si>
  <si>
    <t>Yield Data by TechSci</t>
  </si>
  <si>
    <r>
      <t xml:space="preserve">A </t>
    </r>
    <r>
      <rPr>
        <sz val="10"/>
        <color theme="0"/>
        <rFont val="Arial"/>
        <family val="2"/>
      </rPr>
      <t xml:space="preserve">+ </t>
    </r>
    <r>
      <rPr>
        <b/>
        <sz val="10"/>
        <color theme="0"/>
        <rFont val="Arial"/>
        <family val="2"/>
      </rPr>
      <t>B</t>
    </r>
  </si>
  <si>
    <t>WNA</t>
  </si>
  <si>
    <t>Utilities for WNA</t>
  </si>
  <si>
    <t>10-30 KWH</t>
  </si>
  <si>
    <t>1000kg @ 200 psig</t>
  </si>
  <si>
    <t xml:space="preserve">Steam credit </t>
  </si>
  <si>
    <t>120 T</t>
  </si>
  <si>
    <t xml:space="preserve">Water </t>
  </si>
  <si>
    <t>0.001 Kg</t>
  </si>
  <si>
    <t>Platinum</t>
  </si>
  <si>
    <t>3000 Nm^3</t>
  </si>
  <si>
    <t>Air</t>
  </si>
  <si>
    <t xml:space="preserve">Ammonia </t>
  </si>
  <si>
    <t>155 kg</t>
  </si>
  <si>
    <t>58 MTD (21.17 KTPA)</t>
  </si>
  <si>
    <t>96.86 MTD (35.35 KTPA)</t>
  </si>
  <si>
    <t>For 1 T of Weak Nitric Acid (100%)</t>
  </si>
  <si>
    <t>Require-Magnesium Nitrate</t>
  </si>
  <si>
    <t>Require- Weak Nitric Acid</t>
  </si>
  <si>
    <t>Concentrated Nitric Acid</t>
  </si>
  <si>
    <t>144 MTD</t>
  </si>
  <si>
    <t>529 MTD</t>
  </si>
  <si>
    <t>671 MTD</t>
  </si>
  <si>
    <t>Ammonium Nitrate manufacturing process does not require any Catalyst. Similarly, CNA manufacturing does not require any catalyst.</t>
  </si>
  <si>
    <t>Catalyst for Ammonium Nitrate</t>
  </si>
  <si>
    <t>The remaining nitric acid i.e, 58 MTD (21.17 KTPA) can be used for merchant sale or can be captively utilized to produce concentrated nitric acid.</t>
  </si>
  <si>
    <t>For ammonia Oxidation - Precious metal (Pt /Rh) gauze. The net catalyst consumption per ton of nitric acid is, including the credit of Pt /Rh recovery from the recovery gauzes, is 40 mg/MT of Weak Nitric acid.</t>
  </si>
  <si>
    <t>Catalyst for Weak Nitric Acid</t>
  </si>
  <si>
    <t>274 MTD (100 KTPA)</t>
  </si>
  <si>
    <t>For 600 MTD (220 KTPA) production of weak nitric acid we require 170 MTD of Anhydrous Ammonia (Liquid). Therefore, for 274 MTD (100KTPA) production of weak nitric acid we will be requiring 28.4 MTD of Anhydrous Ammonia (Liquid).</t>
  </si>
  <si>
    <t>150 MTD</t>
  </si>
  <si>
    <t>553 MTD</t>
  </si>
  <si>
    <t>700 MTD</t>
  </si>
  <si>
    <t>To be procured from market</t>
  </si>
  <si>
    <t>Road</t>
  </si>
  <si>
    <t>0.24 @ 1.6 kg/MT</t>
  </si>
  <si>
    <t>Magnesium Nitrate</t>
  </si>
  <si>
    <t>Require- Anhydrous Ammonia (Liquid)</t>
  </si>
  <si>
    <t>Require -Weak Nitric Acid</t>
  </si>
  <si>
    <t>Ammonium Nitrate</t>
  </si>
  <si>
    <t>Captive production in WNA plant</t>
  </si>
  <si>
    <t>Pipeline</t>
  </si>
  <si>
    <t>250 @ 1.67 MT/MT</t>
  </si>
  <si>
    <t xml:space="preserve">Weak Nitric Acid (WNA) </t>
  </si>
  <si>
    <t>Concentrated Nitric Acid (CNA)</t>
  </si>
  <si>
    <t>Captive production</t>
  </si>
  <si>
    <t>150 @0.214 MT/MT</t>
  </si>
  <si>
    <t xml:space="preserve">529 MTD </t>
  </si>
  <si>
    <t>553 @ 0.789 MT/MT</t>
  </si>
  <si>
    <t>Weak Nitric Acid (WNA)</t>
  </si>
  <si>
    <t>28.4 MTD (10.36 KTPA)</t>
  </si>
  <si>
    <t>Technical Ammonium Nitrate (TAN) Plant – AN Melt/Prilled HDAN/LDAN</t>
  </si>
  <si>
    <t>170 MTD</t>
  </si>
  <si>
    <t>600 MTD</t>
  </si>
  <si>
    <t>170 @ 0.284 MT/MT</t>
  </si>
  <si>
    <t>Require -Anhydrous Ammonia (liquid)</t>
  </si>
  <si>
    <t>Sourcing</t>
  </si>
  <si>
    <t>Mode of Transport</t>
  </si>
  <si>
    <t>Daily requirement</t>
  </si>
  <si>
    <t xml:space="preserve">Raw Materials </t>
  </si>
  <si>
    <t>Raw Materials</t>
  </si>
  <si>
    <t>Kg</t>
  </si>
  <si>
    <t>300 MTD (100 KTPA)</t>
  </si>
  <si>
    <t>236 MTD (77.88)</t>
  </si>
  <si>
    <t>65 MTD (21.45)</t>
  </si>
  <si>
    <t>Per MT consumption</t>
  </si>
  <si>
    <t>Capacity (MTPA)</t>
  </si>
  <si>
    <t>Platinum(94%)/Rhodium(6%) Gauze (Catalyst)*</t>
  </si>
  <si>
    <t xml:space="preserve">Product </t>
  </si>
  <si>
    <t>Annual Quantity Required</t>
  </si>
  <si>
    <t>Pt/Rh Price</t>
  </si>
  <si>
    <t>Per Ton Consumption</t>
  </si>
  <si>
    <t>Cost of Per ton Consumption USD</t>
  </si>
  <si>
    <t>Cost of Per ton Consumption INR</t>
  </si>
  <si>
    <t>Plant Overhead and Administrative Costs (3.0% of  10 + 15)</t>
  </si>
  <si>
    <t>Kribhco</t>
  </si>
  <si>
    <t>Annual Sales Revenue @ 100 Percent Capacity Utilization</t>
  </si>
  <si>
    <t>Selling Price per MT of XXX</t>
  </si>
  <si>
    <t>Cost per MT of XXX</t>
  </si>
  <si>
    <t>2017-18</t>
  </si>
  <si>
    <t>2018-19</t>
  </si>
  <si>
    <t>2019-20</t>
  </si>
  <si>
    <t>2020-21</t>
  </si>
  <si>
    <t>4 Years Average</t>
  </si>
  <si>
    <t>Kribhco (Shahjahanpur)</t>
  </si>
  <si>
    <t>INR/Tonne</t>
  </si>
  <si>
    <t>Kribhco (Hazira)</t>
  </si>
  <si>
    <t>Capacity- 100 KTPA WNA Plant + 100 KTPA Ammonium Nitrate(Captive Anhydrous Ammonia (Liquid))</t>
  </si>
  <si>
    <t>Finanacial Model</t>
  </si>
  <si>
    <t>Working Capital</t>
  </si>
  <si>
    <t xml:space="preserve">Annual Sales </t>
  </si>
  <si>
    <t>Salaries &amp; Wages Calculations</t>
  </si>
  <si>
    <t>TAN</t>
  </si>
  <si>
    <t>Means of Finance</t>
  </si>
  <si>
    <t xml:space="preserve">Interest Calculation on Loan and Working Capital  (INR Crore) </t>
  </si>
  <si>
    <t>Break Even Unit at Optimum Capacity Utilization (4th Year)</t>
  </si>
  <si>
    <t>Projections of Performance, Profitability and Repayment</t>
  </si>
  <si>
    <t>Utilities for AN</t>
  </si>
  <si>
    <t>TechSci</t>
  </si>
  <si>
    <t xml:space="preserve">Weak Nitric Acid </t>
  </si>
  <si>
    <t>100 KTPA Ammonium Nitrate Plant</t>
  </si>
  <si>
    <t>WNA + TAN</t>
  </si>
  <si>
    <t>% Change</t>
  </si>
  <si>
    <t>PAT</t>
  </si>
  <si>
    <t xml:space="preserve">Profit After Tax </t>
  </si>
  <si>
    <t>Total WNA &amp; AN Production</t>
  </si>
  <si>
    <t>Total WNA Production</t>
  </si>
  <si>
    <t>Cost of 100000 ton Consumption INR</t>
  </si>
  <si>
    <t>Anhydrous Ammonia (Liquid) (INR/Tonnes)</t>
  </si>
  <si>
    <t>Weak Nitric Acid (INR/Tonnes)</t>
  </si>
  <si>
    <t>Weak Nitric Acid (Tonnes)</t>
  </si>
  <si>
    <t>(C) Contribution(Surplus)</t>
  </si>
  <si>
    <t>Sensitivity- Break Even Point at Optimum Capacity Utilisation (4th Year)</t>
  </si>
  <si>
    <t>Sensitivity- Projections of Performance, Profitability and Repayment</t>
  </si>
  <si>
    <t>Rs. Crore</t>
  </si>
  <si>
    <t>Yield Data by KBR</t>
  </si>
  <si>
    <t xml:space="preserve">Process Condensate </t>
  </si>
  <si>
    <t>0.000028 kg</t>
  </si>
  <si>
    <t>Value (Per MT Consumption)</t>
  </si>
  <si>
    <t xml:space="preserve"> </t>
  </si>
  <si>
    <t>Debt: Equity to be taken as 3:1</t>
  </si>
  <si>
    <t>The basis of cost break up is not correct</t>
  </si>
  <si>
    <t>Packaging- do you consider LDAN/HDAN? Two alternatives may be carried out. AN Melt and solid lDAN/HDAN</t>
  </si>
  <si>
    <t>R&amp;M is minimum 2-3%</t>
  </si>
  <si>
    <t>Not reqd, Transportation by buyers</t>
  </si>
  <si>
    <t>R&amp;D cost not required</t>
  </si>
  <si>
    <t>Not required</t>
  </si>
  <si>
    <t>Split it in two years (24 months) in 40:60 ratio</t>
  </si>
  <si>
    <t>Break up of production to be corrected</t>
  </si>
  <si>
    <t>In 2025</t>
  </si>
  <si>
    <t>consider 15 years operation</t>
  </si>
  <si>
    <t>Escalation not required</t>
  </si>
  <si>
    <t>IT rate -are you sure 25%</t>
  </si>
  <si>
    <t>Book Depreciation should be based on 15 years period ~ 6.5%</t>
  </si>
  <si>
    <t>Sensitivity analysis to be factored into Raw material, Capex, Selling price only with +/- 5 &amp;10%</t>
  </si>
  <si>
    <t>Steam Export??</t>
  </si>
  <si>
    <t>should be linked to certain cell</t>
  </si>
  <si>
    <t>COP can not be considered as selling price</t>
  </si>
  <si>
    <t>average of this item is not required</t>
  </si>
  <si>
    <t>Whether the capex include both ISBL or ISBL &amp; OSBL both??</t>
  </si>
  <si>
    <t>Instead of this kind of break up, please provide break up of ISBL &amp; OSBL like cost of main WNA plant, AN Plant, offsites , storage tanks etc.</t>
  </si>
  <si>
    <t>Actual break up of ISBL &amp; OSBL required rather than approximation of ratios</t>
  </si>
  <si>
    <t>This sheet may not be necessary, "Norms" sheet can be directly linked to other worksheets.</t>
  </si>
  <si>
    <t>In this sheet please mention overheads</t>
  </si>
  <si>
    <t>Why average of all these parameters required??</t>
  </si>
  <si>
    <t>I understand all utilities facilities are to be created, so instead of fixing rate of  each and every utilities capex and opex of each utility facilities needs to specified.</t>
  </si>
  <si>
    <t>cannot be fixed number, to be linked with calculation sheet</t>
  </si>
  <si>
    <t>The opex sheet should start from year 2025 for a period of 15 years</t>
  </si>
  <si>
    <t>Other costs also to be spread for full 15 years</t>
  </si>
  <si>
    <t>As an integrated WNA/AN plant overall opex needs to be calculated other than Rs/MT of WNA &amp; AN</t>
  </si>
  <si>
    <t>Break up of variable &amp; Fixed cost to be shown separately</t>
  </si>
  <si>
    <t>packagin cost may not be required, to be sold in tankers. Transportation cost may be indicated separately and ex-works price to be taken into account</t>
  </si>
  <si>
    <t>inflation not required</t>
  </si>
  <si>
    <t>should be 2 years</t>
  </si>
  <si>
    <t>Pre-tax and post tax IRR to be indicated</t>
  </si>
  <si>
    <t>Book Depreciation and IT-Depreciation is not indicated</t>
  </si>
  <si>
    <t>Separate Tax calculation sheet to be provided</t>
  </si>
  <si>
    <t>Interest cost not mentioned??</t>
  </si>
  <si>
    <t>Annual Sales</t>
  </si>
  <si>
    <t>For Hazira</t>
  </si>
  <si>
    <t> (Rs/MT NH3)</t>
  </si>
  <si>
    <t>2021-22</t>
  </si>
  <si>
    <t>For Shahjahanpur</t>
  </si>
  <si>
    <t xml:space="preserve">(Rs/MT NH3) </t>
  </si>
  <si>
    <t>Blue- No break up required</t>
  </si>
  <si>
    <t xml:space="preserve">Give break up of indirect cost- required </t>
  </si>
  <si>
    <t xml:space="preserve">Variable Cost </t>
  </si>
  <si>
    <t>Fixed  Cost</t>
  </si>
  <si>
    <t>Labour (Salary and Wages)</t>
  </si>
  <si>
    <t>Interest on Capital</t>
  </si>
  <si>
    <t>Maintenance and repairs (2.0% of fixed-capital investment)(Capex)</t>
  </si>
  <si>
    <t>Varaible Cost</t>
  </si>
  <si>
    <t>Fixed Cost</t>
  </si>
  <si>
    <t>82.50 KTPA Weak Nitric Acid</t>
  </si>
  <si>
    <t>Variable Cost</t>
  </si>
  <si>
    <t>Interest</t>
  </si>
  <si>
    <t>Net Profit</t>
  </si>
  <si>
    <t>Selling Price decreases by 5%, Raw Material Price remains same</t>
  </si>
  <si>
    <t>Increase in Variable cost price by 10% with no change in selling price</t>
  </si>
  <si>
    <t>Increase in raw material price by 10% with decrease in selling price by 5%</t>
  </si>
  <si>
    <t>Increase in Cost of Production by 5% with no change in selling price</t>
  </si>
  <si>
    <t>Capacity- 82.5 KTPA WNA Plant + 100 KTPA Ammonium Nitrate(Captive Anhydrous Ammonia (Liquid))</t>
  </si>
  <si>
    <t>Engineering and supervision, Construction expenses, Legal expenses, Contractor’s fee, Contingency</t>
  </si>
  <si>
    <t>Long Term Loans</t>
  </si>
  <si>
    <t>Moratorium</t>
  </si>
  <si>
    <t>Tenure</t>
  </si>
  <si>
    <t>Loan</t>
  </si>
  <si>
    <t>Annual Installment</t>
  </si>
  <si>
    <t>-2 (6 Months Equity)</t>
  </si>
  <si>
    <t>Loan Repayment</t>
  </si>
  <si>
    <t>Loan Outstanding</t>
  </si>
  <si>
    <t>Depreciation Calculation</t>
  </si>
  <si>
    <t>Valuation of assets</t>
  </si>
  <si>
    <t>Type of assets</t>
  </si>
  <si>
    <t>Basic cost</t>
  </si>
  <si>
    <t>%age</t>
  </si>
  <si>
    <t>other Costs</t>
  </si>
  <si>
    <t>Total Cost</t>
  </si>
  <si>
    <t>Civil Construction</t>
  </si>
  <si>
    <t>Plant &amp; Machinery, Misc fixed assets, Design and detailed engg</t>
  </si>
  <si>
    <t>Total cost</t>
  </si>
  <si>
    <t>Depreciation schedule</t>
  </si>
  <si>
    <t>I. As per Books of Accounts</t>
  </si>
  <si>
    <t>Years</t>
  </si>
  <si>
    <t>Buildings</t>
  </si>
  <si>
    <t>Net Value</t>
  </si>
  <si>
    <t>Dep. Amount</t>
  </si>
  <si>
    <t>I</t>
  </si>
  <si>
    <t>II</t>
  </si>
  <si>
    <t>III</t>
  </si>
  <si>
    <t>IV</t>
  </si>
  <si>
    <t>V</t>
  </si>
  <si>
    <t>VI</t>
  </si>
  <si>
    <t>VII</t>
  </si>
  <si>
    <t>VIII</t>
  </si>
  <si>
    <t>IX</t>
  </si>
  <si>
    <t>X</t>
  </si>
  <si>
    <t>XI</t>
  </si>
  <si>
    <t>XII</t>
  </si>
  <si>
    <t>XIII</t>
  </si>
  <si>
    <t>XIV</t>
  </si>
  <si>
    <t>XV</t>
  </si>
  <si>
    <t>XVI</t>
  </si>
  <si>
    <t>XVII</t>
  </si>
  <si>
    <t>XVIII</t>
  </si>
  <si>
    <t>XIX</t>
  </si>
  <si>
    <t>XX</t>
  </si>
  <si>
    <t>Remaining</t>
  </si>
  <si>
    <t>Description of the building</t>
  </si>
  <si>
    <t>Total area required</t>
  </si>
  <si>
    <t>(in square meter)</t>
  </si>
  <si>
    <t>Factory building</t>
  </si>
  <si>
    <t xml:space="preserve">Miscellaneous building including pump house,  water storage etc  Earth works, drainage, toilet, rest room, internal roads etc. at 5% of totla cost of factory and non factory building,  Architect fees </t>
  </si>
  <si>
    <t>Lumpsum</t>
  </si>
  <si>
    <t>Provision for contingency</t>
  </si>
  <si>
    <t>Building</t>
  </si>
  <si>
    <t>Plant and Machinery</t>
  </si>
  <si>
    <t>Preliminary and preoperative expenses</t>
  </si>
  <si>
    <t>Provision for contigency at 10%</t>
  </si>
  <si>
    <t xml:space="preserve">Plant and machinery </t>
  </si>
  <si>
    <t>Cost of basic plant and machinery</t>
  </si>
  <si>
    <t>Auxiliary equipment and pollution control equipment at 5%</t>
  </si>
  <si>
    <t xml:space="preserve">Freight charges at 1% </t>
  </si>
  <si>
    <t>Insurance charges  at 2%</t>
  </si>
  <si>
    <t>Erection and foundation at 7.5% of plant machinery</t>
  </si>
  <si>
    <t>Stores and spares (2%)</t>
  </si>
  <si>
    <t>Miscellaneous fixed assets</t>
  </si>
  <si>
    <t>Electrification (including cost of installation, cabling, etc.)</t>
  </si>
  <si>
    <t xml:space="preserve">Steam generation and auxiliaries </t>
  </si>
  <si>
    <t>Water storage tank, borewell etc.</t>
  </si>
  <si>
    <t>Storage tanks</t>
  </si>
  <si>
    <t>Laboratory equipment</t>
  </si>
  <si>
    <t>Office machinery equipment</t>
  </si>
  <si>
    <t>Preliminary and Pre operative expenses</t>
  </si>
  <si>
    <t>Cost in Rs. lakhs</t>
  </si>
  <si>
    <t>Preliminary and Pre-operative expenses, establishment and rent rate and taxes</t>
  </si>
  <si>
    <t>Establishment</t>
  </si>
  <si>
    <t>Rent rate and taxes</t>
  </si>
  <si>
    <t>Traveling expenses</t>
  </si>
  <si>
    <t>Interest and commitment charges on borrowing</t>
  </si>
  <si>
    <t>Design and detailed engineering</t>
  </si>
  <si>
    <t>Rate per square meter</t>
  </si>
  <si>
    <t>Financial Model</t>
  </si>
  <si>
    <t>Material handling equipment, weight balance, etc.</t>
  </si>
  <si>
    <t>No of Days in Year</t>
  </si>
  <si>
    <t>Raw Material Inventory</t>
  </si>
  <si>
    <t>Ammonia &amp; other consumables</t>
  </si>
  <si>
    <t xml:space="preserve">Raw Material/Suppliers Credit </t>
  </si>
  <si>
    <t>Ammonia</t>
  </si>
  <si>
    <t>Working Capital: Receivables fro Dealers</t>
  </si>
  <si>
    <t>WC Days for Receivables from Dealers/Customer</t>
  </si>
  <si>
    <t>Product Inventory</t>
  </si>
  <si>
    <t>Cash in Hand (Salaries Exp)</t>
  </si>
  <si>
    <t>PROJECTED BALANCE SHEET</t>
  </si>
  <si>
    <t>KRIBHCO</t>
  </si>
  <si>
    <t>18 months construction Period</t>
  </si>
  <si>
    <t>SL.</t>
  </si>
  <si>
    <t>Item</t>
  </si>
  <si>
    <t>2</t>
  </si>
  <si>
    <t>3</t>
  </si>
  <si>
    <t>4</t>
  </si>
  <si>
    <t>5</t>
  </si>
  <si>
    <t>6</t>
  </si>
  <si>
    <t>7</t>
  </si>
  <si>
    <t>8</t>
  </si>
  <si>
    <t>9</t>
  </si>
  <si>
    <t>10</t>
  </si>
  <si>
    <t>11</t>
  </si>
  <si>
    <t>12</t>
  </si>
  <si>
    <t>13</t>
  </si>
  <si>
    <t>14</t>
  </si>
  <si>
    <t>15</t>
  </si>
  <si>
    <t>NO.</t>
  </si>
  <si>
    <t>(6 months)</t>
  </si>
  <si>
    <t>ASSETS</t>
  </si>
  <si>
    <t>Current Assets</t>
  </si>
  <si>
    <t>From Dealer</t>
  </si>
  <si>
    <t xml:space="preserve">Product Inventory </t>
  </si>
  <si>
    <t>Raw Mat.Inventory &amp; Opr. Supplies</t>
  </si>
  <si>
    <t>Cash in hand (Salaries+Admin Expenses)</t>
  </si>
  <si>
    <t>Total Current Assets</t>
  </si>
  <si>
    <t>Cash &amp; Equivalent to-date</t>
  </si>
  <si>
    <t>Fixed Assets</t>
  </si>
  <si>
    <t>Gross Fixed Assets</t>
  </si>
  <si>
    <t>Accum. Depreciation</t>
  </si>
  <si>
    <t>Net Fixed Assets</t>
  </si>
  <si>
    <t>TOTAL ASSETS</t>
  </si>
  <si>
    <t>LIABILITIES</t>
  </si>
  <si>
    <t>Current Liabilities</t>
  </si>
  <si>
    <t>Suppliers Credit</t>
  </si>
  <si>
    <t>Advances &amp; Deposits</t>
  </si>
  <si>
    <t>Total Current Liabilities</t>
  </si>
  <si>
    <t>Short Term Loan</t>
  </si>
  <si>
    <t>LT Loan Outstanding</t>
  </si>
  <si>
    <t>Retained Earnings</t>
  </si>
  <si>
    <t>TOTAL LIABILITIES</t>
  </si>
  <si>
    <t>Current Ratio</t>
  </si>
  <si>
    <t>Working Capital Margin</t>
  </si>
  <si>
    <t>Change in Working capital</t>
  </si>
  <si>
    <t>Income bef. Depr.,Int.&amp; Taxes</t>
  </si>
  <si>
    <t>Total COP (Rs/MT)</t>
  </si>
  <si>
    <t>Interest LT loan</t>
  </si>
  <si>
    <t xml:space="preserve">Depreciation </t>
  </si>
  <si>
    <t>Taxes on Income</t>
  </si>
  <si>
    <t>Profit after Tax</t>
  </si>
  <si>
    <t>EBIDTA%</t>
  </si>
  <si>
    <t>CASH FLOW STATEMENT</t>
  </si>
  <si>
    <t>Construction Period</t>
  </si>
  <si>
    <t>Sl.No.</t>
  </si>
  <si>
    <t>1</t>
  </si>
  <si>
    <t>SOURCE OF FUNDS</t>
  </si>
  <si>
    <t>Increase in ST Loan</t>
  </si>
  <si>
    <t>Increase in LT Loan</t>
  </si>
  <si>
    <t>Increase in Equity</t>
  </si>
  <si>
    <t>Incr. in Currt. Liability</t>
  </si>
  <si>
    <t>Decr. in Currt. Assets</t>
  </si>
  <si>
    <t>TOTAL (A)</t>
  </si>
  <si>
    <t>TOTAL Excluding ST Loan</t>
  </si>
  <si>
    <t>APPLICATION OF FUNDS</t>
  </si>
  <si>
    <t>Cost of Construction</t>
  </si>
  <si>
    <t>Decr. in Currt. Liability</t>
  </si>
  <si>
    <t>Incr.in Current Assets</t>
  </si>
  <si>
    <t>Interest on ST Loan</t>
  </si>
  <si>
    <t>Interest on LT Loan</t>
  </si>
  <si>
    <t>Repay. of ST Loan</t>
  </si>
  <si>
    <t>Amort. of LT Loan</t>
  </si>
  <si>
    <t>TOTAL (B)</t>
  </si>
  <si>
    <t>TOTAL Excluding ST Loan reimbursment &amp; increase</t>
  </si>
  <si>
    <t>Dividends</t>
  </si>
  <si>
    <t>Change in treasury</t>
  </si>
  <si>
    <t>Treasury at the end of period</t>
  </si>
  <si>
    <t>Treasury required buffer</t>
  </si>
  <si>
    <t>(Required cash)/excess cash</t>
  </si>
  <si>
    <t>Reimbursment of ST Loan</t>
  </si>
  <si>
    <t xml:space="preserve">Working Capital Margin </t>
  </si>
  <si>
    <t>ST Loan at the end of period</t>
  </si>
  <si>
    <t>C</t>
  </si>
  <si>
    <t>Cash surplus for period</t>
  </si>
  <si>
    <t>D</t>
  </si>
  <si>
    <t>Cash at end of period</t>
  </si>
  <si>
    <t>INCOME TAX CALCULATION</t>
  </si>
  <si>
    <t>16</t>
  </si>
  <si>
    <t>17</t>
  </si>
  <si>
    <t>18</t>
  </si>
  <si>
    <t>Profit before Tax</t>
  </si>
  <si>
    <t>Add - Dep.as per Books</t>
  </si>
  <si>
    <t>Less - Depreciation for IT</t>
  </si>
  <si>
    <t>Adjusted Profit</t>
  </si>
  <si>
    <t>Less - B/F Business loss</t>
  </si>
  <si>
    <t>Taxable Profit / Loss</t>
  </si>
  <si>
    <t>Corporate Tax</t>
  </si>
  <si>
    <t>Tax under MAT</t>
  </si>
  <si>
    <t>Tax Payable</t>
  </si>
  <si>
    <t>Accumulated MAT for Credit</t>
  </si>
  <si>
    <t>MAT CREDIT</t>
  </si>
  <si>
    <t>Net Corporate Tax</t>
  </si>
  <si>
    <t>MAT Credit</t>
  </si>
  <si>
    <t>Accumulated MAT Credit</t>
  </si>
  <si>
    <t>TAX UNDER MAT</t>
  </si>
  <si>
    <t>Less - MAT Credit</t>
  </si>
  <si>
    <t>DEPRECIATION FOR INCOME TAX CALCULATION</t>
  </si>
  <si>
    <t>ITEM</t>
  </si>
  <si>
    <t xml:space="preserve">  RATE</t>
  </si>
  <si>
    <t>ASSET</t>
  </si>
  <si>
    <t>VALUE</t>
  </si>
  <si>
    <t>Civil construction</t>
  </si>
  <si>
    <t>Plant &amp; Machinery incl site dev. cost</t>
  </si>
  <si>
    <t>TOTAL DEPRECIATION FOR TAX PURPOSE</t>
  </si>
  <si>
    <t>Rs. lakhs</t>
  </si>
  <si>
    <t>Land</t>
  </si>
  <si>
    <t>Site development and building</t>
  </si>
  <si>
    <t xml:space="preserve">Plant and Machinery </t>
  </si>
  <si>
    <t>Preliminary &amp; Pre-operative expenses</t>
  </si>
  <si>
    <t>Margin for working capital</t>
  </si>
  <si>
    <t>Total Project cost</t>
  </si>
  <si>
    <t>Interest During Construction</t>
  </si>
  <si>
    <t>Interest rate- LT &amp; ST</t>
  </si>
  <si>
    <t>Long term</t>
  </si>
  <si>
    <t>Short Term</t>
  </si>
  <si>
    <t>S.No</t>
  </si>
  <si>
    <t>Tax Structure</t>
  </si>
  <si>
    <t xml:space="preserve">Corp Tax </t>
  </si>
  <si>
    <t>MAT</t>
  </si>
  <si>
    <t>Base</t>
  </si>
  <si>
    <t>Surcharge</t>
  </si>
  <si>
    <t>Cess</t>
  </si>
  <si>
    <t>Project Capital Cost</t>
  </si>
  <si>
    <t>IDC</t>
  </si>
  <si>
    <t>Sensitivity</t>
  </si>
  <si>
    <t>Net Project Cost</t>
  </si>
  <si>
    <t>Interest on ST loan</t>
  </si>
  <si>
    <t>Debt Equity Ratio</t>
  </si>
  <si>
    <t>Percent</t>
  </si>
  <si>
    <t>Value</t>
  </si>
  <si>
    <t>Debt</t>
  </si>
  <si>
    <t>Equity</t>
  </si>
  <si>
    <t>Approx. 5.75 Years</t>
  </si>
  <si>
    <t xml:space="preserve">Payback period </t>
  </si>
  <si>
    <t>Unrecovered portion</t>
  </si>
  <si>
    <t>Net profit+depreciation</t>
  </si>
  <si>
    <t>LT Loan Interest- net of tax</t>
  </si>
  <si>
    <t>Less: Tax applicable considering same unit</t>
  </si>
  <si>
    <t>Add: Tax as per Books</t>
  </si>
  <si>
    <t>Dep</t>
  </si>
  <si>
    <t>Total project cost</t>
  </si>
  <si>
    <t>Calculation of Payback period (Option2 with taxation benefit)</t>
  </si>
  <si>
    <t>Approx. 7 Years</t>
  </si>
  <si>
    <t>Post Tax</t>
  </si>
  <si>
    <t>Cash Flow Pre-Tax</t>
  </si>
  <si>
    <t>Pre-Tax</t>
  </si>
  <si>
    <t>Calculation of Payback period (Option1)</t>
  </si>
  <si>
    <t>Equity IRR</t>
  </si>
  <si>
    <t>Net Project Flow</t>
  </si>
  <si>
    <t>Cash inflow</t>
  </si>
  <si>
    <t>Less: Effective Tax</t>
  </si>
  <si>
    <t>ADD: Theoretical Income Tax</t>
  </si>
  <si>
    <t xml:space="preserve">Cash Generation for Sponsors </t>
  </si>
  <si>
    <t>Short Term Interest</t>
  </si>
  <si>
    <t>LT Loan Repayment</t>
  </si>
  <si>
    <t>LT Loans Interest</t>
  </si>
  <si>
    <t>Net Cash Generation of Project</t>
  </si>
  <si>
    <t>Const 1</t>
  </si>
  <si>
    <t>Project IRR</t>
  </si>
  <si>
    <t>Project Net Cash Flow</t>
  </si>
  <si>
    <t>Capex excl IDC</t>
  </si>
  <si>
    <t>Salvage</t>
  </si>
  <si>
    <t>Change in Working Capital</t>
  </si>
  <si>
    <t>Theoretical Corporate Tax on EBIT</t>
  </si>
  <si>
    <t>Tax Rate</t>
  </si>
  <si>
    <t>EBIT</t>
  </si>
  <si>
    <t>EBIDTA</t>
  </si>
  <si>
    <t>Manpower, O&amp;M etc.</t>
  </si>
  <si>
    <t>Raw Material Cost</t>
  </si>
  <si>
    <t>Sales Revenue</t>
  </si>
  <si>
    <t>Project</t>
  </si>
  <si>
    <t>Insurance</t>
  </si>
  <si>
    <t>project cost</t>
  </si>
  <si>
    <t>Crore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</si>
</sst>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4" formatCode="_(* #,##0.00_);_(* \(#,##0.00\);_(* &quot;-&quot;??_);_(@_)"/>
    <numFmt numFmtId="165" formatCode="_(* #,##0_);_(* \(#,##0\);_(* &quot;-&quot;??_);_(@_)"/>
    <numFmt numFmtId="166" formatCode="_ * #,##0_ ;_ * \-#,##0_ ;_ * &quot;-&quot;??_ ;_ @_ "/>
    <numFmt numFmtId="167" formatCode="0.0"/>
    <numFmt numFmtId="168" formatCode="#,##0.000"/>
    <numFmt numFmtId="169" formatCode="0.0%"/>
    <numFmt numFmtId="170" formatCode="_(* #,##0_);_(* \(#,##0\);_(* &quot;-&quot;_);@_)"/>
    <numFmt numFmtId="171" formatCode="0%_);\(0%\)"/>
    <numFmt numFmtId="172" formatCode="General_)"/>
    <numFmt numFmtId="173" formatCode="#,##0;&quot;(&quot;#,##0&quot;)&quot;;&quot;-&quot;"/>
    <numFmt numFmtId="174" formatCode="0.000%"/>
  </numFmts>
  <fonts count="81">
    <font>
      <sz val="11"/>
      <color theme="1"/>
      <name val="Calibri"/>
      <family val="2"/>
      <scheme val="minor"/>
    </font>
    <font>
      <sz val="11"/>
      <color theme="1"/>
      <name val="Calibri"/>
      <family val="2"/>
      <scheme val="minor"/>
    </font>
    <font>
      <sz val="10"/>
      <color theme="1"/>
      <name val="Arial"/>
      <family val="2"/>
    </font>
    <font>
      <sz val="10"/>
      <name val="Arial"/>
      <family val="2"/>
    </font>
    <font>
      <sz val="11"/>
      <color theme="0"/>
      <name val="Calibri"/>
      <family val="2"/>
      <scheme val="minor"/>
    </font>
    <font>
      <u/>
      <sz val="11"/>
      <color theme="10"/>
      <name val="Calibri"/>
      <family val="2"/>
      <scheme val="minor"/>
    </font>
    <font>
      <b/>
      <sz val="10"/>
      <name val="Arial"/>
      <family val="2"/>
    </font>
    <font>
      <b/>
      <sz val="10"/>
      <color rgb="FF000000"/>
      <name val="Arial"/>
      <family val="2"/>
    </font>
    <font>
      <sz val="10"/>
      <color rgb="FF000000"/>
      <name val="Arial"/>
      <family val="2"/>
    </font>
    <font>
      <b/>
      <sz val="10"/>
      <color theme="1"/>
      <name val="Arial"/>
      <family val="2"/>
    </font>
    <font>
      <b/>
      <sz val="10"/>
      <color theme="0"/>
      <name val="Arial"/>
      <family val="2"/>
    </font>
    <font>
      <sz val="9"/>
      <color theme="1"/>
      <name val="Palladio Uralic"/>
    </font>
    <font>
      <sz val="9"/>
      <color theme="1"/>
      <name val="Calibri"/>
      <family val="2"/>
      <scheme val="minor"/>
    </font>
    <font>
      <b/>
      <sz val="11"/>
      <color theme="3"/>
      <name val="Calibri Light"/>
      <family val="2"/>
      <scheme val="major"/>
    </font>
    <font>
      <b/>
      <sz val="9"/>
      <color theme="3"/>
      <name val="Arial"/>
      <family val="2"/>
    </font>
    <font>
      <b/>
      <sz val="9"/>
      <color theme="3"/>
      <name val="Calibri Light"/>
      <family val="2"/>
      <scheme val="major"/>
    </font>
    <font>
      <sz val="9"/>
      <color theme="3"/>
      <name val="Calibri Light"/>
      <family val="2"/>
      <scheme val="major"/>
    </font>
    <font>
      <sz val="9"/>
      <color rgb="FF006100"/>
      <name val="Arial"/>
      <family val="2"/>
    </font>
    <font>
      <sz val="9"/>
      <color rgb="FF9C0006"/>
      <name val="Arial"/>
      <family val="2"/>
    </font>
    <font>
      <sz val="9"/>
      <color rgb="FF9C6500"/>
      <name val="Arial"/>
      <family val="2"/>
    </font>
    <font>
      <sz val="9"/>
      <color rgb="FF3F3F76"/>
      <name val="Calibri"/>
      <family val="2"/>
      <scheme val="minor"/>
    </font>
    <font>
      <b/>
      <sz val="9"/>
      <color rgb="FF3F3F3F"/>
      <name val="Calibri"/>
      <family val="2"/>
      <scheme val="minor"/>
    </font>
    <font>
      <b/>
      <sz val="9"/>
      <color rgb="FFFA7D00"/>
      <name val="Arial"/>
      <family val="2"/>
    </font>
    <font>
      <sz val="9"/>
      <color rgb="FFFA7D00"/>
      <name val="Calibri"/>
      <family val="2"/>
      <scheme val="minor"/>
    </font>
    <font>
      <b/>
      <sz val="9"/>
      <color theme="0"/>
      <name val="Calibri"/>
      <family val="2"/>
      <scheme val="minor"/>
    </font>
    <font>
      <i/>
      <sz val="9"/>
      <color rgb="FF7F7F7F"/>
      <name val="Calibri"/>
      <family val="2"/>
      <scheme val="minor"/>
    </font>
    <font>
      <b/>
      <sz val="9"/>
      <color theme="1"/>
      <name val="Calibri Light"/>
      <family val="2"/>
      <scheme val="major"/>
    </font>
    <font>
      <b/>
      <sz val="9"/>
      <color theme="4"/>
      <name val="Calibri"/>
      <family val="2"/>
      <scheme val="minor"/>
    </font>
    <font>
      <sz val="8"/>
      <color theme="1"/>
      <name val="Calibri"/>
      <family val="2"/>
      <scheme val="minor"/>
    </font>
    <font>
      <b/>
      <sz val="9"/>
      <color theme="1"/>
      <name val="Calibri"/>
      <family val="2"/>
      <scheme val="minor"/>
    </font>
    <font>
      <b/>
      <sz val="11"/>
      <color theme="4"/>
      <name val="Calibri"/>
      <family val="2"/>
      <scheme val="minor"/>
    </font>
    <font>
      <u/>
      <sz val="8.8000000000000007"/>
      <color theme="10"/>
      <name val="Calibri"/>
      <family val="2"/>
    </font>
    <font>
      <sz val="12"/>
      <color theme="1"/>
      <name val="Calibri"/>
      <family val="2"/>
      <scheme val="minor"/>
    </font>
    <font>
      <sz val="10"/>
      <name val="Times New Roman"/>
      <family val="1"/>
      <charset val="204"/>
    </font>
    <font>
      <sz val="8"/>
      <name val="Calibri"/>
      <family val="2"/>
      <scheme val="minor"/>
    </font>
    <font>
      <sz val="12"/>
      <name val="Times New Roman"/>
      <family val="1"/>
    </font>
    <font>
      <b/>
      <sz val="12"/>
      <name val="Times New Roman"/>
      <family val="1"/>
    </font>
    <font>
      <sz val="10"/>
      <color indexed="10"/>
      <name val="Arial"/>
      <family val="2"/>
    </font>
    <font>
      <b/>
      <i/>
      <sz val="10"/>
      <name val="Arial"/>
      <family val="2"/>
    </font>
    <font>
      <sz val="9"/>
      <color theme="1"/>
      <name val="Arial"/>
      <family val="2"/>
    </font>
    <font>
      <b/>
      <sz val="9"/>
      <color theme="1"/>
      <name val="Arial"/>
      <family val="2"/>
    </font>
    <font>
      <b/>
      <sz val="11"/>
      <color theme="0"/>
      <name val="Calibri"/>
      <family val="2"/>
      <scheme val="minor"/>
    </font>
    <font>
      <sz val="10"/>
      <color theme="0"/>
      <name val="Arial"/>
      <family val="2"/>
    </font>
    <font>
      <b/>
      <i/>
      <sz val="11"/>
      <color theme="0"/>
      <name val="Calibri"/>
      <family val="2"/>
      <scheme val="minor"/>
    </font>
    <font>
      <i/>
      <sz val="10"/>
      <color theme="1"/>
      <name val="Arial"/>
      <family val="2"/>
    </font>
    <font>
      <i/>
      <sz val="10"/>
      <name val="Arial"/>
      <family val="2"/>
    </font>
    <font>
      <sz val="10"/>
      <color rgb="FFFF0000"/>
      <name val="Arial"/>
      <family val="2"/>
    </font>
    <font>
      <sz val="11"/>
      <color rgb="FFFF0000"/>
      <name val="Calibri"/>
      <family val="2"/>
      <scheme val="minor"/>
    </font>
    <font>
      <b/>
      <i/>
      <sz val="10"/>
      <color theme="0"/>
      <name val="Arial"/>
      <family val="2"/>
    </font>
    <font>
      <sz val="10"/>
      <color theme="0" tint="-0.249977111117893"/>
      <name val="Calibri"/>
      <family val="2"/>
      <scheme val="minor"/>
    </font>
    <font>
      <sz val="10"/>
      <color theme="1"/>
      <name val="Calibri"/>
      <family val="2"/>
      <scheme val="minor"/>
    </font>
    <font>
      <sz val="10"/>
      <color theme="4"/>
      <name val="Arial"/>
      <family val="2"/>
    </font>
    <font>
      <b/>
      <sz val="10"/>
      <color rgb="FFFF0000"/>
      <name val="Arial"/>
      <family val="2"/>
    </font>
    <font>
      <sz val="10"/>
      <color rgb="FF7030A0"/>
      <name val="Arial"/>
      <family val="2"/>
    </font>
    <font>
      <sz val="10"/>
      <color rgb="FFFF0000"/>
      <name val="Calibri"/>
      <family val="2"/>
      <scheme val="minor"/>
    </font>
    <font>
      <b/>
      <sz val="10"/>
      <color rgb="FFFF0000"/>
      <name val="Calibri"/>
      <family val="2"/>
      <scheme val="minor"/>
    </font>
    <font>
      <sz val="12"/>
      <color rgb="FF000000"/>
      <name val="Calibri"/>
      <family val="2"/>
      <scheme val="minor"/>
    </font>
    <font>
      <sz val="11"/>
      <color rgb="FF000000"/>
      <name val="Calibri"/>
      <family val="2"/>
    </font>
    <font>
      <sz val="11"/>
      <name val="Calibri"/>
      <family val="2"/>
      <scheme val="minor"/>
    </font>
    <font>
      <i/>
      <sz val="10"/>
      <color rgb="FF000000"/>
      <name val="Arial"/>
      <family val="2"/>
    </font>
    <font>
      <b/>
      <sz val="11"/>
      <color theme="1"/>
      <name val="Calibri"/>
      <family val="2"/>
      <scheme val="minor"/>
    </font>
    <font>
      <sz val="10"/>
      <name val="Courier"/>
      <family val="3"/>
    </font>
    <font>
      <b/>
      <sz val="11"/>
      <name val="Calibri"/>
      <family val="2"/>
      <scheme val="minor"/>
    </font>
    <font>
      <b/>
      <sz val="10"/>
      <color indexed="10"/>
      <name val="Verdana"/>
      <family val="2"/>
    </font>
    <font>
      <b/>
      <sz val="10"/>
      <name val="Verdana"/>
      <family val="2"/>
    </font>
    <font>
      <sz val="10"/>
      <name val="Verdana"/>
      <family val="2"/>
    </font>
    <font>
      <sz val="10"/>
      <name val="Courier"/>
    </font>
    <font>
      <b/>
      <sz val="10"/>
      <name val="Calibri"/>
      <family val="2"/>
      <scheme val="minor"/>
    </font>
    <font>
      <sz val="10"/>
      <name val="Calibri"/>
      <family val="2"/>
      <scheme val="minor"/>
    </font>
    <font>
      <b/>
      <sz val="14"/>
      <name val="Times New Roman"/>
      <family val="1"/>
    </font>
    <font>
      <sz val="9"/>
      <name val="Arial Narrow"/>
      <family val="2"/>
    </font>
    <font>
      <sz val="8"/>
      <name val="Arial"/>
      <family val="2"/>
    </font>
    <font>
      <b/>
      <sz val="9"/>
      <color indexed="81"/>
      <name val="Tahoma"/>
      <family val="2"/>
    </font>
    <font>
      <sz val="9"/>
      <color indexed="81"/>
      <name val="Tahoma"/>
      <family val="2"/>
    </font>
    <font>
      <sz val="9"/>
      <name val="Arial"/>
      <family val="2"/>
    </font>
    <font>
      <sz val="9"/>
      <color rgb="FFFF0000"/>
      <name val="Arial"/>
      <family val="2"/>
    </font>
    <font>
      <b/>
      <sz val="9"/>
      <name val="Arial"/>
      <family val="2"/>
    </font>
    <font>
      <b/>
      <sz val="9"/>
      <color rgb="FF000000"/>
      <name val="Arial"/>
      <family val="2"/>
    </font>
    <font>
      <b/>
      <sz val="9"/>
      <color rgb="FFFF0000"/>
      <name val="Arial"/>
      <family val="2"/>
    </font>
    <font>
      <sz val="9"/>
      <color rgb="FF000000"/>
      <name val="Arial"/>
      <family val="2"/>
    </font>
    <font>
      <b/>
      <sz val="9"/>
      <color theme="0"/>
      <name val="Arial"/>
      <family val="2"/>
    </font>
  </fonts>
  <fills count="31">
    <fill>
      <patternFill patternType="none"/>
    </fill>
    <fill>
      <patternFill patternType="gray125"/>
    </fill>
    <fill>
      <patternFill patternType="solid">
        <fgColor theme="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theme="5"/>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CCFFCC"/>
        <bgColor indexed="64"/>
      </patternFill>
    </fill>
    <fill>
      <patternFill patternType="solid">
        <fgColor indexed="2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FF0000"/>
        <bgColor indexed="64"/>
      </patternFill>
    </fill>
  </fills>
  <borders count="30">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thin">
        <color theme="4"/>
      </top>
      <bottom style="medium">
        <color theme="4"/>
      </bottom>
      <diagonal/>
    </border>
    <border>
      <left/>
      <right/>
      <top style="thin">
        <color theme="4"/>
      </top>
      <bottom/>
      <diagonal/>
    </border>
    <border>
      <left/>
      <right/>
      <top style="medium">
        <color theme="4"/>
      </top>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72">
    <xf numFmtId="0" fontId="0"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0" fontId="4" fillId="2" borderId="0" applyNumberFormat="0" applyBorder="0" applyAlignment="0" applyProtection="0"/>
    <xf numFmtId="0" fontId="5" fillId="0" borderId="0" applyNumberFormat="0" applyFill="0" applyBorder="0" applyAlignment="0" applyProtection="0"/>
    <xf numFmtId="164" fontId="1" fillId="0" borderId="0" applyFont="0" applyFill="0" applyBorder="0" applyAlignment="0" applyProtection="0"/>
    <xf numFmtId="0" fontId="1" fillId="0" borderId="0"/>
    <xf numFmtId="170" fontId="12" fillId="0" borderId="0"/>
    <xf numFmtId="0" fontId="18" fillId="5" borderId="0" applyNumberFormat="0" applyBorder="0" applyAlignment="0" applyProtection="0"/>
    <xf numFmtId="0" fontId="22" fillId="8" borderId="14" applyNumberFormat="0" applyAlignment="0" applyProtection="0"/>
    <xf numFmtId="0" fontId="24" fillId="9" borderId="17" applyNumberFormat="0" applyAlignment="0" applyProtection="0"/>
    <xf numFmtId="43" fontId="12" fillId="0" borderId="0" applyFont="0" applyFill="0" applyBorder="0" applyAlignment="0" applyProtection="0"/>
    <xf numFmtId="0" fontId="25" fillId="0" borderId="0" applyNumberFormat="0" applyFill="0" applyBorder="0" applyAlignment="0" applyProtection="0"/>
    <xf numFmtId="0" fontId="17" fillId="4" borderId="0" applyNumberFormat="0" applyBorder="0" applyAlignment="0" applyProtection="0"/>
    <xf numFmtId="49" fontId="14" fillId="0" borderId="19" applyFill="0" applyProtection="0">
      <alignment horizontal="right" wrapText="1"/>
    </xf>
    <xf numFmtId="49" fontId="15" fillId="0" borderId="0" applyProtection="0">
      <alignment wrapText="1"/>
    </xf>
    <xf numFmtId="49" fontId="16" fillId="0" borderId="20" applyFill="0" applyProtection="0">
      <alignment horizontal="right" wrapText="1"/>
    </xf>
    <xf numFmtId="49" fontId="16" fillId="0" borderId="0" applyProtection="0">
      <alignment wrapText="1"/>
    </xf>
    <xf numFmtId="0" fontId="31" fillId="0" borderId="0" applyNumberFormat="0" applyFill="0" applyBorder="0" applyAlignment="0" applyProtection="0">
      <alignment vertical="top"/>
      <protection locked="0"/>
    </xf>
    <xf numFmtId="0" fontId="20" fillId="7" borderId="14" applyNumberFormat="0" applyAlignment="0" applyProtection="0"/>
    <xf numFmtId="0" fontId="23" fillId="0" borderId="16" applyNumberFormat="0" applyFill="0" applyAlignment="0" applyProtection="0"/>
    <xf numFmtId="0" fontId="19" fillId="6" borderId="0" applyNumberFormat="0" applyBorder="0" applyAlignment="0" applyProtection="0"/>
    <xf numFmtId="0" fontId="1" fillId="0" borderId="0"/>
    <xf numFmtId="0" fontId="12" fillId="10" borderId="18" applyNumberFormat="0" applyAlignment="0" applyProtection="0"/>
    <xf numFmtId="0" fontId="21" fillId="8" borderId="15" applyNumberFormat="0" applyAlignment="0" applyProtection="0"/>
    <xf numFmtId="9" fontId="12" fillId="0" borderId="0" applyFont="0" applyFill="0" applyBorder="0" applyAlignment="0" applyProtection="0"/>
    <xf numFmtId="9" fontId="1" fillId="0" borderId="0" applyFont="0" applyFill="0" applyBorder="0" applyAlignment="0" applyProtection="0"/>
    <xf numFmtId="170" fontId="27" fillId="0" borderId="0" applyNumberFormat="0" applyFill="0" applyBorder="0" applyAlignment="0" applyProtection="0"/>
    <xf numFmtId="170" fontId="12" fillId="11" borderId="0" applyNumberFormat="0" applyFont="0" applyBorder="0" applyAlignment="0" applyProtection="0"/>
    <xf numFmtId="0" fontId="12" fillId="0" borderId="0" applyFill="0" applyBorder="0" applyProtection="0"/>
    <xf numFmtId="170" fontId="12" fillId="12" borderId="0" applyNumberFormat="0" applyFont="0" applyBorder="0" applyAlignment="0" applyProtection="0"/>
    <xf numFmtId="171" fontId="12" fillId="0" borderId="0" applyFill="0" applyBorder="0" applyAlignment="0" applyProtection="0"/>
    <xf numFmtId="0" fontId="28" fillId="0" borderId="0" applyNumberFormat="0" applyAlignment="0" applyProtection="0"/>
    <xf numFmtId="0" fontId="27" fillId="0" borderId="19" applyFill="0" applyProtection="0">
      <alignment horizontal="left" wrapText="1"/>
    </xf>
    <xf numFmtId="0" fontId="27" fillId="0" borderId="0" applyFill="0" applyProtection="0">
      <alignment wrapText="1"/>
    </xf>
    <xf numFmtId="0" fontId="27" fillId="0" borderId="23" applyFill="0" applyProtection="0">
      <alignment wrapText="1"/>
    </xf>
    <xf numFmtId="170" fontId="29" fillId="0" borderId="22" applyNumberFormat="0" applyFill="0" applyAlignment="0" applyProtection="0"/>
    <xf numFmtId="0" fontId="30" fillId="0" borderId="0" applyAlignment="0" applyProtection="0"/>
    <xf numFmtId="0" fontId="29" fillId="0" borderId="21" applyNumberFormat="0" applyFill="0" applyAlignment="0" applyProtection="0"/>
    <xf numFmtId="49" fontId="13" fillId="0" borderId="0" applyAlignment="0" applyProtection="0"/>
    <xf numFmtId="0" fontId="26" fillId="0" borderId="21" applyNumberFormat="0" applyFill="0" applyAlignment="0" applyProtection="0"/>
    <xf numFmtId="0" fontId="3" fillId="0" borderId="0"/>
    <xf numFmtId="43" fontId="1" fillId="0" borderId="0" applyFont="0" applyFill="0" applyBorder="0" applyAlignment="0" applyProtection="0"/>
    <xf numFmtId="0" fontId="3" fillId="0" borderId="0"/>
    <xf numFmtId="0" fontId="12" fillId="0" borderId="0"/>
    <xf numFmtId="170" fontId="12" fillId="0" borderId="0"/>
    <xf numFmtId="9" fontId="12" fillId="0" borderId="0" applyFont="0" applyFill="0" applyBorder="0" applyAlignment="0" applyProtection="0"/>
    <xf numFmtId="0" fontId="32" fillId="0" borderId="0"/>
    <xf numFmtId="0" fontId="3" fillId="0" borderId="0"/>
    <xf numFmtId="0" fontId="33" fillId="0" borderId="0" applyNumberFormat="0" applyFill="0" applyBorder="0" applyProtection="0">
      <alignment vertical="top" wrapText="1"/>
    </xf>
    <xf numFmtId="0" fontId="3" fillId="0" borderId="0"/>
    <xf numFmtId="9" fontId="3" fillId="0" borderId="0" applyFont="0" applyFill="0" applyBorder="0" applyAlignment="0" applyProtection="0"/>
    <xf numFmtId="0" fontId="61" fillId="0" borderId="0"/>
    <xf numFmtId="0" fontId="3" fillId="0" borderId="0"/>
    <xf numFmtId="164" fontId="3" fillId="0" borderId="0" applyFont="0" applyFill="0" applyBorder="0" applyAlignment="0" applyProtection="0"/>
    <xf numFmtId="0" fontId="66" fillId="0" borderId="0"/>
    <xf numFmtId="0" fontId="66"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9" fontId="3" fillId="0" borderId="0" applyFont="0" applyFill="0" applyBorder="0" applyAlignment="0" applyProtection="0"/>
    <xf numFmtId="0" fontId="66" fillId="0" borderId="0"/>
    <xf numFmtId="0" fontId="61" fillId="0" borderId="0"/>
  </cellStyleXfs>
  <cellXfs count="892">
    <xf numFmtId="0" fontId="0" fillId="0" borderId="0" xfId="0"/>
    <xf numFmtId="0" fontId="2" fillId="0" borderId="0" xfId="0" applyFont="1"/>
    <xf numFmtId="0" fontId="0" fillId="0" borderId="0" xfId="0" applyBorder="1"/>
    <xf numFmtId="0" fontId="0" fillId="0" borderId="0" xfId="0"/>
    <xf numFmtId="0" fontId="2" fillId="0" borderId="0" xfId="0" applyFont="1" applyFill="1" applyBorder="1" applyAlignment="1">
      <alignment horizontal="center" wrapText="1"/>
    </xf>
    <xf numFmtId="0" fontId="9"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9" fontId="2" fillId="0" borderId="0" xfId="0" applyNumberFormat="1" applyFont="1" applyFill="1" applyBorder="1" applyAlignment="1">
      <alignment horizontal="center" vertical="center" wrapText="1"/>
    </xf>
    <xf numFmtId="0" fontId="9" fillId="0" borderId="25"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2" fillId="0" borderId="0" xfId="0" applyFont="1" applyFill="1" applyBorder="1"/>
    <xf numFmtId="165" fontId="3" fillId="0" borderId="0" xfId="1" applyNumberFormat="1" applyFont="1" applyBorder="1" applyAlignment="1">
      <alignment horizontal="center" vertical="center"/>
    </xf>
    <xf numFmtId="1" fontId="2" fillId="0" borderId="0" xfId="0" applyNumberFormat="1" applyFont="1" applyBorder="1" applyAlignment="1">
      <alignment horizontal="center" vertical="center"/>
    </xf>
    <xf numFmtId="3" fontId="11" fillId="0" borderId="24" xfId="0" applyNumberFormat="1" applyFont="1" applyFill="1" applyBorder="1" applyAlignment="1">
      <alignment horizontal="center" vertical="center" wrapText="1"/>
    </xf>
    <xf numFmtId="3" fontId="2" fillId="0" borderId="24" xfId="0" applyNumberFormat="1" applyFont="1" applyFill="1" applyBorder="1" applyAlignment="1">
      <alignment horizontal="center" vertical="center" wrapText="1"/>
    </xf>
    <xf numFmtId="165" fontId="6" fillId="0" borderId="25" xfId="1" applyNumberFormat="1" applyFont="1" applyBorder="1" applyAlignment="1">
      <alignment horizontal="center" vertical="center"/>
    </xf>
    <xf numFmtId="165" fontId="3" fillId="0" borderId="1" xfId="1" applyNumberFormat="1" applyFont="1" applyBorder="1" applyAlignment="1">
      <alignment horizontal="center" vertical="center"/>
    </xf>
    <xf numFmtId="1" fontId="2" fillId="0" borderId="1" xfId="0" applyNumberFormat="1" applyFont="1" applyBorder="1" applyAlignment="1">
      <alignment horizontal="center" vertical="center"/>
    </xf>
    <xf numFmtId="0" fontId="2" fillId="0" borderId="25" xfId="0" applyFont="1" applyBorder="1"/>
    <xf numFmtId="3" fontId="9" fillId="0" borderId="24" xfId="0" applyNumberFormat="1" applyFont="1" applyFill="1" applyBorder="1" applyAlignment="1">
      <alignment horizontal="center" vertical="center" wrapText="1"/>
    </xf>
    <xf numFmtId="0" fontId="3" fillId="0" borderId="25" xfId="0" applyFont="1" applyBorder="1" applyAlignment="1" applyProtection="1">
      <alignment horizontal="center" vertical="center"/>
      <protection locked="0"/>
    </xf>
    <xf numFmtId="2" fontId="2" fillId="0" borderId="0" xfId="0" applyNumberFormat="1" applyFont="1" applyFill="1" applyBorder="1" applyAlignment="1">
      <alignment horizontal="center"/>
    </xf>
    <xf numFmtId="2" fontId="6" fillId="0" borderId="0" xfId="44" applyNumberFormat="1" applyFont="1" applyBorder="1" applyAlignment="1">
      <alignment horizontal="center" vertical="center"/>
    </xf>
    <xf numFmtId="0" fontId="3" fillId="0" borderId="0" xfId="44" applyBorder="1" applyAlignment="1">
      <alignment horizontal="center" vertical="center"/>
    </xf>
    <xf numFmtId="2" fontId="3" fillId="0" borderId="0" xfId="44" applyNumberFormat="1" applyBorder="1" applyAlignment="1">
      <alignment horizontal="center" vertical="center"/>
    </xf>
    <xf numFmtId="0" fontId="2" fillId="0" borderId="0" xfId="0" applyFont="1" applyFill="1" applyBorder="1" applyAlignment="1">
      <alignment horizontal="center"/>
    </xf>
    <xf numFmtId="1" fontId="2" fillId="0" borderId="8" xfId="0" applyNumberFormat="1" applyFont="1" applyBorder="1" applyAlignment="1">
      <alignment horizontal="center"/>
    </xf>
    <xf numFmtId="0" fontId="3" fillId="0" borderId="0" xfId="0" applyFont="1" applyFill="1" applyBorder="1" applyAlignment="1">
      <alignment horizontal="center" vertical="center"/>
    </xf>
    <xf numFmtId="3" fontId="9" fillId="0" borderId="9" xfId="0" applyNumberFormat="1" applyFont="1" applyFill="1" applyBorder="1" applyAlignment="1">
      <alignment horizontal="center" vertical="center" wrapText="1"/>
    </xf>
    <xf numFmtId="2" fontId="10" fillId="0" borderId="0" xfId="4" applyNumberFormat="1" applyFont="1" applyFill="1" applyBorder="1" applyAlignment="1">
      <alignment horizontal="center" vertical="center"/>
    </xf>
    <xf numFmtId="2" fontId="10" fillId="0" borderId="0" xfId="4" applyNumberFormat="1" applyFont="1" applyFill="1" applyBorder="1" applyAlignment="1">
      <alignment horizontal="center" vertical="center" wrapText="1"/>
    </xf>
    <xf numFmtId="2" fontId="9" fillId="0" borderId="0" xfId="0" applyNumberFormat="1" applyFont="1" applyFill="1" applyBorder="1" applyAlignment="1">
      <alignment horizontal="center" vertical="center"/>
    </xf>
    <xf numFmtId="0" fontId="2" fillId="0" borderId="7" xfId="0" applyFont="1" applyFill="1" applyBorder="1" applyAlignment="1">
      <alignment horizontal="center" vertical="center"/>
    </xf>
    <xf numFmtId="0" fontId="9" fillId="0" borderId="8" xfId="0" applyFont="1" applyFill="1" applyBorder="1" applyAlignment="1">
      <alignment horizontal="left" vertical="center"/>
    </xf>
    <xf numFmtId="1" fontId="9" fillId="0" borderId="8" xfId="0" applyNumberFormat="1" applyFont="1" applyFill="1" applyBorder="1" applyAlignment="1">
      <alignment horizontal="center" vertical="center"/>
    </xf>
    <xf numFmtId="2" fontId="8" fillId="0" borderId="8" xfId="0" applyNumberFormat="1" applyFont="1" applyFill="1" applyBorder="1" applyAlignment="1">
      <alignment horizontal="center" vertical="center"/>
    </xf>
    <xf numFmtId="10" fontId="8" fillId="0" borderId="8" xfId="3" applyNumberFormat="1" applyFont="1" applyFill="1" applyBorder="1" applyAlignment="1">
      <alignment horizontal="center" vertical="center"/>
    </xf>
    <xf numFmtId="2" fontId="8" fillId="0" borderId="8" xfId="3" applyNumberFormat="1" applyFont="1" applyFill="1" applyBorder="1" applyAlignment="1">
      <alignment horizontal="center" vertical="center"/>
    </xf>
    <xf numFmtId="2" fontId="2" fillId="0" borderId="8" xfId="0" applyNumberFormat="1" applyFont="1" applyFill="1" applyBorder="1" applyAlignment="1">
      <alignment horizontal="center"/>
    </xf>
    <xf numFmtId="0" fontId="9" fillId="0" borderId="10" xfId="0" applyFont="1" applyFill="1" applyBorder="1" applyAlignment="1">
      <alignment horizontal="center" vertical="center"/>
    </xf>
    <xf numFmtId="2" fontId="2" fillId="0" borderId="1" xfId="0" applyNumberFormat="1" applyFont="1" applyFill="1" applyBorder="1" applyAlignment="1">
      <alignment horizontal="center"/>
    </xf>
    <xf numFmtId="2" fontId="7" fillId="0" borderId="1" xfId="0" applyNumberFormat="1" applyFont="1" applyFill="1" applyBorder="1" applyAlignment="1">
      <alignment horizontal="center" vertical="center"/>
    </xf>
    <xf numFmtId="2" fontId="9" fillId="0" borderId="1" xfId="0" applyNumberFormat="1" applyFont="1" applyFill="1" applyBorder="1" applyAlignment="1">
      <alignment horizont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3" fontId="7" fillId="0" borderId="8" xfId="0" applyNumberFormat="1" applyFont="1" applyFill="1" applyBorder="1" applyAlignment="1">
      <alignment horizontal="center" vertical="center"/>
    </xf>
    <xf numFmtId="2" fontId="7" fillId="0" borderId="8" xfId="0" applyNumberFormat="1" applyFont="1" applyFill="1" applyBorder="1" applyAlignment="1">
      <alignment horizontal="center" vertical="center"/>
    </xf>
    <xf numFmtId="0" fontId="2" fillId="0" borderId="25" xfId="0" applyFont="1" applyFill="1" applyBorder="1" applyAlignment="1">
      <alignment horizontal="center" vertical="center"/>
    </xf>
    <xf numFmtId="168" fontId="8" fillId="0" borderId="0" xfId="0" applyNumberFormat="1" applyFont="1" applyFill="1" applyBorder="1" applyAlignment="1">
      <alignment horizontal="center" vertical="center"/>
    </xf>
    <xf numFmtId="2" fontId="8" fillId="0" borderId="0" xfId="0" applyNumberFormat="1" applyFont="1" applyFill="1" applyBorder="1" applyAlignment="1">
      <alignment horizontal="center" vertical="center"/>
    </xf>
    <xf numFmtId="0" fontId="2" fillId="0" borderId="0" xfId="0" quotePrefix="1" applyFont="1" applyFill="1" applyBorder="1" applyAlignment="1">
      <alignment horizontal="center" vertical="center"/>
    </xf>
    <xf numFmtId="3" fontId="8" fillId="0" borderId="0" xfId="0" applyNumberFormat="1" applyFont="1" applyFill="1" applyBorder="1" applyAlignment="1">
      <alignment horizontal="center" vertical="center"/>
    </xf>
    <xf numFmtId="2" fontId="8" fillId="0" borderId="0" xfId="6" applyNumberFormat="1"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3" xfId="0" applyFont="1" applyFill="1" applyBorder="1" applyAlignment="1">
      <alignment horizontal="center" vertical="center"/>
    </xf>
    <xf numFmtId="3" fontId="7" fillId="0" borderId="13" xfId="0" applyNumberFormat="1" applyFont="1" applyFill="1" applyBorder="1" applyAlignment="1">
      <alignment horizontal="center" vertical="center"/>
    </xf>
    <xf numFmtId="2" fontId="7" fillId="0" borderId="13" xfId="0" applyNumberFormat="1" applyFont="1" applyFill="1" applyBorder="1" applyAlignment="1">
      <alignment horizontal="center" vertical="center"/>
    </xf>
    <xf numFmtId="3" fontId="8" fillId="0" borderId="7" xfId="0" applyNumberFormat="1" applyFont="1" applyFill="1" applyBorder="1" applyAlignment="1">
      <alignment horizontal="center" vertical="center"/>
    </xf>
    <xf numFmtId="169" fontId="8" fillId="0" borderId="25" xfId="3" applyNumberFormat="1" applyFont="1" applyFill="1" applyBorder="1" applyAlignment="1">
      <alignment horizontal="center" vertical="center"/>
    </xf>
    <xf numFmtId="0" fontId="9" fillId="0" borderId="1" xfId="0" applyFont="1" applyFill="1" applyBorder="1" applyAlignment="1">
      <alignment horizontal="center" vertical="center"/>
    </xf>
    <xf numFmtId="3" fontId="7" fillId="0" borderId="10" xfId="0" applyNumberFormat="1" applyFont="1" applyFill="1" applyBorder="1" applyAlignment="1">
      <alignment horizontal="center" vertical="center"/>
    </xf>
    <xf numFmtId="166" fontId="8" fillId="0" borderId="0" xfId="6" applyNumberFormat="1" applyFont="1" applyFill="1" applyBorder="1" applyAlignment="1">
      <alignment horizontal="center" vertical="center"/>
    </xf>
    <xf numFmtId="0" fontId="2" fillId="0" borderId="10" xfId="0" applyFont="1" applyFill="1" applyBorder="1" applyAlignment="1">
      <alignment horizontal="center" vertical="center"/>
    </xf>
    <xf numFmtId="166" fontId="8" fillId="0" borderId="1" xfId="6" applyNumberFormat="1" applyFont="1" applyFill="1" applyBorder="1" applyAlignment="1">
      <alignment horizontal="center" vertical="center"/>
    </xf>
    <xf numFmtId="2" fontId="8" fillId="0" borderId="1" xfId="6" applyNumberFormat="1" applyFont="1" applyFill="1" applyBorder="1" applyAlignment="1">
      <alignment horizontal="center" vertical="center"/>
    </xf>
    <xf numFmtId="0" fontId="2" fillId="0" borderId="25" xfId="0" applyFont="1" applyFill="1" applyBorder="1" applyAlignment="1">
      <alignment horizontal="center"/>
    </xf>
    <xf numFmtId="2" fontId="2" fillId="0" borderId="0" xfId="6" applyNumberFormat="1" applyFont="1" applyFill="1" applyBorder="1" applyAlignment="1">
      <alignment horizontal="center"/>
    </xf>
    <xf numFmtId="0" fontId="2" fillId="0" borderId="1" xfId="0" applyFont="1" applyFill="1" applyBorder="1"/>
    <xf numFmtId="0" fontId="2" fillId="0" borderId="1" xfId="0" applyFont="1" applyBorder="1" applyAlignment="1">
      <alignment horizontal="center"/>
    </xf>
    <xf numFmtId="0" fontId="2" fillId="0" borderId="0" xfId="0" applyFont="1" applyFill="1" applyBorder="1" applyAlignment="1">
      <alignment horizontal="center" vertical="top" wrapText="1"/>
    </xf>
    <xf numFmtId="2" fontId="0" fillId="0" borderId="0" xfId="0" applyNumberFormat="1"/>
    <xf numFmtId="164" fontId="0" fillId="0" borderId="0" xfId="1" applyFont="1" applyBorder="1"/>
    <xf numFmtId="10" fontId="8" fillId="0" borderId="0" xfId="3" applyNumberFormat="1" applyFont="1" applyFill="1" applyBorder="1" applyAlignment="1">
      <alignment horizontal="center" vertical="center"/>
    </xf>
    <xf numFmtId="37" fontId="8" fillId="0" borderId="0" xfId="1" applyNumberFormat="1" applyFont="1" applyFill="1" applyBorder="1" applyAlignment="1">
      <alignment horizontal="center" vertical="center"/>
    </xf>
    <xf numFmtId="0" fontId="2" fillId="0" borderId="25" xfId="0" applyFont="1" applyFill="1" applyBorder="1" applyAlignment="1">
      <alignment horizontal="center" wrapText="1"/>
    </xf>
    <xf numFmtId="2" fontId="2" fillId="0" borderId="24" xfId="0" applyNumberFormat="1" applyFont="1" applyFill="1" applyBorder="1" applyAlignment="1">
      <alignment horizontal="center"/>
    </xf>
    <xf numFmtId="0" fontId="2" fillId="0" borderId="7" xfId="0" applyFont="1" applyFill="1" applyBorder="1" applyAlignment="1">
      <alignment horizontal="center"/>
    </xf>
    <xf numFmtId="0" fontId="40" fillId="0" borderId="1" xfId="0" applyFont="1" applyBorder="1" applyAlignment="1">
      <alignment horizontal="center"/>
    </xf>
    <xf numFmtId="2" fontId="39" fillId="0" borderId="0" xfId="6" applyNumberFormat="1" applyFont="1" applyFill="1" applyBorder="1" applyAlignment="1">
      <alignment horizontal="center"/>
    </xf>
    <xf numFmtId="2" fontId="2" fillId="0" borderId="8" xfId="6" applyNumberFormat="1" applyFont="1" applyFill="1" applyBorder="1" applyAlignment="1">
      <alignment horizontal="center"/>
    </xf>
    <xf numFmtId="0" fontId="2" fillId="0" borderId="25" xfId="0" applyFont="1" applyFill="1" applyBorder="1"/>
    <xf numFmtId="0" fontId="40" fillId="0" borderId="0" xfId="0" applyFont="1" applyBorder="1" applyAlignment="1">
      <alignment horizontal="center"/>
    </xf>
    <xf numFmtId="2" fontId="39" fillId="0" borderId="1" xfId="6" applyNumberFormat="1" applyFont="1" applyFill="1" applyBorder="1" applyAlignment="1">
      <alignment horizontal="center"/>
    </xf>
    <xf numFmtId="0" fontId="2" fillId="0" borderId="1" xfId="0" applyFont="1" applyBorder="1"/>
    <xf numFmtId="0" fontId="2" fillId="0" borderId="0" xfId="0" applyFont="1" applyAlignment="1">
      <alignment horizontal="left"/>
    </xf>
    <xf numFmtId="165" fontId="2" fillId="0" borderId="0" xfId="1" applyNumberFormat="1" applyFont="1" applyAlignment="1"/>
    <xf numFmtId="0" fontId="2" fillId="0" borderId="0" xfId="0" applyFont="1" applyAlignment="1">
      <alignment horizontal="center"/>
    </xf>
    <xf numFmtId="0" fontId="2" fillId="0" borderId="0" xfId="0" applyFont="1" applyBorder="1" applyAlignment="1">
      <alignment horizontal="center"/>
    </xf>
    <xf numFmtId="0" fontId="2" fillId="0" borderId="24" xfId="0" applyFont="1" applyBorder="1" applyAlignment="1">
      <alignment horizontal="center"/>
    </xf>
    <xf numFmtId="0" fontId="6" fillId="0" borderId="7" xfId="0" applyFont="1" applyBorder="1" applyAlignment="1">
      <alignment horizontal="center" vertical="center"/>
    </xf>
    <xf numFmtId="0" fontId="3" fillId="0" borderId="25" xfId="0" applyFont="1" applyBorder="1" applyAlignment="1">
      <alignment vertical="center"/>
    </xf>
    <xf numFmtId="0" fontId="3" fillId="0" borderId="10" xfId="0" applyFont="1" applyBorder="1" applyAlignment="1">
      <alignment vertical="center"/>
    </xf>
    <xf numFmtId="0" fontId="2" fillId="0" borderId="13" xfId="0" applyFont="1" applyBorder="1"/>
    <xf numFmtId="0" fontId="3" fillId="0" borderId="0" xfId="0" applyFont="1" applyBorder="1" applyAlignment="1" applyProtection="1">
      <alignment horizontal="center" vertical="center"/>
      <protection locked="0"/>
    </xf>
    <xf numFmtId="1" fontId="3" fillId="0" borderId="24" xfId="0" applyNumberFormat="1" applyFont="1" applyBorder="1" applyAlignment="1">
      <alignment horizontal="center" vertical="center"/>
    </xf>
    <xf numFmtId="0" fontId="6" fillId="0" borderId="25" xfId="42" applyFont="1" applyBorder="1" applyAlignment="1">
      <alignment horizontal="center" vertical="center"/>
    </xf>
    <xf numFmtId="9" fontId="3" fillId="0" borderId="0" xfId="42" applyNumberFormat="1" applyFont="1" applyBorder="1" applyAlignment="1">
      <alignment horizontal="center" vertical="center"/>
    </xf>
    <xf numFmtId="0" fontId="6" fillId="0" borderId="0" xfId="42" applyFont="1" applyBorder="1" applyAlignment="1">
      <alignment horizontal="center" vertical="center"/>
    </xf>
    <xf numFmtId="0" fontId="6" fillId="0" borderId="24" xfId="42" applyFont="1" applyBorder="1" applyAlignment="1">
      <alignment horizontal="center" vertical="center"/>
    </xf>
    <xf numFmtId="0" fontId="6" fillId="0" borderId="10" xfId="42" applyFont="1" applyBorder="1" applyAlignment="1">
      <alignment horizontal="center" vertical="center"/>
    </xf>
    <xf numFmtId="0" fontId="6" fillId="0" borderId="25" xfId="44" applyFont="1" applyBorder="1" applyAlignment="1">
      <alignment vertical="center"/>
    </xf>
    <xf numFmtId="2" fontId="6" fillId="0" borderId="24" xfId="44" applyNumberFormat="1" applyFont="1" applyBorder="1" applyAlignment="1">
      <alignment horizontal="center" vertical="center"/>
    </xf>
    <xf numFmtId="0" fontId="3" fillId="0" borderId="24" xfId="44" applyBorder="1" applyAlignment="1">
      <alignment horizontal="center" vertical="center"/>
    </xf>
    <xf numFmtId="0" fontId="3" fillId="0" borderId="25" xfId="44" applyBorder="1" applyAlignment="1">
      <alignment vertical="center"/>
    </xf>
    <xf numFmtId="2" fontId="3" fillId="0" borderId="24" xfId="44" applyNumberFormat="1" applyBorder="1" applyAlignment="1">
      <alignment horizontal="center" vertical="center"/>
    </xf>
    <xf numFmtId="0" fontId="6" fillId="0" borderId="25" xfId="44" applyFont="1" applyBorder="1" applyAlignment="1">
      <alignment horizontal="center" vertical="center"/>
    </xf>
    <xf numFmtId="0" fontId="6" fillId="0" borderId="10" xfId="44" applyFont="1" applyBorder="1" applyAlignment="1">
      <alignment vertical="center"/>
    </xf>
    <xf numFmtId="10" fontId="6" fillId="0" borderId="11" xfId="52" applyNumberFormat="1" applyFont="1" applyBorder="1" applyAlignment="1">
      <alignment horizontal="center" vertical="center"/>
    </xf>
    <xf numFmtId="2" fontId="3" fillId="0" borderId="0" xfId="44" applyNumberFormat="1" applyBorder="1"/>
    <xf numFmtId="0" fontId="35" fillId="0" borderId="0" xfId="44" applyFont="1" applyBorder="1" applyAlignment="1">
      <alignment vertical="center"/>
    </xf>
    <xf numFmtId="0" fontId="35" fillId="0" borderId="24" xfId="44" applyFont="1" applyBorder="1" applyAlignment="1">
      <alignment vertical="center"/>
    </xf>
    <xf numFmtId="10" fontId="6" fillId="0" borderId="1" xfId="52" applyNumberFormat="1" applyFont="1" applyBorder="1" applyAlignment="1">
      <alignment horizontal="center" vertical="center"/>
    </xf>
    <xf numFmtId="0" fontId="3" fillId="0" borderId="0" xfId="44" applyBorder="1" applyAlignment="1">
      <alignment horizontal="center"/>
    </xf>
    <xf numFmtId="0" fontId="3" fillId="0" borderId="24" xfId="44" applyBorder="1" applyAlignment="1">
      <alignment horizontal="center"/>
    </xf>
    <xf numFmtId="0" fontId="3" fillId="0" borderId="5" xfId="44" applyBorder="1" applyAlignment="1">
      <alignment horizontal="center"/>
    </xf>
    <xf numFmtId="0" fontId="3" fillId="0" borderId="12" xfId="44" applyBorder="1" applyAlignment="1">
      <alignment horizontal="center"/>
    </xf>
    <xf numFmtId="2" fontId="3" fillId="0" borderId="0" xfId="42" applyNumberFormat="1" applyFont="1" applyBorder="1" applyAlignment="1">
      <alignment horizontal="center" vertical="center"/>
    </xf>
    <xf numFmtId="2" fontId="3" fillId="0" borderId="24" xfId="42" applyNumberFormat="1" applyFont="1" applyBorder="1" applyAlignment="1">
      <alignment horizontal="center" vertical="center"/>
    </xf>
    <xf numFmtId="2" fontId="3" fillId="0" borderId="1" xfId="42" applyNumberFormat="1" applyFont="1" applyBorder="1" applyAlignment="1">
      <alignment horizontal="center" vertical="center"/>
    </xf>
    <xf numFmtId="2" fontId="3" fillId="0" borderId="11" xfId="42" applyNumberFormat="1" applyFont="1" applyBorder="1" applyAlignment="1">
      <alignment horizontal="center" vertical="center"/>
    </xf>
    <xf numFmtId="0" fontId="2" fillId="0" borderId="10" xfId="0" applyFont="1" applyBorder="1" applyAlignment="1">
      <alignment horizontal="center" vertical="center"/>
    </xf>
    <xf numFmtId="0" fontId="9" fillId="0" borderId="1" xfId="0" applyFont="1" applyBorder="1" applyAlignment="1">
      <alignment horizontal="center"/>
    </xf>
    <xf numFmtId="9" fontId="0" fillId="0" borderId="0" xfId="3" applyFont="1"/>
    <xf numFmtId="0" fontId="6" fillId="0" borderId="5" xfId="0" applyFont="1" applyBorder="1" applyAlignment="1">
      <alignment horizontal="center" vertical="center"/>
    </xf>
    <xf numFmtId="0" fontId="9" fillId="0" borderId="1" xfId="0" applyFont="1" applyFill="1" applyBorder="1" applyAlignment="1"/>
    <xf numFmtId="0" fontId="2" fillId="0" borderId="25" xfId="0" applyFont="1" applyBorder="1" applyAlignment="1">
      <alignment horizontal="center" vertical="center"/>
    </xf>
    <xf numFmtId="2" fontId="3" fillId="0" borderId="0" xfId="42" applyNumberFormat="1" applyBorder="1" applyAlignment="1">
      <alignment vertical="center"/>
    </xf>
    <xf numFmtId="2" fontId="6" fillId="0" borderId="0" xfId="42" applyNumberFormat="1" applyFont="1" applyBorder="1" applyAlignment="1">
      <alignment vertical="center"/>
    </xf>
    <xf numFmtId="0" fontId="6" fillId="0" borderId="25" xfId="42" applyFont="1" applyBorder="1" applyAlignment="1">
      <alignment vertical="center"/>
    </xf>
    <xf numFmtId="0" fontId="3" fillId="0" borderId="25" xfId="42" applyBorder="1" applyAlignment="1">
      <alignment vertical="center"/>
    </xf>
    <xf numFmtId="2" fontId="3" fillId="0" borderId="24" xfId="42" applyNumberFormat="1" applyBorder="1" applyAlignment="1">
      <alignment vertical="center"/>
    </xf>
    <xf numFmtId="2" fontId="6" fillId="0" borderId="24" xfId="42" applyNumberFormat="1" applyFont="1" applyBorder="1" applyAlignment="1">
      <alignment vertical="center"/>
    </xf>
    <xf numFmtId="0" fontId="6" fillId="0" borderId="10" xfId="42" applyFont="1" applyBorder="1" applyAlignment="1">
      <alignment vertical="center"/>
    </xf>
    <xf numFmtId="2" fontId="6" fillId="0" borderId="1" xfId="42" applyNumberFormat="1" applyFont="1" applyBorder="1" applyAlignment="1">
      <alignment vertical="center"/>
    </xf>
    <xf numFmtId="0" fontId="3" fillId="0" borderId="1" xfId="42" applyBorder="1" applyAlignment="1">
      <alignment vertical="center"/>
    </xf>
    <xf numFmtId="0" fontId="3" fillId="0" borderId="11" xfId="42" applyBorder="1" applyAlignment="1">
      <alignment vertical="center"/>
    </xf>
    <xf numFmtId="167" fontId="0" fillId="0" borderId="0" xfId="0" applyNumberFormat="1"/>
    <xf numFmtId="1" fontId="0" fillId="0" borderId="0" xfId="0" applyNumberFormat="1"/>
    <xf numFmtId="0" fontId="10" fillId="15" borderId="5" xfId="0" applyFont="1" applyFill="1" applyBorder="1" applyAlignment="1">
      <alignment horizontal="center" vertical="center"/>
    </xf>
    <xf numFmtId="0" fontId="42" fillId="15" borderId="25" xfId="0" applyFont="1" applyFill="1" applyBorder="1" applyAlignment="1">
      <alignment horizontal="center" vertical="center" wrapText="1"/>
    </xf>
    <xf numFmtId="0" fontId="10" fillId="15" borderId="0" xfId="0" applyFont="1" applyFill="1" applyBorder="1" applyAlignment="1">
      <alignment horizontal="center" vertical="center" wrapText="1"/>
    </xf>
    <xf numFmtId="0" fontId="42" fillId="15" borderId="0" xfId="0" applyFont="1" applyFill="1" applyBorder="1" applyAlignment="1">
      <alignment horizontal="center" vertical="center" wrapText="1"/>
    </xf>
    <xf numFmtId="0" fontId="10" fillId="15" borderId="24" xfId="0" applyFont="1" applyFill="1" applyBorder="1" applyAlignment="1">
      <alignment horizontal="center" vertical="center" wrapText="1"/>
    </xf>
    <xf numFmtId="0" fontId="42" fillId="15" borderId="10" xfId="0" applyFont="1" applyFill="1" applyBorder="1" applyAlignment="1">
      <alignment horizontal="center" vertical="center" wrapText="1"/>
    </xf>
    <xf numFmtId="0" fontId="10" fillId="15" borderId="1" xfId="0" applyFont="1" applyFill="1" applyBorder="1" applyAlignment="1">
      <alignment horizontal="center" vertical="center" wrapText="1"/>
    </xf>
    <xf numFmtId="2" fontId="39" fillId="0" borderId="0" xfId="3" applyNumberFormat="1" applyFont="1" applyAlignment="1">
      <alignment horizontal="center"/>
    </xf>
    <xf numFmtId="4" fontId="2" fillId="0" borderId="0" xfId="0" applyNumberFormat="1" applyFont="1"/>
    <xf numFmtId="0" fontId="2" fillId="0" borderId="13" xfId="0" applyFont="1" applyBorder="1" applyAlignment="1">
      <alignment vertical="center"/>
    </xf>
    <xf numFmtId="0" fontId="10" fillId="15" borderId="25" xfId="0" applyFont="1" applyFill="1" applyBorder="1" applyAlignment="1">
      <alignment horizontal="center" wrapText="1"/>
    </xf>
    <xf numFmtId="0" fontId="10" fillId="15" borderId="0" xfId="0" applyFont="1" applyFill="1" applyBorder="1" applyAlignment="1">
      <alignment horizontal="center" wrapText="1"/>
    </xf>
    <xf numFmtId="0" fontId="10" fillId="15" borderId="24" xfId="0" applyFont="1" applyFill="1" applyBorder="1" applyAlignment="1">
      <alignment horizontal="center" wrapText="1"/>
    </xf>
    <xf numFmtId="0" fontId="10" fillId="15" borderId="8" xfId="0" applyFont="1" applyFill="1" applyBorder="1" applyAlignment="1">
      <alignment horizontal="center" vertical="center"/>
    </xf>
    <xf numFmtId="2" fontId="10" fillId="15" borderId="9" xfId="0" applyNumberFormat="1" applyFont="1" applyFill="1" applyBorder="1" applyAlignment="1">
      <alignment horizontal="center" vertical="center"/>
    </xf>
    <xf numFmtId="2" fontId="42" fillId="15" borderId="11" xfId="0" applyNumberFormat="1" applyFont="1" applyFill="1" applyBorder="1" applyAlignment="1">
      <alignment horizontal="center"/>
    </xf>
    <xf numFmtId="0" fontId="10" fillId="15" borderId="10" xfId="0" applyFont="1" applyFill="1" applyBorder="1" applyAlignment="1">
      <alignment horizontal="center" vertical="center"/>
    </xf>
    <xf numFmtId="0" fontId="10" fillId="15" borderId="1" xfId="0" applyFont="1" applyFill="1" applyBorder="1" applyAlignment="1">
      <alignment horizontal="center" vertical="center"/>
    </xf>
    <xf numFmtId="0" fontId="0" fillId="0" borderId="2" xfId="0" applyBorder="1"/>
    <xf numFmtId="0" fontId="0" fillId="0" borderId="2" xfId="0" applyBorder="1" applyAlignment="1">
      <alignment horizontal="left"/>
    </xf>
    <xf numFmtId="0" fontId="4" fillId="15" borderId="2" xfId="0" applyFont="1" applyFill="1" applyBorder="1"/>
    <xf numFmtId="0" fontId="0" fillId="0" borderId="2" xfId="0" applyBorder="1" applyAlignment="1">
      <alignment vertical="center"/>
    </xf>
    <xf numFmtId="0" fontId="0" fillId="0" borderId="2" xfId="0" applyBorder="1" applyAlignment="1">
      <alignment wrapText="1"/>
    </xf>
    <xf numFmtId="2" fontId="0" fillId="0" borderId="2" xfId="0" applyNumberFormat="1" applyBorder="1"/>
    <xf numFmtId="1" fontId="0" fillId="0" borderId="2" xfId="0" applyNumberFormat="1" applyBorder="1"/>
    <xf numFmtId="0" fontId="41" fillId="15" borderId="2" xfId="0" applyFont="1" applyFill="1" applyBorder="1" applyAlignment="1">
      <alignment horizontal="center"/>
    </xf>
    <xf numFmtId="0" fontId="0" fillId="0" borderId="0" xfId="0" applyFill="1" applyBorder="1"/>
    <xf numFmtId="0" fontId="0" fillId="0" borderId="12" xfId="0" applyFill="1" applyBorder="1"/>
    <xf numFmtId="0" fontId="44" fillId="0" borderId="0" xfId="0" applyFont="1" applyAlignment="1">
      <alignment horizontal="left"/>
    </xf>
    <xf numFmtId="2" fontId="2" fillId="0" borderId="0" xfId="0" applyNumberFormat="1" applyFont="1" applyAlignment="1">
      <alignment horizontal="left"/>
    </xf>
    <xf numFmtId="0" fontId="0" fillId="13" borderId="0" xfId="0" applyFill="1"/>
    <xf numFmtId="1" fontId="0" fillId="13" borderId="0" xfId="0" applyNumberFormat="1" applyFill="1"/>
    <xf numFmtId="0" fontId="2" fillId="13" borderId="0" xfId="0" applyFont="1" applyFill="1" applyBorder="1" applyAlignment="1">
      <alignment horizontal="center"/>
    </xf>
    <xf numFmtId="0" fontId="2" fillId="13" borderId="0" xfId="0" applyFont="1" applyFill="1" applyBorder="1"/>
    <xf numFmtId="2" fontId="2" fillId="13" borderId="0" xfId="0" applyNumberFormat="1" applyFont="1" applyFill="1" applyBorder="1" applyAlignment="1">
      <alignment horizontal="center"/>
    </xf>
    <xf numFmtId="2" fontId="7" fillId="13" borderId="0" xfId="0" applyNumberFormat="1" applyFont="1" applyFill="1" applyBorder="1" applyAlignment="1">
      <alignment horizontal="center" vertical="center"/>
    </xf>
    <xf numFmtId="0" fontId="9" fillId="13" borderId="0" xfId="0" applyFont="1" applyFill="1" applyBorder="1"/>
    <xf numFmtId="0" fontId="42" fillId="15" borderId="7" xfId="0" applyFont="1" applyFill="1" applyBorder="1" applyAlignment="1">
      <alignment horizontal="center"/>
    </xf>
    <xf numFmtId="0" fontId="42" fillId="15" borderId="8" xfId="0" applyFont="1" applyFill="1" applyBorder="1" applyAlignment="1">
      <alignment horizontal="center"/>
    </xf>
    <xf numFmtId="0" fontId="42" fillId="15" borderId="9" xfId="0" applyFont="1" applyFill="1" applyBorder="1" applyAlignment="1">
      <alignment horizontal="center"/>
    </xf>
    <xf numFmtId="0" fontId="42" fillId="15" borderId="2" xfId="0" applyFont="1" applyFill="1" applyBorder="1" applyAlignment="1">
      <alignment horizontal="center"/>
    </xf>
    <xf numFmtId="0" fontId="42" fillId="15" borderId="13" xfId="0" applyFont="1" applyFill="1" applyBorder="1" applyAlignment="1">
      <alignment horizontal="center"/>
    </xf>
    <xf numFmtId="167" fontId="42" fillId="15" borderId="6" xfId="0" applyNumberFormat="1" applyFont="1" applyFill="1" applyBorder="1" applyAlignment="1">
      <alignment horizontal="center"/>
    </xf>
    <xf numFmtId="0" fontId="10" fillId="15" borderId="8" xfId="4" applyFont="1" applyFill="1" applyBorder="1" applyAlignment="1">
      <alignment horizontal="center" vertical="center"/>
    </xf>
    <xf numFmtId="0" fontId="10" fillId="15" borderId="8" xfId="4" applyFont="1" applyFill="1" applyBorder="1" applyAlignment="1">
      <alignment horizontal="center" vertical="center" wrapText="1"/>
    </xf>
    <xf numFmtId="0" fontId="42" fillId="15" borderId="0" xfId="0" applyFont="1" applyFill="1" applyBorder="1" applyAlignment="1">
      <alignment horizontal="center" vertical="center"/>
    </xf>
    <xf numFmtId="0" fontId="10" fillId="15" borderId="2" xfId="0" applyFont="1" applyFill="1" applyBorder="1" applyAlignment="1">
      <alignment vertical="center"/>
    </xf>
    <xf numFmtId="0" fontId="10" fillId="15" borderId="3" xfId="0" applyFont="1" applyFill="1" applyBorder="1" applyAlignment="1">
      <alignment horizontal="center"/>
    </xf>
    <xf numFmtId="0" fontId="10" fillId="15" borderId="13" xfId="0" applyFont="1" applyFill="1" applyBorder="1" applyAlignment="1">
      <alignment horizontal="center" vertical="center"/>
    </xf>
    <xf numFmtId="1" fontId="10" fillId="15" borderId="6" xfId="0" applyNumberFormat="1" applyFont="1" applyFill="1" applyBorder="1" applyAlignment="1">
      <alignment horizontal="center" vertical="center"/>
    </xf>
    <xf numFmtId="1" fontId="10" fillId="15" borderId="13" xfId="0" applyNumberFormat="1" applyFont="1" applyFill="1" applyBorder="1" applyAlignment="1">
      <alignment horizontal="center"/>
    </xf>
    <xf numFmtId="2" fontId="10" fillId="15" borderId="1" xfId="4" applyNumberFormat="1" applyFont="1" applyFill="1" applyBorder="1" applyAlignment="1">
      <alignment horizontal="center" vertical="center"/>
    </xf>
    <xf numFmtId="2" fontId="10" fillId="15" borderId="1" xfId="4" applyNumberFormat="1" applyFont="1" applyFill="1" applyBorder="1" applyAlignment="1">
      <alignment horizontal="center" vertical="center" wrapText="1"/>
    </xf>
    <xf numFmtId="0" fontId="10" fillId="15" borderId="8" xfId="4" applyFont="1" applyFill="1" applyBorder="1" applyAlignment="1">
      <alignment vertical="center"/>
    </xf>
    <xf numFmtId="0" fontId="10" fillId="15" borderId="25" xfId="4" applyFont="1" applyFill="1" applyBorder="1" applyAlignment="1">
      <alignment vertical="center"/>
    </xf>
    <xf numFmtId="0" fontId="10" fillId="15" borderId="0" xfId="4" applyNumberFormat="1" applyFont="1" applyFill="1" applyBorder="1" applyAlignment="1">
      <alignment horizontal="center" vertical="center"/>
    </xf>
    <xf numFmtId="0" fontId="10" fillId="15" borderId="10" xfId="4" applyFont="1" applyFill="1" applyBorder="1" applyAlignment="1">
      <alignment vertical="center"/>
    </xf>
    <xf numFmtId="9" fontId="10" fillId="15" borderId="1" xfId="3" applyFont="1" applyFill="1" applyBorder="1" applyAlignment="1">
      <alignment vertical="center"/>
    </xf>
    <xf numFmtId="2" fontId="10" fillId="15" borderId="1" xfId="0" applyNumberFormat="1" applyFont="1" applyFill="1" applyBorder="1" applyAlignment="1">
      <alignment horizontal="center" vertical="center"/>
    </xf>
    <xf numFmtId="0" fontId="10" fillId="15" borderId="7" xfId="5" applyFont="1" applyFill="1" applyBorder="1" applyAlignment="1">
      <alignment horizontal="center" vertical="center"/>
    </xf>
    <xf numFmtId="0" fontId="10" fillId="15" borderId="8" xfId="5" applyFont="1" applyFill="1" applyBorder="1" applyAlignment="1">
      <alignment horizontal="center" vertical="center"/>
    </xf>
    <xf numFmtId="2" fontId="10" fillId="15" borderId="8" xfId="6" applyNumberFormat="1" applyFont="1" applyFill="1" applyBorder="1" applyAlignment="1">
      <alignment horizontal="center" vertical="center"/>
    </xf>
    <xf numFmtId="2" fontId="42" fillId="15" borderId="9" xfId="0" applyNumberFormat="1" applyFont="1" applyFill="1" applyBorder="1" applyAlignment="1">
      <alignment horizontal="center" vertical="center"/>
    </xf>
    <xf numFmtId="0" fontId="10" fillId="15" borderId="25" xfId="0" applyFont="1" applyFill="1" applyBorder="1" applyAlignment="1">
      <alignment horizontal="center" vertical="center"/>
    </xf>
    <xf numFmtId="0" fontId="10" fillId="15" borderId="0" xfId="0" applyFont="1" applyFill="1" applyBorder="1" applyAlignment="1">
      <alignment horizontal="center" vertical="center"/>
    </xf>
    <xf numFmtId="10" fontId="10" fillId="15" borderId="0" xfId="3" applyNumberFormat="1" applyFont="1" applyFill="1" applyBorder="1" applyAlignment="1">
      <alignment horizontal="center" vertical="center"/>
    </xf>
    <xf numFmtId="2" fontId="42" fillId="15" borderId="24" xfId="0" applyNumberFormat="1" applyFont="1" applyFill="1" applyBorder="1" applyAlignment="1">
      <alignment horizontal="center" vertical="center"/>
    </xf>
    <xf numFmtId="2" fontId="10" fillId="15" borderId="1" xfId="6" applyNumberFormat="1" applyFont="1" applyFill="1" applyBorder="1" applyAlignment="1">
      <alignment horizontal="center"/>
    </xf>
    <xf numFmtId="2" fontId="42" fillId="15" borderId="11" xfId="0" applyNumberFormat="1" applyFont="1" applyFill="1" applyBorder="1" applyAlignment="1">
      <alignment horizontal="center" vertical="center"/>
    </xf>
    <xf numFmtId="0" fontId="10" fillId="15" borderId="3" xfId="0" applyFont="1" applyFill="1" applyBorder="1" applyAlignment="1">
      <alignment horizontal="center" vertical="center"/>
    </xf>
    <xf numFmtId="2" fontId="42" fillId="15" borderId="6" xfId="0" applyNumberFormat="1" applyFont="1" applyFill="1" applyBorder="1" applyAlignment="1">
      <alignment horizontal="center" vertical="center"/>
    </xf>
    <xf numFmtId="0" fontId="10" fillId="15" borderId="10" xfId="0" applyFont="1" applyFill="1" applyBorder="1" applyAlignment="1">
      <alignment horizontal="center" wrapText="1"/>
    </xf>
    <xf numFmtId="0" fontId="10" fillId="15" borderId="1" xfId="0" applyFont="1" applyFill="1" applyBorder="1" applyAlignment="1">
      <alignment horizontal="center" wrapText="1"/>
    </xf>
    <xf numFmtId="2" fontId="10" fillId="15" borderId="11" xfId="0" applyNumberFormat="1" applyFont="1" applyFill="1" applyBorder="1" applyAlignment="1">
      <alignment horizontal="center"/>
    </xf>
    <xf numFmtId="0" fontId="3" fillId="17" borderId="0" xfId="42" applyFill="1"/>
    <xf numFmtId="0" fontId="6" fillId="17" borderId="0" xfId="42" applyFont="1" applyFill="1" applyAlignment="1">
      <alignment horizontal="center"/>
    </xf>
    <xf numFmtId="0" fontId="6" fillId="17" borderId="0" xfId="42" applyFont="1" applyFill="1"/>
    <xf numFmtId="2" fontId="6" fillId="17" borderId="0" xfId="42" applyNumberFormat="1" applyFont="1" applyFill="1"/>
    <xf numFmtId="0" fontId="3" fillId="17" borderId="0" xfId="42" applyFill="1" applyAlignment="1">
      <alignment vertical="center"/>
    </xf>
    <xf numFmtId="2" fontId="3" fillId="17" borderId="0" xfId="42" applyNumberFormat="1" applyFill="1"/>
    <xf numFmtId="167" fontId="3" fillId="17" borderId="0" xfId="42" applyNumberFormat="1" applyFill="1"/>
    <xf numFmtId="0" fontId="3" fillId="17" borderId="0" xfId="42" applyFont="1" applyFill="1" applyAlignment="1">
      <alignment horizontal="center"/>
    </xf>
    <xf numFmtId="0" fontId="6" fillId="17" borderId="0" xfId="42" applyFont="1" applyFill="1" applyAlignment="1">
      <alignment horizontal="center" vertical="center"/>
    </xf>
    <xf numFmtId="0" fontId="3" fillId="17" borderId="0" xfId="42" applyFont="1" applyFill="1" applyAlignment="1">
      <alignment horizontal="center" vertical="center"/>
    </xf>
    <xf numFmtId="167" fontId="3" fillId="17" borderId="0" xfId="42" applyNumberFormat="1" applyFont="1" applyFill="1" applyAlignment="1">
      <alignment horizontal="center" vertical="center"/>
    </xf>
    <xf numFmtId="167" fontId="3" fillId="17" borderId="0" xfId="42" applyNumberFormat="1" applyFont="1" applyFill="1" applyAlignment="1">
      <alignment horizontal="center"/>
    </xf>
    <xf numFmtId="0" fontId="35" fillId="17" borderId="0" xfId="44" applyFont="1" applyFill="1"/>
    <xf numFmtId="0" fontId="3" fillId="17" borderId="0" xfId="44" applyFill="1"/>
    <xf numFmtId="2" fontId="37" fillId="17" borderId="0" xfId="44" applyNumberFormat="1" applyFont="1" applyFill="1"/>
    <xf numFmtId="2" fontId="3" fillId="17" borderId="0" xfId="44" applyNumberFormat="1" applyFill="1"/>
    <xf numFmtId="0" fontId="35" fillId="17" borderId="0" xfId="44" applyFont="1" applyFill="1" applyAlignment="1">
      <alignment vertical="center"/>
    </xf>
    <xf numFmtId="2" fontId="36" fillId="17" borderId="0" xfId="44" applyNumberFormat="1" applyFont="1" applyFill="1" applyAlignment="1">
      <alignment vertical="center"/>
    </xf>
    <xf numFmtId="167" fontId="3" fillId="17" borderId="0" xfId="44" applyNumberFormat="1" applyFill="1"/>
    <xf numFmtId="10" fontId="36" fillId="17" borderId="0" xfId="52" applyNumberFormat="1" applyFont="1" applyFill="1" applyAlignment="1">
      <alignment vertical="center"/>
    </xf>
    <xf numFmtId="0" fontId="6" fillId="0" borderId="25" xfId="42" applyFont="1" applyBorder="1" applyAlignment="1">
      <alignment horizontal="center" vertical="center" wrapText="1"/>
    </xf>
    <xf numFmtId="0" fontId="6" fillId="0" borderId="0" xfId="42" applyFont="1" applyBorder="1" applyAlignment="1">
      <alignment horizontal="center" vertical="center" wrapText="1"/>
    </xf>
    <xf numFmtId="0" fontId="6" fillId="0" borderId="24" xfId="42" applyFont="1" applyBorder="1" applyAlignment="1">
      <alignment horizontal="center" vertical="center" wrapText="1"/>
    </xf>
    <xf numFmtId="0" fontId="3" fillId="0" borderId="25" xfId="42" applyFont="1" applyBorder="1" applyAlignment="1">
      <alignment vertical="center"/>
    </xf>
    <xf numFmtId="2" fontId="6" fillId="0" borderId="11" xfId="42" applyNumberFormat="1" applyFont="1" applyBorder="1" applyAlignment="1">
      <alignment horizontal="center" vertical="center"/>
    </xf>
    <xf numFmtId="0" fontId="10" fillId="15" borderId="7" xfId="0" applyFont="1" applyFill="1" applyBorder="1" applyAlignment="1">
      <alignment horizontal="center" vertical="center"/>
    </xf>
    <xf numFmtId="0" fontId="10" fillId="15" borderId="9" xfId="0" applyFont="1" applyFill="1" applyBorder="1" applyAlignment="1">
      <alignment horizontal="center" vertical="center"/>
    </xf>
    <xf numFmtId="0" fontId="2" fillId="0" borderId="24" xfId="0" applyFont="1" applyBorder="1" applyAlignment="1">
      <alignment horizontal="center" vertical="center"/>
    </xf>
    <xf numFmtId="0" fontId="2" fillId="0" borderId="11" xfId="0" applyFont="1" applyBorder="1" applyAlignment="1">
      <alignment horizontal="center" vertical="center"/>
    </xf>
    <xf numFmtId="2" fontId="2" fillId="0" borderId="2" xfId="0" applyNumberFormat="1" applyFont="1" applyFill="1" applyBorder="1" applyAlignment="1">
      <alignment horizontal="center"/>
    </xf>
    <xf numFmtId="0" fontId="45" fillId="14" borderId="0" xfId="0" applyFont="1" applyFill="1" applyBorder="1" applyAlignment="1">
      <alignment horizontal="left" wrapText="1"/>
    </xf>
    <xf numFmtId="9" fontId="6" fillId="0" borderId="0" xfId="42" applyNumberFormat="1" applyFont="1" applyBorder="1" applyAlignment="1">
      <alignment horizontal="center" vertical="center"/>
    </xf>
    <xf numFmtId="0" fontId="3" fillId="0" borderId="25" xfId="42" applyFont="1" applyBorder="1" applyAlignment="1">
      <alignment horizontal="center" vertical="center"/>
    </xf>
    <xf numFmtId="3" fontId="3" fillId="0" borderId="0" xfId="42" applyNumberFormat="1" applyFont="1" applyBorder="1" applyAlignment="1">
      <alignment vertical="center"/>
    </xf>
    <xf numFmtId="3" fontId="3" fillId="0" borderId="24" xfId="42" applyNumberFormat="1" applyFont="1" applyBorder="1"/>
    <xf numFmtId="0" fontId="3" fillId="0" borderId="25" xfId="42" applyFont="1" applyBorder="1" applyAlignment="1">
      <alignment horizontal="center" vertical="center" wrapText="1"/>
    </xf>
    <xf numFmtId="3" fontId="3" fillId="0" borderId="10" xfId="42" applyNumberFormat="1" applyFont="1" applyBorder="1" applyAlignment="1">
      <alignment horizontal="left" vertical="center" wrapText="1"/>
    </xf>
    <xf numFmtId="2" fontId="6" fillId="0" borderId="1" xfId="42" applyNumberFormat="1" applyFont="1" applyBorder="1" applyAlignment="1">
      <alignment horizontal="center" vertical="center"/>
    </xf>
    <xf numFmtId="0" fontId="3" fillId="17" borderId="0" xfId="42" applyFill="1" applyBorder="1"/>
    <xf numFmtId="0" fontId="10" fillId="15" borderId="7" xfId="0" applyFont="1" applyFill="1" applyBorder="1" applyAlignment="1">
      <alignment horizontal="center" vertical="center" wrapText="1"/>
    </xf>
    <xf numFmtId="0" fontId="42" fillId="15" borderId="8" xfId="0" applyFont="1" applyFill="1" applyBorder="1" applyAlignment="1">
      <alignment horizontal="center" vertical="center"/>
    </xf>
    <xf numFmtId="0" fontId="10" fillId="15" borderId="2" xfId="0" applyFont="1" applyFill="1" applyBorder="1" applyAlignment="1">
      <alignment horizontal="center" vertical="center"/>
    </xf>
    <xf numFmtId="0" fontId="2" fillId="0" borderId="0" xfId="0" applyFont="1" applyBorder="1" applyAlignment="1">
      <alignment horizontal="center" vertical="center"/>
    </xf>
    <xf numFmtId="0" fontId="9" fillId="0" borderId="10" xfId="0" applyFont="1" applyBorder="1" applyAlignment="1">
      <alignment horizontal="center" vertical="center"/>
    </xf>
    <xf numFmtId="0" fontId="2" fillId="0" borderId="1" xfId="0" applyFont="1" applyBorder="1" applyAlignment="1">
      <alignment horizontal="center" vertical="center"/>
    </xf>
    <xf numFmtId="3" fontId="3" fillId="0" borderId="25" xfId="42" applyNumberFormat="1" applyFont="1" applyBorder="1" applyAlignment="1">
      <alignment horizontal="left" vertical="center" wrapText="1"/>
    </xf>
    <xf numFmtId="0" fontId="10" fillId="15" borderId="13" xfId="0" applyFont="1" applyFill="1" applyBorder="1" applyAlignment="1">
      <alignment horizontal="center" vertical="center"/>
    </xf>
    <xf numFmtId="0" fontId="10" fillId="15" borderId="8" xfId="4" applyFont="1" applyFill="1" applyBorder="1" applyAlignment="1">
      <alignment horizontal="center" vertical="center"/>
    </xf>
    <xf numFmtId="0" fontId="9" fillId="0" borderId="3" xfId="0" applyFont="1" applyBorder="1" applyAlignment="1">
      <alignment horizontal="center" vertical="center"/>
    </xf>
    <xf numFmtId="0" fontId="2" fillId="0" borderId="1" xfId="0" applyFont="1" applyBorder="1" applyAlignment="1">
      <alignment horizontal="center" vertical="center"/>
    </xf>
    <xf numFmtId="0" fontId="6" fillId="0" borderId="12" xfId="0" applyFont="1" applyBorder="1" applyAlignment="1">
      <alignment horizontal="center" vertical="center"/>
    </xf>
    <xf numFmtId="2" fontId="6" fillId="0" borderId="12" xfId="0" applyNumberFormat="1" applyFont="1" applyBorder="1" applyAlignment="1">
      <alignment horizontal="center" vertical="center"/>
    </xf>
    <xf numFmtId="2" fontId="6" fillId="0" borderId="4" xfId="0" applyNumberFormat="1" applyFont="1" applyBorder="1" applyAlignment="1">
      <alignment horizontal="center" vertical="center"/>
    </xf>
    <xf numFmtId="9" fontId="6" fillId="0" borderId="12" xfId="3" applyFont="1" applyBorder="1" applyAlignment="1">
      <alignment horizontal="center" vertical="center"/>
    </xf>
    <xf numFmtId="9" fontId="6" fillId="0" borderId="4" xfId="3" applyFont="1" applyBorder="1" applyAlignment="1">
      <alignment horizontal="center" vertical="center"/>
    </xf>
    <xf numFmtId="0" fontId="10" fillId="15" borderId="0" xfId="0" applyFont="1" applyFill="1" applyAlignment="1">
      <alignment horizontal="center" vertical="center"/>
    </xf>
    <xf numFmtId="14" fontId="10" fillId="15" borderId="7" xfId="0" applyNumberFormat="1" applyFont="1" applyFill="1" applyBorder="1" applyAlignment="1">
      <alignment horizontal="center" vertical="center"/>
    </xf>
    <xf numFmtId="14" fontId="10" fillId="15" borderId="5" xfId="0" applyNumberFormat="1" applyFont="1" applyFill="1" applyBorder="1" applyAlignment="1">
      <alignment horizontal="center" vertical="center"/>
    </xf>
    <xf numFmtId="1" fontId="10" fillId="15" borderId="5" xfId="0" applyNumberFormat="1" applyFont="1" applyFill="1" applyBorder="1" applyAlignment="1">
      <alignment horizontal="center" vertical="center"/>
    </xf>
    <xf numFmtId="0" fontId="2" fillId="15" borderId="0" xfId="0" applyFont="1" applyFill="1" applyAlignment="1">
      <alignment horizontal="center"/>
    </xf>
    <xf numFmtId="0" fontId="2" fillId="0" borderId="8" xfId="0" applyFont="1" applyBorder="1" applyAlignment="1">
      <alignment horizontal="center"/>
    </xf>
    <xf numFmtId="1" fontId="2" fillId="0" borderId="9" xfId="0" applyNumberFormat="1" applyFont="1" applyBorder="1" applyAlignment="1">
      <alignment horizontal="center"/>
    </xf>
    <xf numFmtId="1" fontId="2" fillId="0" borderId="0" xfId="0" applyNumberFormat="1" applyFont="1" applyAlignment="1">
      <alignment horizontal="center"/>
    </xf>
    <xf numFmtId="1" fontId="2" fillId="0" borderId="1" xfId="0" applyNumberFormat="1" applyFont="1" applyBorder="1" applyAlignment="1">
      <alignment horizontal="center" vertical="center" wrapText="1"/>
    </xf>
    <xf numFmtId="1" fontId="46" fillId="0" borderId="1" xfId="0" applyNumberFormat="1" applyFont="1" applyBorder="1" applyAlignment="1">
      <alignment horizontal="center"/>
    </xf>
    <xf numFmtId="0" fontId="2" fillId="0" borderId="8" xfId="0" applyFont="1" applyBorder="1" applyAlignment="1">
      <alignment horizontal="center" vertical="center"/>
    </xf>
    <xf numFmtId="0" fontId="2" fillId="0" borderId="8" xfId="0" applyFont="1" applyBorder="1" applyAlignment="1">
      <alignment horizontal="center" vertical="top"/>
    </xf>
    <xf numFmtId="1" fontId="3" fillId="0" borderId="8" xfId="0" applyNumberFormat="1" applyFont="1" applyBorder="1" applyAlignment="1">
      <alignment horizontal="center" vertical="center" wrapText="1"/>
    </xf>
    <xf numFmtId="1" fontId="8" fillId="3" borderId="8" xfId="0" applyNumberFormat="1" applyFont="1" applyFill="1" applyBorder="1" applyAlignment="1">
      <alignment horizontal="center" vertical="center"/>
    </xf>
    <xf numFmtId="0" fontId="2" fillId="0" borderId="0" xfId="0" applyFont="1" applyBorder="1" applyAlignment="1">
      <alignment horizontal="center" vertical="top"/>
    </xf>
    <xf numFmtId="1" fontId="3" fillId="0" borderId="0" xfId="0" applyNumberFormat="1" applyFont="1" applyBorder="1" applyAlignment="1">
      <alignment horizontal="center" vertical="center" wrapText="1"/>
    </xf>
    <xf numFmtId="1" fontId="2" fillId="0" borderId="24" xfId="0" applyNumberFormat="1" applyFont="1" applyBorder="1" applyAlignment="1">
      <alignment horizontal="center"/>
    </xf>
    <xf numFmtId="0" fontId="2" fillId="0" borderId="1" xfId="0" applyFont="1" applyBorder="1" applyAlignment="1">
      <alignment horizontal="center" vertical="top"/>
    </xf>
    <xf numFmtId="1" fontId="3" fillId="0" borderId="1" xfId="0" applyNumberFormat="1" applyFont="1" applyBorder="1" applyAlignment="1">
      <alignment horizontal="center" vertical="center" wrapText="1"/>
    </xf>
    <xf numFmtId="1" fontId="8" fillId="3" borderId="1" xfId="0" applyNumberFormat="1" applyFont="1" applyFill="1" applyBorder="1" applyAlignment="1">
      <alignment horizontal="center" vertical="center"/>
    </xf>
    <xf numFmtId="1" fontId="2" fillId="0" borderId="11" xfId="0" applyNumberFormat="1" applyFont="1" applyBorder="1" applyAlignment="1">
      <alignment horizontal="center"/>
    </xf>
    <xf numFmtId="0" fontId="9" fillId="0" borderId="7" xfId="0" applyFont="1" applyBorder="1" applyAlignment="1">
      <alignment horizontal="center" vertical="center" wrapText="1"/>
    </xf>
    <xf numFmtId="1" fontId="3" fillId="0" borderId="8" xfId="0" applyNumberFormat="1" applyFont="1" applyBorder="1" applyAlignment="1">
      <alignment horizontal="center" vertical="center"/>
    </xf>
    <xf numFmtId="0" fontId="2" fillId="0" borderId="8" xfId="0" applyFont="1" applyFill="1" applyBorder="1" applyAlignment="1">
      <alignment horizontal="center"/>
    </xf>
    <xf numFmtId="1" fontId="3" fillId="0" borderId="8" xfId="46" applyNumberFormat="1" applyFont="1" applyFill="1" applyBorder="1" applyAlignment="1">
      <alignment horizontal="center" vertical="center"/>
    </xf>
    <xf numFmtId="2" fontId="8" fillId="0" borderId="7" xfId="0" applyNumberFormat="1" applyFont="1" applyBorder="1" applyAlignment="1">
      <alignment horizontal="center" vertical="top" wrapText="1"/>
    </xf>
    <xf numFmtId="2" fontId="8" fillId="0" borderId="8" xfId="0" applyNumberFormat="1" applyFont="1" applyBorder="1" applyAlignment="1">
      <alignment horizontal="center" vertical="top" wrapText="1"/>
    </xf>
    <xf numFmtId="2" fontId="8" fillId="0" borderId="9" xfId="0" applyNumberFormat="1" applyFont="1" applyBorder="1" applyAlignment="1">
      <alignment horizontal="center" vertical="top" wrapText="1"/>
    </xf>
    <xf numFmtId="1" fontId="3" fillId="0" borderId="0" xfId="46"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2" fontId="8" fillId="0" borderId="25" xfId="0" applyNumberFormat="1" applyFont="1" applyBorder="1" applyAlignment="1">
      <alignment horizontal="center" vertical="top" wrapText="1"/>
    </xf>
    <xf numFmtId="2" fontId="8" fillId="0" borderId="0" xfId="0" applyNumberFormat="1" applyFont="1" applyBorder="1" applyAlignment="1">
      <alignment horizontal="center" vertical="top" wrapText="1"/>
    </xf>
    <xf numFmtId="2" fontId="8" fillId="0" borderId="24" xfId="0" applyNumberFormat="1" applyFont="1" applyBorder="1" applyAlignment="1">
      <alignment horizontal="center" vertical="top" wrapText="1"/>
    </xf>
    <xf numFmtId="2" fontId="8" fillId="0" borderId="0" xfId="0" applyNumberFormat="1" applyFont="1" applyBorder="1" applyAlignment="1">
      <alignment horizontal="center" vertical="center" wrapText="1"/>
    </xf>
    <xf numFmtId="2" fontId="8" fillId="0" borderId="24" xfId="0" applyNumberFormat="1" applyFont="1" applyBorder="1" applyAlignment="1">
      <alignment horizontal="center" vertical="center" wrapText="1"/>
    </xf>
    <xf numFmtId="2" fontId="2" fillId="0" borderId="25" xfId="0" applyNumberFormat="1" applyFont="1" applyBorder="1" applyAlignment="1">
      <alignment horizontal="center" vertical="top" wrapText="1"/>
    </xf>
    <xf numFmtId="1" fontId="3" fillId="0" borderId="0" xfId="46" applyNumberFormat="1" applyFont="1" applyFill="1" applyBorder="1" applyAlignment="1">
      <alignment horizontal="center" vertical="center" wrapText="1"/>
    </xf>
    <xf numFmtId="1" fontId="2" fillId="0" borderId="0" xfId="0" applyNumberFormat="1" applyFont="1" applyFill="1" applyBorder="1" applyAlignment="1">
      <alignment horizontal="center" wrapText="1"/>
    </xf>
    <xf numFmtId="2" fontId="2" fillId="0" borderId="10" xfId="0" applyNumberFormat="1" applyFont="1" applyBorder="1" applyAlignment="1">
      <alignment horizontal="center" vertical="top" wrapText="1"/>
    </xf>
    <xf numFmtId="2" fontId="8" fillId="0" borderId="1" xfId="0" applyNumberFormat="1" applyFont="1" applyBorder="1" applyAlignment="1">
      <alignment horizontal="center" vertical="top" wrapText="1"/>
    </xf>
    <xf numFmtId="2" fontId="8" fillId="0" borderId="11" xfId="0" applyNumberFormat="1" applyFont="1" applyBorder="1" applyAlignment="1">
      <alignment horizontal="center" vertical="top" wrapText="1"/>
    </xf>
    <xf numFmtId="0" fontId="2" fillId="0" borderId="1" xfId="0" applyFont="1" applyFill="1" applyBorder="1" applyAlignment="1">
      <alignment horizontal="center"/>
    </xf>
    <xf numFmtId="1" fontId="2" fillId="0" borderId="1" xfId="0" applyNumberFormat="1" applyFont="1" applyFill="1" applyBorder="1" applyAlignment="1">
      <alignment horizontal="center" wrapText="1"/>
    </xf>
    <xf numFmtId="0" fontId="2" fillId="0" borderId="13" xfId="0" applyFont="1" applyBorder="1" applyAlignment="1">
      <alignment horizontal="center" vertical="center"/>
    </xf>
    <xf numFmtId="1" fontId="3" fillId="0" borderId="13" xfId="46" applyNumberFormat="1" applyFont="1" applyBorder="1" applyAlignment="1">
      <alignment horizontal="center" vertical="center" wrapText="1"/>
    </xf>
    <xf numFmtId="0" fontId="50" fillId="0" borderId="0" xfId="0" applyFont="1" applyBorder="1"/>
    <xf numFmtId="0" fontId="50" fillId="0" borderId="1" xfId="0" applyFont="1" applyBorder="1"/>
    <xf numFmtId="0" fontId="50" fillId="14" borderId="0" xfId="0" applyFont="1" applyFill="1"/>
    <xf numFmtId="3" fontId="10" fillId="15" borderId="11" xfId="0" applyNumberFormat="1" applyFont="1" applyFill="1" applyBorder="1" applyAlignment="1">
      <alignment horizontal="center" vertical="center" wrapText="1"/>
    </xf>
    <xf numFmtId="0" fontId="50" fillId="18" borderId="0" xfId="0" applyFont="1" applyFill="1"/>
    <xf numFmtId="0" fontId="49" fillId="18" borderId="0" xfId="0" applyFont="1" applyFill="1"/>
    <xf numFmtId="0" fontId="2" fillId="18" borderId="0" xfId="0" applyFont="1" applyFill="1" applyAlignment="1">
      <alignment horizontal="center"/>
    </xf>
    <xf numFmtId="0" fontId="2" fillId="18" borderId="0" xfId="0" applyFont="1" applyFill="1"/>
    <xf numFmtId="0" fontId="8" fillId="18" borderId="0" xfId="0" applyFont="1" applyFill="1" applyAlignment="1">
      <alignment horizontal="right" vertical="top" wrapText="1"/>
    </xf>
    <xf numFmtId="0" fontId="2" fillId="18" borderId="0" xfId="0" applyFont="1" applyFill="1" applyAlignment="1">
      <alignment horizontal="center" vertical="center"/>
    </xf>
    <xf numFmtId="0" fontId="2" fillId="18" borderId="0" xfId="0" applyFont="1" applyFill="1" applyAlignment="1">
      <alignment vertical="center"/>
    </xf>
    <xf numFmtId="1" fontId="2" fillId="18" borderId="0" xfId="0" applyNumberFormat="1" applyFont="1" applyFill="1" applyBorder="1" applyAlignment="1">
      <alignment horizontal="center" vertical="center"/>
    </xf>
    <xf numFmtId="1" fontId="49" fillId="18" borderId="0" xfId="0" applyNumberFormat="1" applyFont="1" applyFill="1"/>
    <xf numFmtId="2" fontId="2" fillId="18" borderId="0" xfId="0" applyNumberFormat="1" applyFont="1" applyFill="1" applyBorder="1" applyAlignment="1">
      <alignment horizontal="center" vertical="top" wrapText="1"/>
    </xf>
    <xf numFmtId="2" fontId="8" fillId="18" borderId="0" xfId="0" applyNumberFormat="1" applyFont="1" applyFill="1" applyBorder="1" applyAlignment="1">
      <alignment horizontal="center" vertical="top" wrapText="1"/>
    </xf>
    <xf numFmtId="2" fontId="2" fillId="18" borderId="0" xfId="0" applyNumberFormat="1" applyFont="1" applyFill="1" applyAlignment="1">
      <alignment horizontal="center"/>
    </xf>
    <xf numFmtId="0" fontId="42" fillId="15" borderId="9" xfId="0" applyFont="1" applyFill="1" applyBorder="1" applyAlignment="1">
      <alignment horizontal="center" vertical="center" wrapText="1"/>
    </xf>
    <xf numFmtId="0" fontId="42" fillId="15" borderId="7" xfId="0" applyFont="1" applyFill="1" applyBorder="1" applyAlignment="1">
      <alignment vertical="center" wrapText="1"/>
    </xf>
    <xf numFmtId="0" fontId="8" fillId="0" borderId="0" xfId="0" applyFont="1" applyBorder="1" applyAlignment="1">
      <alignment horizontal="center" vertical="center"/>
    </xf>
    <xf numFmtId="1" fontId="8" fillId="0" borderId="0" xfId="0" applyNumberFormat="1" applyFont="1" applyBorder="1" applyAlignment="1">
      <alignment horizontal="center" vertical="center"/>
    </xf>
    <xf numFmtId="3" fontId="9" fillId="0" borderId="1" xfId="0" applyNumberFormat="1" applyFont="1" applyBorder="1" applyAlignment="1">
      <alignment horizontal="center"/>
    </xf>
    <xf numFmtId="0" fontId="9" fillId="0" borderId="11" xfId="0" applyFont="1" applyBorder="1" applyAlignment="1">
      <alignment horizontal="center"/>
    </xf>
    <xf numFmtId="0" fontId="51" fillId="0" borderId="25" xfId="0" applyFont="1" applyFill="1" applyBorder="1" applyAlignment="1">
      <alignment horizontal="center" wrapText="1"/>
    </xf>
    <xf numFmtId="0" fontId="51" fillId="0" borderId="25" xfId="0" applyFont="1" applyFill="1" applyBorder="1" applyAlignment="1">
      <alignment horizontal="center" vertical="top" wrapText="1"/>
    </xf>
    <xf numFmtId="1" fontId="3" fillId="0" borderId="1" xfId="1" applyNumberFormat="1" applyFont="1" applyFill="1" applyBorder="1" applyAlignment="1">
      <alignment horizontal="center" vertical="center"/>
    </xf>
    <xf numFmtId="0" fontId="52" fillId="15" borderId="0" xfId="0" applyFont="1" applyFill="1" applyBorder="1" applyAlignment="1">
      <alignment horizontal="center" wrapText="1"/>
    </xf>
    <xf numFmtId="0" fontId="52" fillId="15" borderId="8" xfId="0" applyFont="1" applyFill="1" applyBorder="1" applyAlignment="1">
      <alignment horizontal="center" vertical="center" wrapText="1"/>
    </xf>
    <xf numFmtId="0" fontId="46" fillId="0" borderId="0" xfId="0" applyFont="1" applyFill="1" applyBorder="1" applyAlignment="1">
      <alignment horizontal="center" wrapText="1"/>
    </xf>
    <xf numFmtId="169" fontId="46" fillId="0" borderId="0" xfId="3" applyNumberFormat="1" applyFont="1" applyFill="1" applyBorder="1" applyAlignment="1">
      <alignment horizontal="center" vertical="top" wrapText="1"/>
    </xf>
    <xf numFmtId="0" fontId="52" fillId="15" borderId="1" xfId="0" applyFont="1" applyFill="1" applyBorder="1" applyAlignment="1">
      <alignment horizontal="center" wrapText="1"/>
    </xf>
    <xf numFmtId="0" fontId="47" fillId="13" borderId="0" xfId="0" applyFont="1" applyFill="1"/>
    <xf numFmtId="1" fontId="42" fillId="15" borderId="9" xfId="0" applyNumberFormat="1" applyFont="1" applyFill="1" applyBorder="1" applyAlignment="1">
      <alignment horizontal="center"/>
    </xf>
    <xf numFmtId="1" fontId="6" fillId="0" borderId="11" xfId="42" applyNumberFormat="1" applyFont="1" applyBorder="1" applyAlignment="1">
      <alignment horizontal="center" vertical="center"/>
    </xf>
    <xf numFmtId="169" fontId="3" fillId="0" borderId="0" xfId="42" applyNumberFormat="1" applyFont="1" applyBorder="1" applyAlignment="1">
      <alignment horizontal="center" vertical="center"/>
    </xf>
    <xf numFmtId="9" fontId="3" fillId="0" borderId="24" xfId="42" applyNumberFormat="1" applyFont="1" applyBorder="1" applyAlignment="1">
      <alignment horizontal="center" vertical="center"/>
    </xf>
    <xf numFmtId="0" fontId="6" fillId="0" borderId="0" xfId="44" applyFont="1" applyBorder="1" applyAlignment="1">
      <alignment vertical="center"/>
    </xf>
    <xf numFmtId="0" fontId="10" fillId="15" borderId="2" xfId="44" applyFont="1" applyFill="1" applyBorder="1" applyAlignment="1">
      <alignment horizontal="center"/>
    </xf>
    <xf numFmtId="0" fontId="6" fillId="0" borderId="12" xfId="44" applyFont="1" applyBorder="1" applyAlignment="1">
      <alignment horizontal="center"/>
    </xf>
    <xf numFmtId="0" fontId="6" fillId="0" borderId="4" xfId="44" applyFont="1" applyBorder="1" applyAlignment="1">
      <alignment horizontal="center"/>
    </xf>
    <xf numFmtId="10" fontId="3" fillId="0" borderId="12" xfId="52" applyNumberFormat="1" applyFont="1" applyBorder="1" applyAlignment="1">
      <alignment horizontal="center" vertical="center"/>
    </xf>
    <xf numFmtId="0" fontId="3" fillId="0" borderId="12" xfId="0" applyFont="1" applyBorder="1" applyAlignment="1">
      <alignment horizontal="center" vertical="center"/>
    </xf>
    <xf numFmtId="10" fontId="3" fillId="0" borderId="12" xfId="0" applyNumberFormat="1" applyFont="1" applyBorder="1" applyAlignment="1">
      <alignment horizontal="center" vertical="center"/>
    </xf>
    <xf numFmtId="10" fontId="3" fillId="0" borderId="4" xfId="0" applyNumberFormat="1" applyFont="1" applyBorder="1" applyAlignment="1">
      <alignment horizontal="center" vertical="center"/>
    </xf>
    <xf numFmtId="0" fontId="3" fillId="0" borderId="0" xfId="0" applyFont="1" applyFill="1" applyBorder="1" applyAlignment="1">
      <alignment horizontal="center"/>
    </xf>
    <xf numFmtId="1" fontId="2" fillId="0" borderId="6" xfId="0" applyNumberFormat="1" applyFont="1" applyBorder="1" applyAlignment="1">
      <alignment horizontal="center" vertical="center"/>
    </xf>
    <xf numFmtId="0" fontId="53" fillId="0" borderId="0" xfId="0" applyFont="1" applyFill="1" applyBorder="1" applyAlignment="1">
      <alignment horizontal="center"/>
    </xf>
    <xf numFmtId="0" fontId="53" fillId="0" borderId="0" xfId="0" applyFont="1" applyFill="1" applyBorder="1" applyAlignment="1">
      <alignment horizontal="center" vertical="center"/>
    </xf>
    <xf numFmtId="0" fontId="47" fillId="0" borderId="0" xfId="0" applyFont="1"/>
    <xf numFmtId="1" fontId="3" fillId="19" borderId="8" xfId="1" applyNumberFormat="1" applyFont="1" applyFill="1" applyBorder="1" applyAlignment="1">
      <alignment horizontal="center" vertical="center"/>
    </xf>
    <xf numFmtId="1" fontId="3" fillId="19" borderId="0" xfId="1" applyNumberFormat="1" applyFont="1" applyFill="1" applyBorder="1" applyAlignment="1">
      <alignment horizontal="center" vertical="center"/>
    </xf>
    <xf numFmtId="1" fontId="3" fillId="19" borderId="0" xfId="46" applyNumberFormat="1" applyFont="1" applyFill="1" applyBorder="1" applyAlignment="1">
      <alignment horizontal="center" vertical="center"/>
    </xf>
    <xf numFmtId="0" fontId="53" fillId="19" borderId="8" xfId="0" applyFont="1" applyFill="1" applyBorder="1" applyAlignment="1">
      <alignment horizontal="center"/>
    </xf>
    <xf numFmtId="0" fontId="46" fillId="0" borderId="0" xfId="0" applyFont="1" applyFill="1" applyBorder="1" applyAlignment="1">
      <alignment horizontal="center"/>
    </xf>
    <xf numFmtId="1" fontId="3" fillId="19" borderId="1" xfId="46" applyNumberFormat="1" applyFont="1" applyFill="1" applyBorder="1" applyAlignment="1">
      <alignment horizontal="center" vertical="center"/>
    </xf>
    <xf numFmtId="1" fontId="2" fillId="19" borderId="13" xfId="0" applyNumberFormat="1" applyFont="1" applyFill="1" applyBorder="1" applyAlignment="1">
      <alignment horizontal="center" vertical="center"/>
    </xf>
    <xf numFmtId="4" fontId="3" fillId="19" borderId="0" xfId="0" applyNumberFormat="1" applyFont="1" applyFill="1" applyBorder="1" applyAlignment="1">
      <alignment horizontal="center" vertical="center"/>
    </xf>
    <xf numFmtId="3" fontId="3" fillId="19" borderId="0" xfId="0" applyNumberFormat="1" applyFont="1" applyFill="1" applyBorder="1" applyAlignment="1" applyProtection="1">
      <alignment horizontal="center" vertical="center"/>
      <protection locked="0"/>
    </xf>
    <xf numFmtId="0" fontId="54" fillId="18" borderId="0" xfId="0" applyFont="1" applyFill="1"/>
    <xf numFmtId="0" fontId="2" fillId="19" borderId="25" xfId="0" applyFont="1" applyFill="1" applyBorder="1"/>
    <xf numFmtId="0" fontId="9" fillId="19" borderId="3" xfId="0" applyFont="1" applyFill="1" applyBorder="1" applyAlignment="1">
      <alignment horizontal="center" vertical="center" wrapText="1"/>
    </xf>
    <xf numFmtId="1" fontId="3" fillId="19" borderId="8" xfId="0" applyNumberFormat="1" applyFont="1" applyFill="1" applyBorder="1" applyAlignment="1">
      <alignment horizontal="center" vertical="center" wrapText="1"/>
    </xf>
    <xf numFmtId="1" fontId="2" fillId="19" borderId="6" xfId="0" applyNumberFormat="1" applyFont="1" applyFill="1" applyBorder="1" applyAlignment="1">
      <alignment horizontal="center"/>
    </xf>
    <xf numFmtId="1" fontId="46" fillId="19" borderId="0" xfId="0" applyNumberFormat="1" applyFont="1" applyFill="1" applyBorder="1" applyAlignment="1">
      <alignment horizontal="center" vertical="center"/>
    </xf>
    <xf numFmtId="0" fontId="46" fillId="18" borderId="0" xfId="0" applyFont="1" applyFill="1" applyAlignment="1">
      <alignment horizontal="left"/>
    </xf>
    <xf numFmtId="0" fontId="55" fillId="18" borderId="0" xfId="0" applyFont="1" applyFill="1"/>
    <xf numFmtId="1" fontId="2" fillId="19" borderId="9" xfId="0" applyNumberFormat="1" applyFont="1" applyFill="1" applyBorder="1" applyAlignment="1">
      <alignment horizontal="center"/>
    </xf>
    <xf numFmtId="1" fontId="2" fillId="19" borderId="24" xfId="0" applyNumberFormat="1" applyFont="1" applyFill="1" applyBorder="1" applyAlignment="1">
      <alignment horizontal="center"/>
    </xf>
    <xf numFmtId="0" fontId="49" fillId="19" borderId="0" xfId="0" applyFont="1" applyFill="1"/>
    <xf numFmtId="0" fontId="2" fillId="19" borderId="0" xfId="0" applyFont="1" applyFill="1" applyAlignment="1">
      <alignment horizontal="center"/>
    </xf>
    <xf numFmtId="0" fontId="2" fillId="19" borderId="0" xfId="0" applyFont="1" applyFill="1"/>
    <xf numFmtId="0" fontId="2" fillId="19" borderId="0" xfId="0" applyFont="1" applyFill="1" applyAlignment="1">
      <alignment horizontal="center" vertical="center"/>
    </xf>
    <xf numFmtId="0" fontId="10" fillId="19" borderId="8" xfId="4" applyFont="1" applyFill="1" applyBorder="1" applyAlignment="1">
      <alignment horizontal="center" vertical="center"/>
    </xf>
    <xf numFmtId="0" fontId="10" fillId="19" borderId="8" xfId="4" applyFont="1" applyFill="1" applyBorder="1" applyAlignment="1">
      <alignment horizontal="center" vertical="center" wrapText="1"/>
    </xf>
    <xf numFmtId="0" fontId="50" fillId="19" borderId="0" xfId="0" applyFont="1" applyFill="1" applyBorder="1"/>
    <xf numFmtId="0" fontId="2" fillId="19" borderId="0" xfId="0" applyFont="1" applyFill="1" applyBorder="1" applyAlignment="1">
      <alignment horizontal="center" vertical="center"/>
    </xf>
    <xf numFmtId="0" fontId="42" fillId="19" borderId="0" xfId="0" applyFont="1" applyFill="1" applyBorder="1" applyAlignment="1">
      <alignment horizontal="center" vertical="center"/>
    </xf>
    <xf numFmtId="1" fontId="2" fillId="19" borderId="0" xfId="0" applyNumberFormat="1" applyFont="1" applyFill="1" applyBorder="1" applyAlignment="1">
      <alignment horizontal="center" vertical="center"/>
    </xf>
    <xf numFmtId="1" fontId="2" fillId="19" borderId="1" xfId="0" applyNumberFormat="1" applyFont="1" applyFill="1" applyBorder="1" applyAlignment="1">
      <alignment horizontal="center" vertical="center"/>
    </xf>
    <xf numFmtId="1" fontId="3" fillId="19" borderId="24" xfId="42" applyNumberFormat="1" applyFont="1" applyFill="1" applyBorder="1" applyAlignment="1">
      <alignment horizontal="center" vertical="center"/>
    </xf>
    <xf numFmtId="169" fontId="8" fillId="19" borderId="24" xfId="3" applyNumberFormat="1" applyFont="1" applyFill="1" applyBorder="1" applyAlignment="1">
      <alignment horizontal="center" vertical="center"/>
    </xf>
    <xf numFmtId="0" fontId="55" fillId="19" borderId="0" xfId="0" applyFont="1" applyFill="1"/>
    <xf numFmtId="1" fontId="3" fillId="19" borderId="13" xfId="1" applyNumberFormat="1" applyFont="1" applyFill="1" applyBorder="1" applyAlignment="1">
      <alignment horizontal="center" vertical="center"/>
    </xf>
    <xf numFmtId="0" fontId="46" fillId="19" borderId="0" xfId="0" applyFont="1" applyFill="1" applyAlignment="1">
      <alignment horizontal="left"/>
    </xf>
    <xf numFmtId="3" fontId="9" fillId="19" borderId="24" xfId="0" applyNumberFormat="1" applyFont="1" applyFill="1" applyBorder="1" applyAlignment="1">
      <alignment horizontal="center" vertical="center" wrapText="1"/>
    </xf>
    <xf numFmtId="9" fontId="52" fillId="19" borderId="1" xfId="3" applyFont="1" applyFill="1" applyBorder="1" applyAlignment="1">
      <alignment horizontal="center" vertical="center"/>
    </xf>
    <xf numFmtId="1" fontId="52" fillId="19" borderId="1" xfId="0" applyNumberFormat="1" applyFont="1" applyFill="1" applyBorder="1" applyAlignment="1">
      <alignment horizontal="center" vertical="center"/>
    </xf>
    <xf numFmtId="2" fontId="52" fillId="0" borderId="8" xfId="0" applyNumberFormat="1" applyFont="1" applyFill="1" applyBorder="1" applyAlignment="1">
      <alignment horizontal="left" vertical="center"/>
    </xf>
    <xf numFmtId="10" fontId="46" fillId="19" borderId="8" xfId="0" applyNumberFormat="1" applyFont="1" applyFill="1" applyBorder="1" applyAlignment="1">
      <alignment horizontal="center"/>
    </xf>
    <xf numFmtId="167" fontId="46" fillId="19" borderId="0" xfId="42" applyNumberFormat="1" applyFont="1" applyFill="1" applyAlignment="1">
      <alignment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3" fontId="3" fillId="0" borderId="25" xfId="42" applyNumberFormat="1" applyFont="1" applyBorder="1" applyAlignment="1">
      <alignment horizontal="left" vertical="center" wrapText="1"/>
    </xf>
    <xf numFmtId="0" fontId="10" fillId="15" borderId="8" xfId="4" applyFont="1" applyFill="1" applyBorder="1" applyAlignment="1">
      <alignment horizontal="center" vertical="center"/>
    </xf>
    <xf numFmtId="1" fontId="39" fillId="0" borderId="0" xfId="3" applyNumberFormat="1" applyFont="1" applyAlignment="1">
      <alignment horizontal="center"/>
    </xf>
    <xf numFmtId="1" fontId="6" fillId="0" borderId="0" xfId="42" applyNumberFormat="1" applyFont="1" applyBorder="1" applyAlignment="1">
      <alignment horizontal="center" vertical="center" wrapText="1"/>
    </xf>
    <xf numFmtId="0" fontId="10" fillId="15" borderId="10" xfId="42" applyFont="1" applyFill="1" applyBorder="1" applyAlignment="1">
      <alignment horizontal="center" vertical="center"/>
    </xf>
    <xf numFmtId="9" fontId="10" fillId="15" borderId="1" xfId="42" applyNumberFormat="1" applyFont="1" applyFill="1" applyBorder="1" applyAlignment="1">
      <alignment horizontal="center" vertical="center"/>
    </xf>
    <xf numFmtId="1" fontId="10" fillId="15" borderId="0" xfId="42" applyNumberFormat="1" applyFont="1" applyFill="1" applyBorder="1" applyAlignment="1">
      <alignment horizontal="center" vertical="center" wrapText="1"/>
    </xf>
    <xf numFmtId="0" fontId="50" fillId="0" borderId="0" xfId="0" applyFont="1" applyFill="1"/>
    <xf numFmtId="9" fontId="3" fillId="0" borderId="0" xfId="42" applyNumberFormat="1" applyFont="1" applyFill="1" applyBorder="1" applyAlignment="1">
      <alignment horizontal="center" vertical="center" wrapText="1"/>
    </xf>
    <xf numFmtId="9" fontId="3" fillId="0" borderId="0" xfId="42" applyNumberFormat="1" applyFont="1" applyFill="1" applyBorder="1" applyAlignment="1">
      <alignment horizontal="center" vertical="center"/>
    </xf>
    <xf numFmtId="0" fontId="56" fillId="0" borderId="0" xfId="0" applyFont="1" applyAlignment="1">
      <alignment vertical="center"/>
    </xf>
    <xf numFmtId="0" fontId="57" fillId="0" borderId="26" xfId="0" applyFont="1" applyBorder="1" applyAlignment="1">
      <alignment vertical="center"/>
    </xf>
    <xf numFmtId="0" fontId="57" fillId="0" borderId="27" xfId="0" applyFont="1" applyBorder="1" applyAlignment="1">
      <alignment horizontal="right" vertical="center"/>
    </xf>
    <xf numFmtId="0" fontId="57" fillId="0" borderId="28" xfId="0" applyFont="1" applyBorder="1" applyAlignment="1">
      <alignment vertical="center"/>
    </xf>
    <xf numFmtId="0" fontId="57" fillId="0" borderId="29" xfId="0" applyFont="1" applyBorder="1" applyAlignment="1">
      <alignment horizontal="right" vertical="center"/>
    </xf>
    <xf numFmtId="0" fontId="57" fillId="0" borderId="26" xfId="0" applyFont="1" applyBorder="1" applyAlignment="1">
      <alignment vertical="center" wrapText="1"/>
    </xf>
    <xf numFmtId="0" fontId="57" fillId="0" borderId="27" xfId="0" applyFont="1" applyBorder="1" applyAlignment="1">
      <alignment horizontal="right" vertical="center" wrapText="1"/>
    </xf>
    <xf numFmtId="0" fontId="57" fillId="0" borderId="28" xfId="0" applyFont="1" applyBorder="1" applyAlignment="1">
      <alignment vertical="center" wrapText="1"/>
    </xf>
    <xf numFmtId="0" fontId="57" fillId="0" borderId="29" xfId="0" applyFont="1" applyBorder="1" applyAlignment="1">
      <alignment horizontal="right" vertical="center" wrapText="1"/>
    </xf>
    <xf numFmtId="0" fontId="2" fillId="0" borderId="0" xfId="0" applyFont="1" applyFill="1" applyBorder="1" applyAlignment="1">
      <alignment horizontal="center" vertical="center"/>
    </xf>
    <xf numFmtId="0" fontId="42" fillId="15" borderId="8" xfId="0" applyFont="1" applyFill="1" applyBorder="1" applyAlignment="1">
      <alignment horizontal="center" vertical="center"/>
    </xf>
    <xf numFmtId="0" fontId="51" fillId="0" borderId="0" xfId="0" applyFont="1" applyFill="1" applyBorder="1" applyAlignment="1">
      <alignment horizontal="center" vertical="center" wrapText="1"/>
    </xf>
    <xf numFmtId="9" fontId="51" fillId="0" borderId="0" xfId="0" applyNumberFormat="1" applyFont="1" applyFill="1" applyBorder="1" applyAlignment="1">
      <alignment horizontal="center" vertical="center" wrapText="1"/>
    </xf>
    <xf numFmtId="3" fontId="51" fillId="0" borderId="24" xfId="0" applyNumberFormat="1" applyFont="1" applyFill="1" applyBorder="1" applyAlignment="1">
      <alignment horizontal="center" vertical="center" wrapText="1"/>
    </xf>
    <xf numFmtId="0" fontId="8" fillId="0" borderId="25" xfId="0" applyFont="1" applyFill="1" applyBorder="1" applyAlignment="1">
      <alignment horizontal="center" vertical="center"/>
    </xf>
    <xf numFmtId="1" fontId="8" fillId="0" borderId="0" xfId="0" applyNumberFormat="1" applyFont="1" applyFill="1" applyBorder="1" applyAlignment="1">
      <alignment horizontal="center" vertical="center"/>
    </xf>
    <xf numFmtId="0" fontId="3" fillId="18" borderId="25" xfId="0" applyFont="1" applyFill="1" applyBorder="1" applyAlignment="1">
      <alignment horizontal="center" vertical="center"/>
    </xf>
    <xf numFmtId="1" fontId="3" fillId="18" borderId="0" xfId="0" applyNumberFormat="1" applyFont="1" applyFill="1" applyBorder="1" applyAlignment="1">
      <alignment horizontal="center" vertical="center"/>
    </xf>
    <xf numFmtId="0" fontId="3" fillId="18" borderId="0" xfId="0" applyFont="1" applyFill="1" applyBorder="1" applyAlignment="1">
      <alignment horizontal="center" wrapText="1"/>
    </xf>
    <xf numFmtId="2" fontId="3" fillId="18" borderId="24" xfId="0" applyNumberFormat="1" applyFont="1" applyFill="1" applyBorder="1" applyAlignment="1">
      <alignment horizontal="center"/>
    </xf>
    <xf numFmtId="0" fontId="3" fillId="18" borderId="0" xfId="0" applyFont="1" applyFill="1" applyBorder="1" applyAlignment="1">
      <alignment horizontal="center" vertical="center"/>
    </xf>
    <xf numFmtId="2" fontId="3" fillId="18" borderId="0" xfId="0" applyNumberFormat="1" applyFont="1" applyFill="1" applyBorder="1" applyAlignment="1">
      <alignment horizontal="center"/>
    </xf>
    <xf numFmtId="0" fontId="3" fillId="18" borderId="25" xfId="0" applyFont="1" applyFill="1" applyBorder="1" applyAlignment="1">
      <alignment horizontal="center" vertical="top" wrapText="1"/>
    </xf>
    <xf numFmtId="0" fontId="3" fillId="18" borderId="0" xfId="0" applyFont="1" applyFill="1" applyBorder="1" applyAlignment="1">
      <alignment horizontal="center" vertical="top" wrapText="1"/>
    </xf>
    <xf numFmtId="169" fontId="3" fillId="18" borderId="0" xfId="3" applyNumberFormat="1" applyFont="1" applyFill="1" applyBorder="1" applyAlignment="1">
      <alignment horizontal="center" vertical="top" wrapText="1"/>
    </xf>
    <xf numFmtId="0" fontId="3" fillId="18" borderId="0" xfId="0" applyFont="1" applyFill="1" applyBorder="1" applyAlignment="1">
      <alignment horizontal="center" vertical="center" wrapText="1"/>
    </xf>
    <xf numFmtId="2" fontId="2" fillId="0" borderId="6" xfId="0" applyNumberFormat="1" applyFont="1" applyFill="1" applyBorder="1" applyAlignment="1">
      <alignment horizontal="center"/>
    </xf>
    <xf numFmtId="0" fontId="3" fillId="18" borderId="7" xfId="0" applyFont="1" applyFill="1" applyBorder="1" applyAlignment="1">
      <alignment horizontal="center" vertical="center" wrapText="1"/>
    </xf>
    <xf numFmtId="0" fontId="3" fillId="18" borderId="8" xfId="0" applyFont="1" applyFill="1" applyBorder="1" applyAlignment="1">
      <alignment horizontal="center" vertical="center"/>
    </xf>
    <xf numFmtId="0" fontId="3" fillId="18" borderId="8" xfId="0" applyFont="1" applyFill="1" applyBorder="1" applyAlignment="1">
      <alignment horizontal="center" vertical="center" wrapText="1"/>
    </xf>
    <xf numFmtId="2" fontId="3" fillId="18" borderId="9" xfId="0" applyNumberFormat="1" applyFont="1" applyFill="1" applyBorder="1" applyAlignment="1">
      <alignment horizontal="center" vertical="center"/>
    </xf>
    <xf numFmtId="0" fontId="3" fillId="18" borderId="25" xfId="0" applyFont="1" applyFill="1" applyBorder="1" applyAlignment="1">
      <alignment horizontal="center" vertical="center" wrapText="1"/>
    </xf>
    <xf numFmtId="2" fontId="3" fillId="18" borderId="24" xfId="0" applyNumberFormat="1" applyFont="1" applyFill="1" applyBorder="1" applyAlignment="1">
      <alignment horizontal="center" vertical="center"/>
    </xf>
    <xf numFmtId="3" fontId="52" fillId="19" borderId="1" xfId="0" applyNumberFormat="1" applyFont="1" applyFill="1" applyBorder="1" applyAlignment="1">
      <alignment horizontal="center" vertical="center"/>
    </xf>
    <xf numFmtId="0" fontId="52" fillId="0" borderId="8" xfId="0" applyFont="1" applyFill="1" applyBorder="1" applyAlignment="1">
      <alignment horizontal="center" vertical="center"/>
    </xf>
    <xf numFmtId="3" fontId="52" fillId="0" borderId="8" xfId="0" applyNumberFormat="1" applyFont="1" applyFill="1" applyBorder="1" applyAlignment="1">
      <alignment horizontal="center" vertical="center"/>
    </xf>
    <xf numFmtId="0" fontId="10" fillId="15" borderId="4" xfId="44" applyFont="1" applyFill="1" applyBorder="1" applyAlignment="1">
      <alignment horizontal="center" vertical="center"/>
    </xf>
    <xf numFmtId="0" fontId="10" fillId="15" borderId="12" xfId="0" applyFont="1" applyFill="1" applyBorder="1" applyAlignment="1">
      <alignment horizontal="center" vertical="center"/>
    </xf>
    <xf numFmtId="0" fontId="6" fillId="0" borderId="7" xfId="42" applyFont="1" applyBorder="1" applyAlignment="1">
      <alignment horizontal="center" vertical="center"/>
    </xf>
    <xf numFmtId="9" fontId="3" fillId="0" borderId="8" xfId="42" applyNumberFormat="1" applyFont="1" applyBorder="1" applyAlignment="1">
      <alignment horizontal="center" vertical="center"/>
    </xf>
    <xf numFmtId="9" fontId="3" fillId="0" borderId="9" xfId="42" applyNumberFormat="1" applyFont="1" applyBorder="1" applyAlignment="1">
      <alignment horizontal="center" vertical="center"/>
    </xf>
    <xf numFmtId="2" fontId="3" fillId="0" borderId="0" xfId="42" applyNumberFormat="1" applyFont="1" applyFill="1" applyBorder="1" applyAlignment="1">
      <alignment horizontal="center" vertical="center"/>
    </xf>
    <xf numFmtId="2" fontId="3" fillId="0" borderId="24" xfId="42" applyNumberFormat="1" applyFont="1" applyFill="1" applyBorder="1" applyAlignment="1">
      <alignment horizontal="center" vertical="center"/>
    </xf>
    <xf numFmtId="1" fontId="9" fillId="0" borderId="0" xfId="0" applyNumberFormat="1" applyFont="1" applyFill="1" applyBorder="1" applyAlignment="1">
      <alignment horizontal="center" vertical="center"/>
    </xf>
    <xf numFmtId="0" fontId="59" fillId="13" borderId="0" xfId="0" applyFont="1" applyFill="1"/>
    <xf numFmtId="0" fontId="62" fillId="14" borderId="3" xfId="53" applyFont="1" applyFill="1" applyBorder="1" applyAlignment="1">
      <alignment horizontal="left"/>
    </xf>
    <xf numFmtId="0" fontId="62" fillId="14" borderId="6" xfId="53" applyFont="1" applyFill="1" applyBorder="1"/>
    <xf numFmtId="0" fontId="58" fillId="14" borderId="0" xfId="53" applyFont="1" applyFill="1"/>
    <xf numFmtId="0" fontId="62" fillId="14" borderId="0" xfId="53" applyFont="1" applyFill="1" applyAlignment="1">
      <alignment horizontal="left"/>
    </xf>
    <xf numFmtId="0" fontId="62" fillId="14" borderId="11" xfId="53" applyFont="1" applyFill="1" applyBorder="1"/>
    <xf numFmtId="0" fontId="58" fillId="14" borderId="4" xfId="53" applyFont="1" applyFill="1" applyBorder="1"/>
    <xf numFmtId="0" fontId="58" fillId="14" borderId="2" xfId="53" applyFont="1" applyFill="1" applyBorder="1" applyAlignment="1">
      <alignment horizontal="center"/>
    </xf>
    <xf numFmtId="0" fontId="58" fillId="14" borderId="2" xfId="53" applyFont="1" applyFill="1" applyBorder="1"/>
    <xf numFmtId="1" fontId="58" fillId="14" borderId="2" xfId="53" applyNumberFormat="1" applyFont="1" applyFill="1" applyBorder="1" applyAlignment="1">
      <alignment horizontal="center"/>
    </xf>
    <xf numFmtId="9" fontId="58" fillId="14" borderId="2" xfId="53" applyNumberFormat="1" applyFont="1" applyFill="1" applyBorder="1" applyAlignment="1">
      <alignment horizontal="center"/>
    </xf>
    <xf numFmtId="3" fontId="58" fillId="14" borderId="2" xfId="53" applyNumberFormat="1" applyFont="1" applyFill="1" applyBorder="1" applyAlignment="1">
      <alignment horizontal="center"/>
    </xf>
    <xf numFmtId="1" fontId="58" fillId="14" borderId="0" xfId="53" applyNumberFormat="1" applyFont="1" applyFill="1"/>
    <xf numFmtId="0" fontId="58" fillId="20" borderId="2" xfId="53" applyFont="1" applyFill="1" applyBorder="1"/>
    <xf numFmtId="0" fontId="58" fillId="20" borderId="2" xfId="53" quotePrefix="1" applyFont="1" applyFill="1" applyBorder="1" applyAlignment="1">
      <alignment horizontal="center"/>
    </xf>
    <xf numFmtId="0" fontId="58" fillId="20" borderId="2" xfId="53" applyFont="1" applyFill="1" applyBorder="1" applyAlignment="1">
      <alignment horizontal="center"/>
    </xf>
    <xf numFmtId="0" fontId="63" fillId="0" borderId="0" xfId="54" applyFont="1" applyAlignment="1">
      <alignment horizontal="left"/>
    </xf>
    <xf numFmtId="0" fontId="63" fillId="0" borderId="0" xfId="54" applyFont="1"/>
    <xf numFmtId="0" fontId="64" fillId="0" borderId="0" xfId="54" applyFont="1" applyAlignment="1">
      <alignment horizontal="left"/>
    </xf>
    <xf numFmtId="0" fontId="3" fillId="0" borderId="0" xfId="54"/>
    <xf numFmtId="0" fontId="64" fillId="0" borderId="0" xfId="54" applyFont="1" applyAlignment="1">
      <alignment horizontal="center" vertical="center" wrapText="1"/>
    </xf>
    <xf numFmtId="0" fontId="65" fillId="0" borderId="0" xfId="54" applyFont="1" applyAlignment="1">
      <alignment horizontal="left"/>
    </xf>
    <xf numFmtId="167" fontId="65" fillId="0" borderId="0" xfId="54" applyNumberFormat="1" applyFont="1" applyAlignment="1">
      <alignment horizontal="center"/>
    </xf>
    <xf numFmtId="10" fontId="0" fillId="0" borderId="0" xfId="0" applyNumberFormat="1" applyAlignment="1">
      <alignment horizontal="center"/>
    </xf>
    <xf numFmtId="167" fontId="0" fillId="0" borderId="0" xfId="0" applyNumberFormat="1" applyAlignment="1">
      <alignment horizontal="center"/>
    </xf>
    <xf numFmtId="10" fontId="0" fillId="0" borderId="0" xfId="3" applyNumberFormat="1" applyFont="1" applyAlignment="1">
      <alignment horizontal="center"/>
    </xf>
    <xf numFmtId="167" fontId="64" fillId="0" borderId="0" xfId="54" applyNumberFormat="1" applyFont="1" applyAlignment="1">
      <alignment horizontal="center"/>
    </xf>
    <xf numFmtId="0" fontId="64" fillId="21" borderId="2" xfId="54" applyFont="1" applyFill="1" applyBorder="1" applyAlignment="1">
      <alignment horizontal="left"/>
    </xf>
    <xf numFmtId="10" fontId="64" fillId="21" borderId="2" xfId="27" applyNumberFormat="1" applyFont="1" applyFill="1" applyBorder="1" applyAlignment="1">
      <alignment horizontal="left"/>
    </xf>
    <xf numFmtId="0" fontId="64" fillId="21" borderId="2" xfId="54" applyFont="1" applyFill="1" applyBorder="1" applyAlignment="1">
      <alignment horizontal="left" wrapText="1"/>
    </xf>
    <xf numFmtId="0" fontId="65" fillId="0" borderId="2" xfId="54" applyFont="1" applyBorder="1" applyAlignment="1">
      <alignment horizontal="left"/>
    </xf>
    <xf numFmtId="164" fontId="65" fillId="0" borderId="2" xfId="55" applyFont="1" applyBorder="1" applyAlignment="1"/>
    <xf numFmtId="164" fontId="0" fillId="0" borderId="0" xfId="0" applyNumberFormat="1"/>
    <xf numFmtId="0" fontId="60" fillId="0" borderId="2" xfId="0" applyFont="1" applyBorder="1"/>
    <xf numFmtId="43" fontId="60" fillId="0" borderId="2" xfId="0" applyNumberFormat="1" applyFont="1" applyBorder="1"/>
    <xf numFmtId="0" fontId="2" fillId="0" borderId="2" xfId="0" applyFont="1" applyFill="1" applyBorder="1"/>
    <xf numFmtId="0" fontId="2" fillId="0" borderId="2" xfId="0" applyFont="1" applyFill="1" applyBorder="1" applyAlignment="1">
      <alignment wrapText="1"/>
    </xf>
    <xf numFmtId="2" fontId="2" fillId="0" borderId="2" xfId="0" applyNumberFormat="1" applyFont="1" applyFill="1" applyBorder="1"/>
    <xf numFmtId="167" fontId="2" fillId="0" borderId="2" xfId="0" applyNumberFormat="1" applyFont="1" applyFill="1" applyBorder="1"/>
    <xf numFmtId="0" fontId="2" fillId="0" borderId="2" xfId="0" applyFont="1" applyFill="1" applyBorder="1" applyAlignment="1">
      <alignment horizontal="center" vertical="center"/>
    </xf>
    <xf numFmtId="0" fontId="2" fillId="0" borderId="0" xfId="0" applyFont="1" applyFill="1" applyBorder="1" applyAlignment="1">
      <alignment horizontal="center" vertical="center"/>
    </xf>
    <xf numFmtId="0" fontId="10" fillId="15" borderId="7" xfId="0" applyFont="1" applyFill="1" applyBorder="1" applyAlignment="1">
      <alignment horizontal="center" vertical="center" wrapText="1"/>
    </xf>
    <xf numFmtId="1" fontId="2" fillId="0" borderId="2" xfId="0" applyNumberFormat="1" applyFont="1" applyFill="1" applyBorder="1"/>
    <xf numFmtId="0" fontId="0" fillId="19" borderId="2" xfId="0" applyFill="1" applyBorder="1"/>
    <xf numFmtId="0" fontId="0" fillId="19" borderId="2" xfId="0" applyFill="1" applyBorder="1" applyAlignment="1">
      <alignment horizontal="right"/>
    </xf>
    <xf numFmtId="0" fontId="0" fillId="0" borderId="0" xfId="0" applyAlignment="1">
      <alignment horizontal="right"/>
    </xf>
    <xf numFmtId="0" fontId="67" fillId="20" borderId="2" xfId="56" quotePrefix="1" applyFont="1" applyFill="1" applyBorder="1" applyAlignment="1">
      <alignment horizontal="left" vertical="top"/>
    </xf>
    <xf numFmtId="0" fontId="67" fillId="20" borderId="2" xfId="56" quotePrefix="1" applyFont="1" applyFill="1" applyBorder="1" applyAlignment="1">
      <alignment horizontal="right" vertical="top"/>
    </xf>
    <xf numFmtId="0" fontId="68" fillId="14" borderId="2" xfId="56" applyFont="1" applyFill="1" applyBorder="1" applyAlignment="1">
      <alignment horizontal="left" vertical="top"/>
    </xf>
    <xf numFmtId="0" fontId="68" fillId="14" borderId="2" xfId="56" applyFont="1" applyFill="1" applyBorder="1" applyAlignment="1">
      <alignment horizontal="right" vertical="top"/>
    </xf>
    <xf numFmtId="1" fontId="68" fillId="22" borderId="2" xfId="56" applyNumberFormat="1" applyFont="1" applyFill="1" applyBorder="1" applyAlignment="1">
      <alignment horizontal="right" vertical="top"/>
    </xf>
    <xf numFmtId="0" fontId="67" fillId="23" borderId="2" xfId="57" quotePrefix="1" applyFont="1" applyFill="1" applyBorder="1" applyAlignment="1">
      <alignment horizontal="left" vertical="top"/>
    </xf>
    <xf numFmtId="0" fontId="67" fillId="23" borderId="2" xfId="57" quotePrefix="1" applyFont="1" applyFill="1" applyBorder="1" applyAlignment="1">
      <alignment horizontal="right" vertical="top"/>
    </xf>
    <xf numFmtId="0" fontId="68" fillId="14" borderId="2" xfId="57" applyFont="1" applyFill="1" applyBorder="1" applyAlignment="1">
      <alignment horizontal="left" vertical="top"/>
    </xf>
    <xf numFmtId="0" fontId="68" fillId="14" borderId="2" xfId="57" applyFont="1" applyFill="1" applyBorder="1" applyAlignment="1">
      <alignment horizontal="right" vertical="top"/>
    </xf>
    <xf numFmtId="1" fontId="68" fillId="22" borderId="2" xfId="57" applyNumberFormat="1" applyFont="1" applyFill="1" applyBorder="1" applyAlignment="1">
      <alignment horizontal="right" vertical="top"/>
    </xf>
    <xf numFmtId="0" fontId="68" fillId="14" borderId="6" xfId="57" applyFont="1" applyFill="1" applyBorder="1" applyAlignment="1">
      <alignment horizontal="right" vertical="top"/>
    </xf>
    <xf numFmtId="1" fontId="68" fillId="0" borderId="6" xfId="57" applyNumberFormat="1" applyFont="1" applyBorder="1" applyAlignment="1">
      <alignment horizontal="right" vertical="top"/>
    </xf>
    <xf numFmtId="0" fontId="67" fillId="20" borderId="2" xfId="58" applyFont="1" applyFill="1" applyBorder="1" applyAlignment="1">
      <alignment horizontal="left" vertical="top"/>
    </xf>
    <xf numFmtId="0" fontId="67" fillId="20" borderId="2" xfId="58" applyFont="1" applyFill="1" applyBorder="1" applyAlignment="1">
      <alignment horizontal="right" vertical="top"/>
    </xf>
    <xf numFmtId="0" fontId="68" fillId="0" borderId="2" xfId="58" applyFont="1" applyBorder="1" applyAlignment="1">
      <alignment horizontal="right" vertical="top"/>
    </xf>
    <xf numFmtId="0" fontId="68" fillId="0" borderId="4" xfId="58" applyFont="1" applyBorder="1" applyAlignment="1">
      <alignment horizontal="left" vertical="top"/>
    </xf>
    <xf numFmtId="0" fontId="68" fillId="0" borderId="4" xfId="58" applyFont="1" applyBorder="1" applyAlignment="1">
      <alignment horizontal="right" vertical="top"/>
    </xf>
    <xf numFmtId="0" fontId="0" fillId="0" borderId="2" xfId="0" applyBorder="1" applyAlignment="1">
      <alignment horizontal="right"/>
    </xf>
    <xf numFmtId="0" fontId="3" fillId="14" borderId="0" xfId="59" applyFont="1" applyFill="1" applyAlignment="1">
      <alignment horizontal="center" vertical="top"/>
    </xf>
    <xf numFmtId="0" fontId="3" fillId="14" borderId="0" xfId="59" applyFont="1" applyFill="1" applyAlignment="1">
      <alignment horizontal="left" vertical="top"/>
    </xf>
    <xf numFmtId="1" fontId="3" fillId="14" borderId="0" xfId="59" applyNumberFormat="1" applyFont="1" applyFill="1" applyAlignment="1">
      <alignment vertical="top"/>
    </xf>
    <xf numFmtId="0" fontId="70" fillId="14" borderId="0" xfId="59" applyFont="1" applyFill="1" applyAlignment="1">
      <alignment vertical="top"/>
    </xf>
    <xf numFmtId="1" fontId="70" fillId="14" borderId="0" xfId="59" applyNumberFormat="1" applyFont="1" applyFill="1" applyAlignment="1">
      <alignment vertical="top"/>
    </xf>
    <xf numFmtId="0" fontId="6" fillId="0" borderId="7" xfId="59" applyFont="1" applyBorder="1" applyAlignment="1">
      <alignment horizontal="center" vertical="top"/>
    </xf>
    <xf numFmtId="0" fontId="6" fillId="0" borderId="8" xfId="59" applyFont="1" applyBorder="1" applyAlignment="1">
      <alignment horizontal="left" vertical="top"/>
    </xf>
    <xf numFmtId="0" fontId="6" fillId="0" borderId="8" xfId="59" applyFont="1" applyBorder="1" applyAlignment="1">
      <alignment horizontal="right" vertical="top"/>
    </xf>
    <xf numFmtId="0" fontId="6" fillId="0" borderId="10" xfId="59" applyFont="1" applyBorder="1" applyAlignment="1">
      <alignment horizontal="center" vertical="top"/>
    </xf>
    <xf numFmtId="0" fontId="6" fillId="0" borderId="1" xfId="59" applyFont="1" applyBorder="1" applyAlignment="1">
      <alignment horizontal="left" vertical="top"/>
    </xf>
    <xf numFmtId="0" fontId="6" fillId="0" borderId="1" xfId="59" applyFont="1" applyBorder="1" applyAlignment="1">
      <alignment horizontal="right" vertical="top"/>
    </xf>
    <xf numFmtId="9" fontId="6" fillId="0" borderId="1" xfId="59" applyNumberFormat="1" applyFont="1" applyBorder="1" applyAlignment="1">
      <alignment vertical="top"/>
    </xf>
    <xf numFmtId="167" fontId="6" fillId="0" borderId="25" xfId="59" applyNumberFormat="1" applyFont="1" applyBorder="1" applyAlignment="1">
      <alignment horizontal="center" vertical="top"/>
    </xf>
    <xf numFmtId="0" fontId="6" fillId="0" borderId="0" xfId="59" applyFont="1" applyAlignment="1">
      <alignment horizontal="left" vertical="top"/>
    </xf>
    <xf numFmtId="0" fontId="6" fillId="0" borderId="0" xfId="59" applyFont="1" applyAlignment="1">
      <alignment horizontal="right" vertical="top"/>
    </xf>
    <xf numFmtId="0" fontId="71" fillId="0" borderId="0" xfId="59" applyFont="1" applyAlignment="1">
      <alignment vertical="top"/>
    </xf>
    <xf numFmtId="167" fontId="3" fillId="0" borderId="25" xfId="59" applyNumberFormat="1" applyFont="1" applyBorder="1" applyAlignment="1">
      <alignment horizontal="center" vertical="top"/>
    </xf>
    <xf numFmtId="0" fontId="3" fillId="0" borderId="0" xfId="59" applyFont="1" applyAlignment="1">
      <alignment horizontal="left" vertical="top"/>
    </xf>
    <xf numFmtId="0" fontId="3" fillId="0" borderId="0" xfId="59" applyFont="1" applyAlignment="1">
      <alignment horizontal="right" vertical="top"/>
    </xf>
    <xf numFmtId="0" fontId="61" fillId="0" borderId="0" xfId="59"/>
    <xf numFmtId="3" fontId="70" fillId="0" borderId="0" xfId="59" applyNumberFormat="1" applyFont="1" applyAlignment="1">
      <alignment vertical="top"/>
    </xf>
    <xf numFmtId="0" fontId="3" fillId="0" borderId="0" xfId="59" quotePrefix="1" applyFont="1" applyAlignment="1">
      <alignment horizontal="left" vertical="top"/>
    </xf>
    <xf numFmtId="0" fontId="3" fillId="0" borderId="0" xfId="59" quotePrefix="1" applyFont="1" applyAlignment="1">
      <alignment horizontal="right" vertical="top"/>
    </xf>
    <xf numFmtId="1" fontId="3" fillId="0" borderId="0" xfId="59" applyNumberFormat="1" applyFont="1" applyAlignment="1">
      <alignment horizontal="right" vertical="top"/>
    </xf>
    <xf numFmtId="3" fontId="3" fillId="0" borderId="0" xfId="59" applyNumberFormat="1" applyFont="1" applyAlignment="1">
      <alignment horizontal="right" vertical="top"/>
    </xf>
    <xf numFmtId="0" fontId="3" fillId="24" borderId="0" xfId="59" applyFont="1" applyFill="1" applyAlignment="1">
      <alignment horizontal="left" vertical="top"/>
    </xf>
    <xf numFmtId="1" fontId="3" fillId="24" borderId="0" xfId="59" applyNumberFormat="1" applyFont="1" applyFill="1" applyAlignment="1">
      <alignment horizontal="right" vertical="top"/>
    </xf>
    <xf numFmtId="3" fontId="70" fillId="24" borderId="0" xfId="59" applyNumberFormat="1" applyFont="1" applyFill="1" applyAlignment="1">
      <alignment horizontal="right" vertical="top"/>
    </xf>
    <xf numFmtId="3" fontId="70" fillId="24" borderId="0" xfId="59" applyNumberFormat="1" applyFont="1" applyFill="1" applyAlignment="1">
      <alignment vertical="top"/>
    </xf>
    <xf numFmtId="0" fontId="6" fillId="25" borderId="0" xfId="59" quotePrefix="1" applyFont="1" applyFill="1" applyAlignment="1">
      <alignment horizontal="left" vertical="top"/>
    </xf>
    <xf numFmtId="0" fontId="6" fillId="0" borderId="0" xfId="59" quotePrefix="1" applyFont="1" applyAlignment="1">
      <alignment horizontal="right" vertical="top"/>
    </xf>
    <xf numFmtId="3" fontId="70" fillId="0" borderId="13" xfId="59" applyNumberFormat="1" applyFont="1" applyBorder="1" applyAlignment="1">
      <alignment vertical="top"/>
    </xf>
    <xf numFmtId="167" fontId="6" fillId="20" borderId="25" xfId="59" applyNumberFormat="1" applyFont="1" applyFill="1" applyBorder="1" applyAlignment="1">
      <alignment horizontal="center" vertical="top"/>
    </xf>
    <xf numFmtId="0" fontId="6" fillId="20" borderId="0" xfId="59" applyFont="1" applyFill="1" applyAlignment="1">
      <alignment horizontal="left" vertical="top"/>
    </xf>
    <xf numFmtId="0" fontId="6" fillId="20" borderId="0" xfId="59" applyFont="1" applyFill="1" applyAlignment="1">
      <alignment horizontal="right" vertical="top"/>
    </xf>
    <xf numFmtId="3" fontId="70" fillId="20" borderId="0" xfId="59" applyNumberFormat="1" applyFont="1" applyFill="1" applyAlignment="1">
      <alignment vertical="top"/>
    </xf>
    <xf numFmtId="3" fontId="70" fillId="0" borderId="1" xfId="59" applyNumberFormat="1" applyFont="1" applyBorder="1" applyAlignment="1">
      <alignment vertical="top"/>
    </xf>
    <xf numFmtId="0" fontId="3" fillId="0" borderId="10" xfId="59" applyFont="1" applyBorder="1" applyAlignment="1">
      <alignment horizontal="center" vertical="top"/>
    </xf>
    <xf numFmtId="0" fontId="6" fillId="14" borderId="0" xfId="59" applyFont="1" applyFill="1" applyAlignment="1">
      <alignment horizontal="left" vertical="top"/>
    </xf>
    <xf numFmtId="0" fontId="6" fillId="14" borderId="0" xfId="59" applyFont="1" applyFill="1" applyAlignment="1">
      <alignment horizontal="right" vertical="top"/>
    </xf>
    <xf numFmtId="0" fontId="3" fillId="14" borderId="0" xfId="59" applyFont="1" applyFill="1" applyAlignment="1">
      <alignment horizontal="right" vertical="top"/>
    </xf>
    <xf numFmtId="169" fontId="70" fillId="14" borderId="0" xfId="59" applyNumberFormat="1" applyFont="1" applyFill="1" applyAlignment="1">
      <alignment vertical="top"/>
    </xf>
    <xf numFmtId="0" fontId="3" fillId="24" borderId="2" xfId="59" applyFont="1" applyFill="1" applyBorder="1" applyAlignment="1">
      <alignment horizontal="left" vertical="top"/>
    </xf>
    <xf numFmtId="0" fontId="3" fillId="24" borderId="2" xfId="59" applyFont="1" applyFill="1" applyBorder="1" applyAlignment="1">
      <alignment horizontal="right" vertical="top"/>
    </xf>
    <xf numFmtId="1" fontId="70" fillId="14" borderId="2" xfId="59" applyNumberFormat="1" applyFont="1" applyFill="1" applyBorder="1" applyAlignment="1">
      <alignment vertical="top"/>
    </xf>
    <xf numFmtId="3" fontId="0" fillId="0" borderId="0" xfId="0" applyNumberFormat="1"/>
    <xf numFmtId="2" fontId="2" fillId="0" borderId="0" xfId="0" applyNumberFormat="1" applyFont="1" applyFill="1" applyBorder="1" applyAlignment="1">
      <alignment horizontal="center" vertical="center"/>
    </xf>
    <xf numFmtId="2" fontId="2" fillId="0" borderId="0" xfId="0" applyNumberFormat="1" applyFont="1" applyBorder="1" applyAlignment="1">
      <alignment horizontal="center" vertical="top"/>
    </xf>
    <xf numFmtId="2" fontId="3" fillId="18" borderId="0" xfId="0" applyNumberFormat="1" applyFont="1" applyFill="1" applyBorder="1" applyAlignment="1">
      <alignment horizontal="center" vertical="top"/>
    </xf>
    <xf numFmtId="2" fontId="3" fillId="14" borderId="0" xfId="0" applyNumberFormat="1" applyFont="1" applyFill="1" applyBorder="1" applyAlignment="1">
      <alignment horizontal="center"/>
    </xf>
    <xf numFmtId="2" fontId="3" fillId="14" borderId="25" xfId="0" applyNumberFormat="1" applyFont="1" applyFill="1" applyBorder="1" applyAlignment="1">
      <alignment horizontal="center"/>
    </xf>
    <xf numFmtId="2" fontId="3" fillId="14" borderId="24" xfId="0" applyNumberFormat="1" applyFont="1" applyFill="1" applyBorder="1" applyAlignment="1">
      <alignment horizontal="center"/>
    </xf>
    <xf numFmtId="0" fontId="10" fillId="15" borderId="7" xfId="0" applyFont="1" applyFill="1" applyBorder="1" applyAlignment="1">
      <alignment horizontal="center" wrapText="1"/>
    </xf>
    <xf numFmtId="0" fontId="10" fillId="15" borderId="8" xfId="0" applyFont="1" applyFill="1" applyBorder="1" applyAlignment="1">
      <alignment horizontal="center" wrapText="1"/>
    </xf>
    <xf numFmtId="0" fontId="52" fillId="15" borderId="8" xfId="0" applyFont="1" applyFill="1" applyBorder="1" applyAlignment="1">
      <alignment horizontal="center" wrapText="1"/>
    </xf>
    <xf numFmtId="0" fontId="10" fillId="15" borderId="9" xfId="0" applyFont="1" applyFill="1" applyBorder="1" applyAlignment="1">
      <alignment horizontal="center" wrapText="1"/>
    </xf>
    <xf numFmtId="0" fontId="3" fillId="18" borderId="25" xfId="0" applyFont="1" applyFill="1" applyBorder="1" applyAlignment="1">
      <alignment horizontal="center" wrapText="1"/>
    </xf>
    <xf numFmtId="0" fontId="3" fillId="18" borderId="10" xfId="0" applyFont="1" applyFill="1" applyBorder="1" applyAlignment="1">
      <alignment horizontal="center" vertical="top" wrapText="1"/>
    </xf>
    <xf numFmtId="0" fontId="3" fillId="18" borderId="1" xfId="0" applyFont="1" applyFill="1" applyBorder="1" applyAlignment="1">
      <alignment horizontal="center" vertical="top" wrapText="1"/>
    </xf>
    <xf numFmtId="169" fontId="3" fillId="18" borderId="1" xfId="3" applyNumberFormat="1" applyFont="1" applyFill="1" applyBorder="1" applyAlignment="1">
      <alignment horizontal="center" vertical="top" wrapText="1"/>
    </xf>
    <xf numFmtId="2" fontId="3" fillId="18" borderId="0" xfId="0" applyNumberFormat="1" applyFont="1" applyFill="1" applyBorder="1" applyAlignment="1">
      <alignment horizontal="center" vertical="top" wrapText="1"/>
    </xf>
    <xf numFmtId="2" fontId="3" fillId="18" borderId="7" xfId="0" applyNumberFormat="1" applyFont="1" applyFill="1" applyBorder="1" applyAlignment="1">
      <alignment horizontal="center" wrapText="1"/>
    </xf>
    <xf numFmtId="2" fontId="3" fillId="18" borderId="8" xfId="0" applyNumberFormat="1" applyFont="1" applyFill="1" applyBorder="1" applyAlignment="1">
      <alignment horizontal="center" wrapText="1"/>
    </xf>
    <xf numFmtId="2" fontId="3" fillId="18" borderId="9" xfId="0" applyNumberFormat="1" applyFont="1" applyFill="1" applyBorder="1" applyAlignment="1">
      <alignment horizontal="center" wrapText="1"/>
    </xf>
    <xf numFmtId="2" fontId="3" fillId="18" borderId="25" xfId="0" applyNumberFormat="1" applyFont="1" applyFill="1" applyBorder="1" applyAlignment="1">
      <alignment horizontal="center" vertical="top" wrapText="1"/>
    </xf>
    <xf numFmtId="2" fontId="3" fillId="18" borderId="24" xfId="0" applyNumberFormat="1" applyFont="1" applyFill="1" applyBorder="1" applyAlignment="1">
      <alignment horizontal="center" vertical="top" wrapText="1"/>
    </xf>
    <xf numFmtId="2" fontId="3" fillId="18" borderId="10" xfId="0" applyNumberFormat="1" applyFont="1" applyFill="1" applyBorder="1" applyAlignment="1">
      <alignment horizontal="center" vertical="top" wrapText="1"/>
    </xf>
    <xf numFmtId="2" fontId="3" fillId="18" borderId="1" xfId="0" applyNumberFormat="1" applyFont="1" applyFill="1" applyBorder="1" applyAlignment="1">
      <alignment horizontal="center" vertical="top" wrapText="1"/>
    </xf>
    <xf numFmtId="2" fontId="3" fillId="18" borderId="11" xfId="0" applyNumberFormat="1" applyFont="1" applyFill="1" applyBorder="1" applyAlignment="1">
      <alignment horizontal="center" vertical="top" wrapText="1"/>
    </xf>
    <xf numFmtId="2" fontId="3" fillId="14" borderId="25" xfId="0" applyNumberFormat="1" applyFont="1" applyFill="1" applyBorder="1" applyAlignment="1">
      <alignment horizontal="center" vertical="center"/>
    </xf>
    <xf numFmtId="2" fontId="3" fillId="14" borderId="0" xfId="0" applyNumberFormat="1" applyFont="1" applyFill="1" applyBorder="1" applyAlignment="1">
      <alignment horizontal="center" vertical="center"/>
    </xf>
    <xf numFmtId="2" fontId="3" fillId="14" borderId="24" xfId="0" applyNumberFormat="1" applyFont="1" applyFill="1" applyBorder="1" applyAlignment="1">
      <alignment horizontal="center" vertical="center"/>
    </xf>
    <xf numFmtId="2" fontId="3" fillId="18" borderId="1" xfId="0" applyNumberFormat="1" applyFont="1" applyFill="1" applyBorder="1" applyAlignment="1">
      <alignment horizontal="center" vertical="top"/>
    </xf>
    <xf numFmtId="169" fontId="46" fillId="0" borderId="0" xfId="3" applyNumberFormat="1" applyFont="1" applyFill="1" applyBorder="1" applyAlignment="1">
      <alignment horizontal="center" vertical="center" wrapText="1"/>
    </xf>
    <xf numFmtId="0" fontId="3" fillId="0" borderId="0" xfId="0" applyFont="1" applyFill="1" applyBorder="1" applyAlignment="1">
      <alignment horizontal="center" wrapText="1"/>
    </xf>
    <xf numFmtId="0" fontId="3" fillId="0" borderId="0" xfId="0" applyFont="1" applyFill="1" applyBorder="1" applyAlignment="1">
      <alignment horizontal="center" vertical="top" wrapText="1"/>
    </xf>
    <xf numFmtId="0" fontId="6" fillId="0" borderId="2" xfId="60" applyFont="1" applyBorder="1" applyAlignment="1">
      <alignment horizontal="center" vertical="center"/>
    </xf>
    <xf numFmtId="1" fontId="0" fillId="0" borderId="0" xfId="0" applyNumberFormat="1" applyAlignment="1">
      <alignment horizontal="center"/>
    </xf>
    <xf numFmtId="1" fontId="0" fillId="0" borderId="2" xfId="0" applyNumberFormat="1" applyBorder="1" applyAlignment="1">
      <alignment horizontal="center"/>
    </xf>
    <xf numFmtId="0" fontId="0" fillId="0" borderId="2" xfId="0"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xf>
    <xf numFmtId="3" fontId="9" fillId="0" borderId="0" xfId="0" applyNumberFormat="1" applyFont="1" applyBorder="1" applyAlignment="1">
      <alignment horizontal="center"/>
    </xf>
    <xf numFmtId="0" fontId="60" fillId="25" borderId="2" xfId="0" applyFont="1" applyFill="1" applyBorder="1" applyAlignment="1">
      <alignment horizontal="center"/>
    </xf>
    <xf numFmtId="1" fontId="0" fillId="19" borderId="2" xfId="0" applyNumberFormat="1" applyFill="1" applyBorder="1" applyAlignment="1">
      <alignment horizontal="center"/>
    </xf>
    <xf numFmtId="0" fontId="60" fillId="28" borderId="2" xfId="0" applyFont="1" applyFill="1" applyBorder="1" applyAlignment="1">
      <alignment horizontal="right"/>
    </xf>
    <xf numFmtId="1" fontId="60" fillId="28" borderId="2" xfId="0" applyNumberFormat="1" applyFont="1" applyFill="1" applyBorder="1" applyAlignment="1">
      <alignment horizontal="center"/>
    </xf>
    <xf numFmtId="0" fontId="0" fillId="0" borderId="0" xfId="0" applyAlignment="1">
      <alignment horizontal="left"/>
    </xf>
    <xf numFmtId="9" fontId="0" fillId="0" borderId="2" xfId="0" applyNumberFormat="1" applyBorder="1" applyAlignment="1">
      <alignment horizontal="center"/>
    </xf>
    <xf numFmtId="0" fontId="74" fillId="14" borderId="0" xfId="66" applyFont="1" applyFill="1" applyAlignment="1">
      <alignment vertical="top"/>
    </xf>
    <xf numFmtId="3" fontId="75" fillId="19" borderId="2" xfId="66" applyNumberFormat="1" applyFont="1" applyFill="1" applyBorder="1" applyAlignment="1">
      <alignment vertical="top"/>
    </xf>
    <xf numFmtId="0" fontId="39" fillId="0" borderId="0" xfId="0" applyFont="1" applyFill="1" applyBorder="1" applyAlignment="1">
      <alignment horizontal="center"/>
    </xf>
    <xf numFmtId="0" fontId="39" fillId="0" borderId="0" xfId="0" applyFont="1" applyFill="1" applyBorder="1"/>
    <xf numFmtId="0" fontId="39" fillId="13" borderId="0" xfId="0" applyFont="1" applyFill="1" applyBorder="1"/>
    <xf numFmtId="0" fontId="74" fillId="14" borderId="2" xfId="68" applyFont="1" applyFill="1" applyBorder="1" applyAlignment="1">
      <alignment horizontal="center" vertical="top"/>
    </xf>
    <xf numFmtId="169" fontId="74" fillId="14" borderId="2" xfId="68" applyNumberFormat="1" applyFont="1" applyFill="1" applyBorder="1" applyAlignment="1">
      <alignment horizontal="center" vertical="top"/>
    </xf>
    <xf numFmtId="10" fontId="76" fillId="14" borderId="2" xfId="69" applyNumberFormat="1" applyFont="1" applyFill="1" applyBorder="1" applyAlignment="1" applyProtection="1">
      <alignment horizontal="center" vertical="top"/>
    </xf>
    <xf numFmtId="0" fontId="39" fillId="0" borderId="2" xfId="0" applyFont="1" applyBorder="1"/>
    <xf numFmtId="9" fontId="39" fillId="0" borderId="2" xfId="0" applyNumberFormat="1" applyFont="1" applyBorder="1" applyAlignment="1">
      <alignment horizontal="center"/>
    </xf>
    <xf numFmtId="0" fontId="76" fillId="0" borderId="2" xfId="60" applyFont="1" applyBorder="1" applyAlignment="1">
      <alignment horizontal="center" vertical="center"/>
    </xf>
    <xf numFmtId="0" fontId="39" fillId="26" borderId="2" xfId="0" applyFont="1" applyFill="1" applyBorder="1"/>
    <xf numFmtId="1" fontId="39" fillId="26" borderId="2" xfId="0" applyNumberFormat="1" applyFont="1" applyFill="1" applyBorder="1" applyAlignment="1">
      <alignment horizontal="center"/>
    </xf>
    <xf numFmtId="0" fontId="39" fillId="0" borderId="0" xfId="0" applyFont="1"/>
    <xf numFmtId="0" fontId="76" fillId="0" borderId="0" xfId="60" applyFont="1" applyAlignment="1">
      <alignment horizontal="center" vertical="center"/>
    </xf>
    <xf numFmtId="0" fontId="74" fillId="0" borderId="0" xfId="61" quotePrefix="1" applyFont="1" applyAlignment="1">
      <alignment horizontal="left" vertical="top"/>
    </xf>
    <xf numFmtId="1" fontId="39" fillId="0" borderId="0" xfId="0" applyNumberFormat="1" applyFont="1" applyAlignment="1">
      <alignment horizontal="center"/>
    </xf>
    <xf numFmtId="1" fontId="39" fillId="0" borderId="2" xfId="0" applyNumberFormat="1" applyFont="1" applyBorder="1" applyAlignment="1">
      <alignment horizontal="center"/>
    </xf>
    <xf numFmtId="0" fontId="76" fillId="27" borderId="2" xfId="60" applyFont="1" applyFill="1" applyBorder="1" applyAlignment="1">
      <alignment horizontal="center" vertical="center"/>
    </xf>
    <xf numFmtId="0" fontId="39" fillId="27" borderId="2" xfId="0" applyFont="1" applyFill="1" applyBorder="1"/>
    <xf numFmtId="1" fontId="39" fillId="27" borderId="2" xfId="0" applyNumberFormat="1" applyFont="1" applyFill="1" applyBorder="1" applyAlignment="1">
      <alignment horizontal="center"/>
    </xf>
    <xf numFmtId="3" fontId="39" fillId="0" borderId="2" xfId="0" applyNumberFormat="1" applyFont="1" applyBorder="1" applyAlignment="1">
      <alignment horizontal="center"/>
    </xf>
    <xf numFmtId="0" fontId="39" fillId="27" borderId="0" xfId="0" applyFont="1" applyFill="1"/>
    <xf numFmtId="0" fontId="39" fillId="27" borderId="12" xfId="0" applyFont="1" applyFill="1" applyBorder="1"/>
    <xf numFmtId="9" fontId="39" fillId="0" borderId="0" xfId="3" applyFont="1" applyBorder="1" applyAlignment="1">
      <alignment horizontal="center"/>
    </xf>
    <xf numFmtId="1" fontId="39" fillId="0" borderId="0" xfId="0" applyNumberFormat="1" applyFont="1"/>
    <xf numFmtId="9" fontId="39" fillId="0" borderId="0" xfId="3" applyFont="1"/>
    <xf numFmtId="0" fontId="39" fillId="0" borderId="13" xfId="0" applyFont="1" applyBorder="1"/>
    <xf numFmtId="0" fontId="76" fillId="0" borderId="3" xfId="63" applyFont="1" applyBorder="1" applyAlignment="1">
      <alignment horizontal="center" vertical="top"/>
    </xf>
    <xf numFmtId="0" fontId="76" fillId="0" borderId="13" xfId="63" applyFont="1" applyBorder="1" applyAlignment="1">
      <alignment horizontal="left" vertical="top"/>
    </xf>
    <xf numFmtId="0" fontId="40" fillId="0" borderId="2" xfId="0" applyFont="1" applyBorder="1" applyAlignment="1">
      <alignment horizontal="center"/>
    </xf>
    <xf numFmtId="0" fontId="76" fillId="0" borderId="13" xfId="63" applyFont="1" applyBorder="1" applyAlignment="1">
      <alignment horizontal="center" vertical="top"/>
    </xf>
    <xf numFmtId="0" fontId="76" fillId="0" borderId="0" xfId="64" applyFont="1" applyAlignment="1">
      <alignment horizontal="left" vertical="top"/>
    </xf>
    <xf numFmtId="0" fontId="74" fillId="0" borderId="0" xfId="64" applyFont="1" applyAlignment="1">
      <alignment vertical="top"/>
    </xf>
    <xf numFmtId="0" fontId="39" fillId="0" borderId="2" xfId="0" applyFont="1" applyBorder="1" applyAlignment="1">
      <alignment horizontal="center"/>
    </xf>
    <xf numFmtId="0" fontId="39" fillId="0" borderId="3" xfId="0" applyFont="1" applyBorder="1"/>
    <xf numFmtId="1" fontId="39" fillId="0" borderId="6" xfId="0" applyNumberFormat="1" applyFont="1" applyBorder="1" applyAlignment="1">
      <alignment horizontal="center"/>
    </xf>
    <xf numFmtId="167" fontId="74" fillId="20" borderId="2" xfId="65" applyNumberFormat="1" applyFont="1" applyFill="1" applyBorder="1" applyAlignment="1">
      <alignment horizontal="center" vertical="top"/>
    </xf>
    <xf numFmtId="0" fontId="74" fillId="20" borderId="3" xfId="65" applyFont="1" applyFill="1" applyBorder="1" applyAlignment="1">
      <alignment horizontal="left" vertical="top"/>
    </xf>
    <xf numFmtId="167" fontId="74" fillId="0" borderId="2" xfId="65" applyNumberFormat="1" applyFont="1" applyBorder="1" applyAlignment="1">
      <alignment horizontal="center" vertical="top"/>
    </xf>
    <xf numFmtId="0" fontId="74" fillId="0" borderId="3" xfId="65" applyFont="1" applyBorder="1" applyAlignment="1">
      <alignment horizontal="left" vertical="top"/>
    </xf>
    <xf numFmtId="3" fontId="75" fillId="19" borderId="2" xfId="0" applyNumberFormat="1" applyFont="1" applyFill="1" applyBorder="1" applyAlignment="1">
      <alignment horizontal="center"/>
    </xf>
    <xf numFmtId="1" fontId="39" fillId="19" borderId="6" xfId="0" applyNumberFormat="1" applyFont="1" applyFill="1" applyBorder="1" applyAlignment="1">
      <alignment horizontal="center"/>
    </xf>
    <xf numFmtId="0" fontId="74" fillId="0" borderId="2" xfId="65" quotePrefix="1" applyFont="1" applyBorder="1" applyAlignment="1">
      <alignment horizontal="left" vertical="top"/>
    </xf>
    <xf numFmtId="3" fontId="39" fillId="0" borderId="6" xfId="0" applyNumberFormat="1" applyFont="1" applyBorder="1" applyAlignment="1">
      <alignment horizontal="center"/>
    </xf>
    <xf numFmtId="0" fontId="74" fillId="0" borderId="3" xfId="65" quotePrefix="1" applyFont="1" applyBorder="1" applyAlignment="1">
      <alignment horizontal="left" vertical="top"/>
    </xf>
    <xf numFmtId="0" fontId="39" fillId="0" borderId="6" xfId="0" applyFont="1" applyBorder="1" applyAlignment="1">
      <alignment horizontal="center"/>
    </xf>
    <xf numFmtId="0" fontId="76" fillId="0" borderId="2" xfId="65" quotePrefix="1" applyFont="1" applyBorder="1" applyAlignment="1">
      <alignment horizontal="left" vertical="top"/>
    </xf>
    <xf numFmtId="0" fontId="76" fillId="26" borderId="3" xfId="65" quotePrefix="1" applyFont="1" applyFill="1" applyBorder="1" applyAlignment="1">
      <alignment horizontal="left" vertical="top"/>
    </xf>
    <xf numFmtId="167" fontId="76" fillId="0" borderId="2" xfId="65" applyNumberFormat="1" applyFont="1" applyBorder="1" applyAlignment="1">
      <alignment horizontal="center" vertical="top"/>
    </xf>
    <xf numFmtId="0" fontId="76" fillId="0" borderId="3" xfId="65" applyFont="1" applyBorder="1" applyAlignment="1">
      <alignment horizontal="left" vertical="top"/>
    </xf>
    <xf numFmtId="0" fontId="74" fillId="20" borderId="3" xfId="65" quotePrefix="1" applyFont="1" applyFill="1" applyBorder="1" applyAlignment="1">
      <alignment horizontal="left" vertical="top"/>
    </xf>
    <xf numFmtId="0" fontId="76" fillId="0" borderId="3" xfId="65" quotePrefix="1" applyFont="1" applyBorder="1" applyAlignment="1">
      <alignment horizontal="left" vertical="top"/>
    </xf>
    <xf numFmtId="0" fontId="39" fillId="0" borderId="6" xfId="0" applyFont="1" applyBorder="1"/>
    <xf numFmtId="0" fontId="76" fillId="26" borderId="3" xfId="65" applyFont="1" applyFill="1" applyBorder="1" applyAlignment="1">
      <alignment horizontal="left" vertical="top"/>
    </xf>
    <xf numFmtId="0" fontId="76" fillId="14" borderId="3" xfId="53" applyFont="1" applyFill="1" applyBorder="1" applyAlignment="1">
      <alignment horizontal="left"/>
    </xf>
    <xf numFmtId="0" fontId="76" fillId="14" borderId="6" xfId="53" applyFont="1" applyFill="1" applyBorder="1"/>
    <xf numFmtId="0" fontId="74" fillId="14" borderId="0" xfId="53" applyFont="1" applyFill="1"/>
    <xf numFmtId="0" fontId="76" fillId="14" borderId="0" xfId="53" applyFont="1" applyFill="1" applyAlignment="1">
      <alignment horizontal="left"/>
    </xf>
    <xf numFmtId="0" fontId="76" fillId="14" borderId="11" xfId="53" applyFont="1" applyFill="1" applyBorder="1"/>
    <xf numFmtId="0" fontId="74" fillId="14" borderId="4" xfId="53" applyFont="1" applyFill="1" applyBorder="1"/>
    <xf numFmtId="0" fontId="74" fillId="14" borderId="2" xfId="53" applyFont="1" applyFill="1" applyBorder="1" applyAlignment="1">
      <alignment horizontal="center"/>
    </xf>
    <xf numFmtId="0" fontId="74" fillId="14" borderId="2" xfId="53" applyFont="1" applyFill="1" applyBorder="1"/>
    <xf numFmtId="1" fontId="74" fillId="14" borderId="2" xfId="53" applyNumberFormat="1" applyFont="1" applyFill="1" applyBorder="1" applyAlignment="1">
      <alignment horizontal="center"/>
    </xf>
    <xf numFmtId="9" fontId="74" fillId="14" borderId="2" xfId="53" applyNumberFormat="1" applyFont="1" applyFill="1" applyBorder="1" applyAlignment="1">
      <alignment horizontal="center"/>
    </xf>
    <xf numFmtId="3" fontId="74" fillId="14" borderId="2" xfId="53" applyNumberFormat="1" applyFont="1" applyFill="1" applyBorder="1" applyAlignment="1">
      <alignment horizontal="center"/>
    </xf>
    <xf numFmtId="1" fontId="74" fillId="14" borderId="0" xfId="53" applyNumberFormat="1" applyFont="1" applyFill="1"/>
    <xf numFmtId="0" fontId="74" fillId="20" borderId="2" xfId="53" applyFont="1" applyFill="1" applyBorder="1"/>
    <xf numFmtId="0" fontId="74" fillId="20" borderId="2" xfId="53" quotePrefix="1" applyFont="1" applyFill="1" applyBorder="1" applyAlignment="1">
      <alignment horizontal="center"/>
    </xf>
    <xf numFmtId="0" fontId="74" fillId="20" borderId="2" xfId="53" applyFont="1" applyFill="1" applyBorder="1" applyAlignment="1">
      <alignment horizontal="center"/>
    </xf>
    <xf numFmtId="0" fontId="74" fillId="14" borderId="0" xfId="66" applyFont="1" applyFill="1" applyAlignment="1">
      <alignment horizontal="center" vertical="top"/>
    </xf>
    <xf numFmtId="0" fontId="74" fillId="14" borderId="0" xfId="66" applyFont="1" applyFill="1" applyAlignment="1">
      <alignment horizontal="left" vertical="top"/>
    </xf>
    <xf numFmtId="0" fontId="76" fillId="14" borderId="0" xfId="66" applyFont="1" applyFill="1" applyAlignment="1">
      <alignment horizontal="left" vertical="top"/>
    </xf>
    <xf numFmtId="0" fontId="76" fillId="0" borderId="7" xfId="66" applyFont="1" applyBorder="1" applyAlignment="1">
      <alignment horizontal="center" vertical="top"/>
    </xf>
    <xf numFmtId="0" fontId="76" fillId="0" borderId="8" xfId="66" applyFont="1" applyBorder="1" applyAlignment="1">
      <alignment horizontal="left" vertical="top"/>
    </xf>
    <xf numFmtId="0" fontId="76" fillId="0" borderId="8" xfId="66" applyFont="1" applyBorder="1" applyAlignment="1">
      <alignment horizontal="right" vertical="top"/>
    </xf>
    <xf numFmtId="0" fontId="76" fillId="0" borderId="9" xfId="66" applyFont="1" applyBorder="1" applyAlignment="1">
      <alignment horizontal="right" vertical="top"/>
    </xf>
    <xf numFmtId="0" fontId="76" fillId="0" borderId="10" xfId="66" applyFont="1" applyBorder="1" applyAlignment="1">
      <alignment horizontal="center" vertical="top"/>
    </xf>
    <xf numFmtId="0" fontId="76" fillId="0" borderId="1" xfId="66" applyFont="1" applyBorder="1" applyAlignment="1">
      <alignment horizontal="left" vertical="top"/>
    </xf>
    <xf numFmtId="0" fontId="76" fillId="0" borderId="1" xfId="66" applyFont="1" applyBorder="1" applyAlignment="1">
      <alignment vertical="top"/>
    </xf>
    <xf numFmtId="0" fontId="76" fillId="0" borderId="11" xfId="66" applyFont="1" applyBorder="1" applyAlignment="1">
      <alignment vertical="top"/>
    </xf>
    <xf numFmtId="167" fontId="74" fillId="0" borderId="25" xfId="66" applyNumberFormat="1" applyFont="1" applyBorder="1" applyAlignment="1">
      <alignment horizontal="center" vertical="top"/>
    </xf>
    <xf numFmtId="0" fontId="74" fillId="0" borderId="0" xfId="66" applyFont="1" applyAlignment="1">
      <alignment horizontal="left" vertical="top"/>
    </xf>
    <xf numFmtId="3" fontId="74" fillId="0" borderId="0" xfId="66" applyNumberFormat="1" applyFont="1" applyAlignment="1">
      <alignment vertical="top"/>
    </xf>
    <xf numFmtId="3" fontId="74" fillId="0" borderId="24" xfId="66" applyNumberFormat="1" applyFont="1" applyBorder="1" applyAlignment="1">
      <alignment vertical="top"/>
    </xf>
    <xf numFmtId="0" fontId="74" fillId="0" borderId="0" xfId="66" quotePrefix="1" applyFont="1" applyAlignment="1">
      <alignment horizontal="left" vertical="top"/>
    </xf>
    <xf numFmtId="3" fontId="74" fillId="0" borderId="0" xfId="66" applyNumberFormat="1" applyFont="1" applyAlignment="1">
      <alignment horizontal="right" vertical="top"/>
    </xf>
    <xf numFmtId="172" fontId="74" fillId="0" borderId="0" xfId="66" applyNumberFormat="1" applyFont="1" applyAlignment="1">
      <alignment vertical="top"/>
    </xf>
    <xf numFmtId="3" fontId="76" fillId="0" borderId="0" xfId="66" applyNumberFormat="1" applyFont="1" applyAlignment="1">
      <alignment vertical="top"/>
    </xf>
    <xf numFmtId="1" fontId="74" fillId="0" borderId="0" xfId="66" applyNumberFormat="1" applyFont="1" applyAlignment="1">
      <alignment vertical="top"/>
    </xf>
    <xf numFmtId="167" fontId="76" fillId="0" borderId="10" xfId="66" applyNumberFormat="1" applyFont="1" applyBorder="1" applyAlignment="1">
      <alignment horizontal="center" vertical="top"/>
    </xf>
    <xf numFmtId="3" fontId="76" fillId="0" borderId="1" xfId="66" applyNumberFormat="1" applyFont="1" applyBorder="1" applyAlignment="1">
      <alignment vertical="top"/>
    </xf>
    <xf numFmtId="0" fontId="74" fillId="0" borderId="0" xfId="66" applyFont="1"/>
    <xf numFmtId="0" fontId="74" fillId="0" borderId="0" xfId="66" applyFont="1" applyAlignment="1">
      <alignment horizontal="center" vertical="top"/>
    </xf>
    <xf numFmtId="0" fontId="74" fillId="19" borderId="2" xfId="66" applyFont="1" applyFill="1" applyBorder="1" applyAlignment="1">
      <alignment horizontal="left" vertical="top"/>
    </xf>
    <xf numFmtId="3" fontId="74" fillId="19" borderId="2" xfId="66" applyNumberFormat="1" applyFont="1" applyFill="1" applyBorder="1" applyAlignment="1">
      <alignment vertical="top"/>
    </xf>
    <xf numFmtId="3" fontId="39" fillId="0" borderId="0" xfId="0" applyNumberFormat="1" applyFont="1"/>
    <xf numFmtId="0" fontId="74" fillId="0" borderId="0" xfId="66" applyFont="1" applyAlignment="1">
      <alignment vertical="top"/>
    </xf>
    <xf numFmtId="0" fontId="74" fillId="14" borderId="0" xfId="67" applyFont="1" applyFill="1" applyAlignment="1">
      <alignment horizontal="center" vertical="top"/>
    </xf>
    <xf numFmtId="0" fontId="74" fillId="14" borderId="0" xfId="67" applyFont="1" applyFill="1" applyAlignment="1">
      <alignment horizontal="left" vertical="top"/>
    </xf>
    <xf numFmtId="0" fontId="74" fillId="14" borderId="0" xfId="67" applyFont="1" applyFill="1" applyAlignment="1">
      <alignment vertical="top"/>
    </xf>
    <xf numFmtId="0" fontId="74" fillId="14" borderId="0" xfId="67" applyFont="1" applyFill="1" applyAlignment="1">
      <alignment horizontal="right" vertical="top"/>
    </xf>
    <xf numFmtId="0" fontId="74" fillId="14" borderId="2" xfId="67" applyFont="1" applyFill="1" applyBorder="1" applyAlignment="1">
      <alignment horizontal="center" vertical="top"/>
    </xf>
    <xf numFmtId="0" fontId="74" fillId="14" borderId="2" xfId="67" applyFont="1" applyFill="1" applyBorder="1" applyAlignment="1">
      <alignment horizontal="left" vertical="top"/>
    </xf>
    <xf numFmtId="0" fontId="74" fillId="14" borderId="2" xfId="67" applyFont="1" applyFill="1" applyBorder="1" applyAlignment="1">
      <alignment horizontal="right" vertical="top"/>
    </xf>
    <xf numFmtId="0" fontId="74" fillId="14" borderId="2" xfId="67" applyFont="1" applyFill="1" applyBorder="1" applyAlignment="1">
      <alignment vertical="top"/>
    </xf>
    <xf numFmtId="0" fontId="74" fillId="14" borderId="0" xfId="67" quotePrefix="1" applyFont="1" applyFill="1" applyAlignment="1">
      <alignment horizontal="center" vertical="top"/>
    </xf>
    <xf numFmtId="0" fontId="74" fillId="14" borderId="0" xfId="67" quotePrefix="1" applyFont="1" applyFill="1" applyAlignment="1">
      <alignment horizontal="left" vertical="top"/>
    </xf>
    <xf numFmtId="0" fontId="74" fillId="14" borderId="0" xfId="67" quotePrefix="1" applyFont="1" applyFill="1" applyAlignment="1">
      <alignment horizontal="centerContinuous" vertical="top"/>
    </xf>
    <xf numFmtId="0" fontId="74" fillId="14" borderId="0" xfId="67" quotePrefix="1" applyFont="1" applyFill="1" applyAlignment="1">
      <alignment horizontal="right" vertical="top"/>
    </xf>
    <xf numFmtId="172" fontId="74" fillId="14" borderId="2" xfId="67" quotePrefix="1" applyNumberFormat="1" applyFont="1" applyFill="1" applyBorder="1" applyAlignment="1">
      <alignment vertical="top"/>
    </xf>
    <xf numFmtId="9" fontId="74" fillId="14" borderId="2" xfId="67" applyNumberFormat="1" applyFont="1" applyFill="1" applyBorder="1" applyAlignment="1">
      <alignment vertical="top"/>
    </xf>
    <xf numFmtId="43" fontId="74" fillId="14" borderId="2" xfId="43" applyFont="1" applyFill="1" applyBorder="1" applyAlignment="1" applyProtection="1">
      <alignment horizontal="center" vertical="top"/>
    </xf>
    <xf numFmtId="43" fontId="74" fillId="14" borderId="2" xfId="43" applyFont="1" applyFill="1" applyBorder="1" applyAlignment="1" applyProtection="1">
      <alignment horizontal="right" vertical="top"/>
    </xf>
    <xf numFmtId="9" fontId="74" fillId="14" borderId="2" xfId="67" applyNumberFormat="1" applyFont="1" applyFill="1" applyBorder="1" applyAlignment="1">
      <alignment vertical="center"/>
    </xf>
    <xf numFmtId="1" fontId="74" fillId="14" borderId="2" xfId="67" applyNumberFormat="1" applyFont="1" applyFill="1" applyBorder="1" applyAlignment="1">
      <alignment horizontal="center" vertical="top"/>
    </xf>
    <xf numFmtId="172" fontId="74" fillId="14" borderId="2" xfId="67" applyNumberFormat="1" applyFont="1" applyFill="1" applyBorder="1" applyAlignment="1">
      <alignment horizontal="left" vertical="center"/>
    </xf>
    <xf numFmtId="1" fontId="76" fillId="14" borderId="2" xfId="67" applyNumberFormat="1" applyFont="1" applyFill="1" applyBorder="1" applyAlignment="1">
      <alignment horizontal="right" vertical="top"/>
    </xf>
    <xf numFmtId="2" fontId="39" fillId="0" borderId="0" xfId="0" applyNumberFormat="1" applyFont="1" applyFill="1" applyBorder="1" applyAlignment="1">
      <alignment horizontal="center"/>
    </xf>
    <xf numFmtId="2" fontId="77" fillId="0" borderId="0" xfId="0" applyNumberFormat="1" applyFont="1" applyFill="1" applyBorder="1" applyAlignment="1">
      <alignment horizontal="center" vertical="center" wrapText="1"/>
    </xf>
    <xf numFmtId="0" fontId="39" fillId="0" borderId="2" xfId="0" applyFont="1" applyBorder="1" applyAlignment="1">
      <alignment horizontal="left"/>
    </xf>
    <xf numFmtId="169" fontId="40" fillId="19" borderId="2" xfId="0" applyNumberFormat="1" applyFont="1" applyFill="1" applyBorder="1" applyAlignment="1" applyProtection="1">
      <alignment horizontal="center"/>
      <protection locked="0"/>
    </xf>
    <xf numFmtId="0" fontId="75" fillId="0" borderId="0" xfId="0" applyFont="1" applyFill="1" applyBorder="1"/>
    <xf numFmtId="167" fontId="78" fillId="19" borderId="2" xfId="0" applyNumberFormat="1" applyFont="1" applyFill="1" applyBorder="1" applyAlignment="1" applyProtection="1">
      <alignment horizontal="center"/>
      <protection locked="0"/>
    </xf>
    <xf numFmtId="2" fontId="79" fillId="0" borderId="0" xfId="0" applyNumberFormat="1" applyFont="1" applyFill="1" applyBorder="1" applyAlignment="1">
      <alignment horizontal="center" vertical="center" wrapText="1"/>
    </xf>
    <xf numFmtId="0" fontId="39" fillId="0" borderId="8" xfId="0" applyFont="1" applyFill="1" applyBorder="1"/>
    <xf numFmtId="1" fontId="39" fillId="0" borderId="8" xfId="0" applyNumberFormat="1" applyFont="1" applyFill="1" applyBorder="1" applyAlignment="1">
      <alignment horizontal="center"/>
    </xf>
    <xf numFmtId="1" fontId="39" fillId="0" borderId="0" xfId="0" applyNumberFormat="1" applyFont="1" applyFill="1" applyBorder="1" applyAlignment="1">
      <alignment horizontal="center"/>
    </xf>
    <xf numFmtId="0" fontId="39" fillId="0" borderId="1" xfId="0" applyFont="1" applyFill="1" applyBorder="1"/>
    <xf numFmtId="1" fontId="39" fillId="0" borderId="1" xfId="0" applyNumberFormat="1" applyFont="1" applyFill="1" applyBorder="1" applyAlignment="1">
      <alignment horizontal="center"/>
    </xf>
    <xf numFmtId="0" fontId="39" fillId="13" borderId="0" xfId="0" applyFont="1" applyFill="1" applyBorder="1" applyAlignment="1">
      <alignment horizontal="center"/>
    </xf>
    <xf numFmtId="0" fontId="75" fillId="13" borderId="0" xfId="0" applyFont="1" applyFill="1" applyBorder="1"/>
    <xf numFmtId="2" fontId="39" fillId="13" borderId="0" xfId="0" applyNumberFormat="1" applyFont="1" applyFill="1" applyBorder="1" applyAlignment="1">
      <alignment horizontal="center"/>
    </xf>
    <xf numFmtId="2" fontId="79" fillId="13" borderId="0" xfId="0" applyNumberFormat="1" applyFont="1" applyFill="1" applyBorder="1" applyAlignment="1">
      <alignment horizontal="center" vertical="center"/>
    </xf>
    <xf numFmtId="2" fontId="77" fillId="13" borderId="0" xfId="0" applyNumberFormat="1" applyFont="1" applyFill="1" applyBorder="1" applyAlignment="1">
      <alignment horizontal="center" vertical="center"/>
    </xf>
    <xf numFmtId="3" fontId="2" fillId="29" borderId="2" xfId="0" applyNumberFormat="1" applyFont="1" applyFill="1" applyBorder="1" applyAlignment="1">
      <alignment horizontal="center"/>
    </xf>
    <xf numFmtId="0" fontId="2" fillId="0" borderId="2" xfId="0" applyFont="1" applyBorder="1" applyAlignment="1">
      <alignment horizontal="center"/>
    </xf>
    <xf numFmtId="1" fontId="2" fillId="0" borderId="2" xfId="0" applyNumberFormat="1" applyFont="1" applyBorder="1" applyAlignment="1">
      <alignment horizontal="center"/>
    </xf>
    <xf numFmtId="9" fontId="2" fillId="0" borderId="2" xfId="0" applyNumberFormat="1" applyFont="1" applyBorder="1" applyAlignment="1">
      <alignment horizontal="center"/>
    </xf>
    <xf numFmtId="3" fontId="3" fillId="14" borderId="2" xfId="70" applyNumberFormat="1" applyFont="1" applyFill="1" applyBorder="1" applyAlignment="1">
      <alignment horizontal="center"/>
    </xf>
    <xf numFmtId="4" fontId="9" fillId="0" borderId="0" xfId="0" applyNumberFormat="1" applyFont="1" applyBorder="1" applyAlignment="1">
      <alignment horizontal="center"/>
    </xf>
    <xf numFmtId="0" fontId="60" fillId="0" borderId="0" xfId="0" applyFont="1"/>
    <xf numFmtId="43" fontId="0" fillId="26" borderId="2" xfId="43" applyFont="1" applyFill="1" applyBorder="1"/>
    <xf numFmtId="0" fontId="0" fillId="26" borderId="2" xfId="0" applyFill="1" applyBorder="1"/>
    <xf numFmtId="0" fontId="4" fillId="30" borderId="2" xfId="0" applyFont="1" applyFill="1" applyBorder="1"/>
    <xf numFmtId="0" fontId="0" fillId="26" borderId="2" xfId="0" applyFill="1" applyBorder="1" applyAlignment="1">
      <alignment wrapText="1"/>
    </xf>
    <xf numFmtId="3" fontId="0" fillId="26" borderId="2" xfId="0" applyNumberFormat="1" applyFill="1" applyBorder="1"/>
    <xf numFmtId="1" fontId="0" fillId="26" borderId="2" xfId="0" applyNumberFormat="1" applyFill="1" applyBorder="1"/>
    <xf numFmtId="0" fontId="0" fillId="26" borderId="0" xfId="0" applyFill="1"/>
    <xf numFmtId="9" fontId="0" fillId="0" borderId="2" xfId="0" applyNumberFormat="1" applyBorder="1"/>
    <xf numFmtId="3" fontId="0" fillId="0" borderId="2" xfId="0" applyNumberFormat="1" applyBorder="1"/>
    <xf numFmtId="10" fontId="0" fillId="0" borderId="2" xfId="0" applyNumberFormat="1" applyBorder="1"/>
    <xf numFmtId="173" fontId="60" fillId="0" borderId="0" xfId="0" applyNumberFormat="1" applyFont="1"/>
    <xf numFmtId="0" fontId="6" fillId="14" borderId="0" xfId="71" applyFont="1" applyFill="1"/>
    <xf numFmtId="0" fontId="61" fillId="0" borderId="0" xfId="71"/>
    <xf numFmtId="10" fontId="3" fillId="20" borderId="2" xfId="71" applyNumberFormat="1" applyFont="1" applyFill="1" applyBorder="1" applyAlignment="1">
      <alignment horizontal="center"/>
    </xf>
    <xf numFmtId="0" fontId="3" fillId="20" borderId="2" xfId="71" applyFont="1" applyFill="1" applyBorder="1"/>
    <xf numFmtId="173" fontId="3" fillId="14" borderId="2" xfId="71" applyNumberFormat="1" applyFont="1" applyFill="1" applyBorder="1" applyAlignment="1">
      <alignment horizontal="center"/>
    </xf>
    <xf numFmtId="0" fontId="3" fillId="14" borderId="2" xfId="71" applyFont="1" applyFill="1" applyBorder="1"/>
    <xf numFmtId="0" fontId="3" fillId="14" borderId="2" xfId="71" applyFont="1" applyFill="1" applyBorder="1" applyAlignment="1">
      <alignment horizontal="center"/>
    </xf>
    <xf numFmtId="173" fontId="3" fillId="14" borderId="2" xfId="71" applyNumberFormat="1" applyFont="1" applyFill="1" applyBorder="1"/>
    <xf numFmtId="0" fontId="3" fillId="14" borderId="5" xfId="71" applyFont="1" applyFill="1" applyBorder="1" applyAlignment="1">
      <alignment horizontal="center"/>
    </xf>
    <xf numFmtId="0" fontId="3" fillId="0" borderId="2" xfId="71" applyFont="1" applyBorder="1"/>
    <xf numFmtId="0" fontId="6" fillId="20" borderId="5" xfId="71" applyFont="1" applyFill="1" applyBorder="1" applyAlignment="1">
      <alignment horizontal="center"/>
    </xf>
    <xf numFmtId="3" fontId="3" fillId="14" borderId="0" xfId="71" applyNumberFormat="1" applyFont="1" applyFill="1"/>
    <xf numFmtId="174" fontId="3" fillId="14" borderId="0" xfId="71" applyNumberFormat="1" applyFont="1" applyFill="1"/>
    <xf numFmtId="3" fontId="3" fillId="19" borderId="2" xfId="71" applyNumberFormat="1" applyFont="1" applyFill="1" applyBorder="1" applyAlignment="1">
      <alignment horizontal="center"/>
    </xf>
    <xf numFmtId="3" fontId="3" fillId="14" borderId="2" xfId="71" applyNumberFormat="1" applyFont="1" applyFill="1" applyBorder="1" applyAlignment="1">
      <alignment horizontal="center"/>
    </xf>
    <xf numFmtId="3" fontId="3" fillId="22" borderId="2" xfId="71" applyNumberFormat="1" applyFont="1" applyFill="1" applyBorder="1" applyAlignment="1">
      <alignment horizontal="center"/>
    </xf>
    <xf numFmtId="0" fontId="3" fillId="26" borderId="2" xfId="71" applyFont="1" applyFill="1" applyBorder="1"/>
    <xf numFmtId="3" fontId="3" fillId="14" borderId="2" xfId="71" applyNumberFormat="1" applyFont="1" applyFill="1" applyBorder="1"/>
    <xf numFmtId="3" fontId="0" fillId="0" borderId="2" xfId="0" applyNumberFormat="1" applyBorder="1" applyAlignment="1">
      <alignment horizontal="center"/>
    </xf>
    <xf numFmtId="0" fontId="3" fillId="14" borderId="12" xfId="71" applyFont="1" applyFill="1" applyBorder="1"/>
    <xf numFmtId="0" fontId="3" fillId="14" borderId="12" xfId="71" applyFont="1" applyFill="1" applyBorder="1" applyAlignment="1">
      <alignment horizontal="center"/>
    </xf>
    <xf numFmtId="10" fontId="0" fillId="0" borderId="0" xfId="0" applyNumberFormat="1"/>
    <xf numFmtId="10" fontId="3" fillId="19" borderId="2" xfId="71" applyNumberFormat="1" applyFont="1" applyFill="1" applyBorder="1" applyAlignment="1">
      <alignment horizontal="center"/>
    </xf>
    <xf numFmtId="4" fontId="3" fillId="14" borderId="2" xfId="71" applyNumberFormat="1" applyFont="1" applyFill="1" applyBorder="1" applyAlignment="1">
      <alignment horizontal="center"/>
    </xf>
    <xf numFmtId="4" fontId="3" fillId="19" borderId="2" xfId="71" applyNumberFormat="1" applyFont="1" applyFill="1" applyBorder="1" applyAlignment="1">
      <alignment horizontal="center"/>
    </xf>
    <xf numFmtId="0" fontId="10" fillId="15" borderId="3" xfId="0" applyFont="1" applyFill="1" applyBorder="1" applyAlignment="1">
      <alignment horizontal="center" vertical="center"/>
    </xf>
    <xf numFmtId="0" fontId="10" fillId="15" borderId="13" xfId="0" applyFont="1" applyFill="1" applyBorder="1" applyAlignment="1">
      <alignment horizontal="center" vertical="center"/>
    </xf>
    <xf numFmtId="0" fontId="2" fillId="0" borderId="0" xfId="0" applyFont="1" applyBorder="1"/>
    <xf numFmtId="9" fontId="2" fillId="0" borderId="0" xfId="0" applyNumberFormat="1" applyFont="1" applyBorder="1" applyAlignment="1">
      <alignment horizontal="center"/>
    </xf>
    <xf numFmtId="3" fontId="3" fillId="0" borderId="0" xfId="70" applyNumberFormat="1" applyFont="1" applyBorder="1" applyAlignment="1">
      <alignment horizontal="center" vertical="top"/>
    </xf>
    <xf numFmtId="10" fontId="2" fillId="0" borderId="2" xfId="3" applyNumberFormat="1" applyFont="1" applyBorder="1" applyAlignment="1">
      <alignment horizontal="center"/>
    </xf>
    <xf numFmtId="1" fontId="10" fillId="15" borderId="13" xfId="0" applyNumberFormat="1" applyFont="1" applyFill="1" applyBorder="1" applyAlignment="1">
      <alignment horizontal="center" vertical="center"/>
    </xf>
    <xf numFmtId="1" fontId="42" fillId="15" borderId="2" xfId="0" applyNumberFormat="1" applyFont="1" applyFill="1" applyBorder="1" applyAlignment="1">
      <alignment horizontal="center"/>
    </xf>
    <xf numFmtId="9" fontId="10" fillId="15" borderId="13" xfId="3" applyFont="1" applyFill="1" applyBorder="1" applyAlignment="1">
      <alignment horizontal="center" vertical="center"/>
    </xf>
    <xf numFmtId="1" fontId="10" fillId="15" borderId="3" xfId="0" applyNumberFormat="1" applyFont="1" applyFill="1" applyBorder="1" applyAlignment="1">
      <alignment horizontal="center" vertical="center"/>
    </xf>
    <xf numFmtId="10" fontId="2" fillId="0" borderId="2" xfId="0" applyNumberFormat="1" applyFont="1" applyFill="1" applyBorder="1" applyAlignment="1">
      <alignment horizontal="center"/>
    </xf>
    <xf numFmtId="1" fontId="2" fillId="0" borderId="2" xfId="0" applyNumberFormat="1" applyFont="1" applyFill="1" applyBorder="1" applyAlignment="1">
      <alignment horizontal="center"/>
    </xf>
    <xf numFmtId="0" fontId="80" fillId="15" borderId="2" xfId="68" applyFont="1" applyFill="1" applyBorder="1" applyAlignment="1">
      <alignment horizontal="center" vertical="top"/>
    </xf>
    <xf numFmtId="1" fontId="0" fillId="0" borderId="0" xfId="0" applyNumberFormat="1" applyBorder="1"/>
    <xf numFmtId="0" fontId="0" fillId="0" borderId="2" xfId="0" applyBorder="1" applyAlignment="1">
      <alignment horizontal="center" vertical="center" wrapText="1"/>
    </xf>
    <xf numFmtId="0" fontId="41" fillId="15" borderId="2" xfId="0" applyFont="1" applyFill="1" applyBorder="1" applyAlignment="1">
      <alignment horizontal="center"/>
    </xf>
    <xf numFmtId="0" fontId="43" fillId="16" borderId="2" xfId="0" applyFont="1" applyFill="1" applyBorder="1" applyAlignment="1">
      <alignment horizontal="center" wrapText="1"/>
    </xf>
    <xf numFmtId="0" fontId="43" fillId="16" borderId="2" xfId="0" applyFont="1" applyFill="1" applyBorder="1" applyAlignment="1">
      <alignment horizontal="center" vertical="center" wrapText="1"/>
    </xf>
    <xf numFmtId="0" fontId="4" fillId="15" borderId="2" xfId="0" applyFont="1" applyFill="1" applyBorder="1" applyAlignment="1">
      <alignment horizontal="center"/>
    </xf>
    <xf numFmtId="0" fontId="10" fillId="15" borderId="10" xfId="0" applyFont="1" applyFill="1" applyBorder="1" applyAlignment="1">
      <alignment horizontal="center" vertical="center"/>
    </xf>
    <xf numFmtId="0" fontId="10" fillId="15" borderId="1" xfId="0" applyFont="1" applyFill="1" applyBorder="1" applyAlignment="1">
      <alignment horizontal="center" vertical="center"/>
    </xf>
    <xf numFmtId="0" fontId="48" fillId="15" borderId="1" xfId="0" applyFont="1" applyFill="1" applyBorder="1" applyAlignment="1">
      <alignment horizontal="center"/>
    </xf>
    <xf numFmtId="0" fontId="10" fillId="15" borderId="0" xfId="42" applyFont="1" applyFill="1" applyBorder="1" applyAlignment="1">
      <alignment horizontal="center"/>
    </xf>
    <xf numFmtId="0" fontId="10" fillId="15" borderId="25" xfId="42" applyFont="1" applyFill="1" applyBorder="1" applyAlignment="1">
      <alignment horizontal="center" vertical="center" wrapText="1"/>
    </xf>
    <xf numFmtId="0" fontId="10" fillId="15" borderId="0" xfId="42" applyFont="1" applyFill="1" applyBorder="1" applyAlignment="1">
      <alignment horizontal="center" vertical="center" wrapText="1"/>
    </xf>
    <xf numFmtId="0" fontId="48" fillId="15" borderId="8" xfId="0" applyFont="1" applyFill="1" applyBorder="1" applyAlignment="1">
      <alignment horizontal="center"/>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9" fillId="0" borderId="25" xfId="0" applyFont="1" applyBorder="1" applyAlignment="1">
      <alignment horizontal="center" vertical="center"/>
    </xf>
    <xf numFmtId="0" fontId="9" fillId="0" borderId="7" xfId="0" applyFont="1" applyFill="1" applyBorder="1" applyAlignment="1">
      <alignment horizontal="center" vertical="center"/>
    </xf>
    <xf numFmtId="0" fontId="9" fillId="0" borderId="25"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0" xfId="0" applyFont="1" applyFill="1" applyBorder="1" applyAlignment="1">
      <alignment horizontal="center" vertical="center"/>
    </xf>
    <xf numFmtId="0" fontId="9" fillId="0" borderId="10"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2" fontId="46" fillId="19" borderId="8" xfId="0" applyNumberFormat="1" applyFont="1" applyFill="1" applyBorder="1" applyAlignment="1">
      <alignment horizontal="left" vertical="top" wrapText="1"/>
    </xf>
    <xf numFmtId="0" fontId="48" fillId="15"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3" fontId="3" fillId="0" borderId="25" xfId="42" applyNumberFormat="1" applyFont="1" applyBorder="1" applyAlignment="1">
      <alignment horizontal="left" vertical="center" wrapText="1"/>
    </xf>
    <xf numFmtId="0" fontId="42" fillId="15" borderId="7" xfId="0" applyFont="1" applyFill="1" applyBorder="1" applyAlignment="1">
      <alignment horizontal="center" vertical="center"/>
    </xf>
    <xf numFmtId="0" fontId="42" fillId="15" borderId="8" xfId="0" applyFont="1" applyFill="1" applyBorder="1" applyAlignment="1">
      <alignment horizontal="center" vertical="center"/>
    </xf>
    <xf numFmtId="0" fontId="10" fillId="15" borderId="7" xfId="42" applyFont="1" applyFill="1" applyBorder="1" applyAlignment="1">
      <alignment horizontal="center" vertical="center"/>
    </xf>
    <xf numFmtId="0" fontId="10" fillId="15" borderId="8" xfId="42" applyFont="1" applyFill="1" applyBorder="1" applyAlignment="1">
      <alignment horizontal="center" vertical="center"/>
    </xf>
    <xf numFmtId="0" fontId="10" fillId="15" borderId="9" xfId="42" applyFont="1" applyFill="1" applyBorder="1" applyAlignment="1">
      <alignment horizontal="center" vertical="center"/>
    </xf>
    <xf numFmtId="0" fontId="10" fillId="15" borderId="25" xfId="42" applyFont="1" applyFill="1" applyBorder="1" applyAlignment="1">
      <alignment horizontal="center" vertical="center"/>
    </xf>
    <xf numFmtId="0" fontId="10" fillId="15" borderId="0" xfId="42" applyFont="1" applyFill="1" applyBorder="1" applyAlignment="1">
      <alignment horizontal="center" vertical="center"/>
    </xf>
    <xf numFmtId="0" fontId="10" fillId="15" borderId="24" xfId="42" applyFont="1" applyFill="1" applyBorder="1" applyAlignment="1">
      <alignment horizontal="center" vertical="center"/>
    </xf>
    <xf numFmtId="0" fontId="8" fillId="13" borderId="0" xfId="0" applyFont="1" applyFill="1" applyAlignment="1">
      <alignment horizontal="left" vertical="top" wrapText="1"/>
    </xf>
    <xf numFmtId="0" fontId="10" fillId="15" borderId="7" xfId="0" applyFont="1" applyFill="1" applyBorder="1" applyAlignment="1">
      <alignment horizontal="center" vertical="center" wrapText="1"/>
    </xf>
    <xf numFmtId="0" fontId="10" fillId="15" borderId="8" xfId="0" applyFont="1" applyFill="1" applyBorder="1" applyAlignment="1">
      <alignment horizontal="center" vertical="center" wrapText="1"/>
    </xf>
    <xf numFmtId="0" fontId="10" fillId="15" borderId="9" xfId="0" applyFont="1" applyFill="1" applyBorder="1" applyAlignment="1">
      <alignment horizontal="center" vertical="center" wrapText="1"/>
    </xf>
    <xf numFmtId="0" fontId="8" fillId="0" borderId="25" xfId="0" applyFont="1" applyBorder="1" applyAlignment="1">
      <alignment horizontal="center" vertical="center" wrapText="1"/>
    </xf>
    <xf numFmtId="0" fontId="8" fillId="0" borderId="10" xfId="0" applyFont="1" applyBorder="1" applyAlignment="1">
      <alignment horizontal="center" vertical="center" wrapText="1"/>
    </xf>
    <xf numFmtId="2" fontId="10" fillId="15" borderId="0" xfId="4" applyNumberFormat="1" applyFont="1" applyFill="1" applyBorder="1" applyAlignment="1">
      <alignment horizontal="center" vertical="center"/>
    </xf>
    <xf numFmtId="0" fontId="10" fillId="15" borderId="3" xfId="0" applyFont="1" applyFill="1" applyBorder="1" applyAlignment="1">
      <alignment horizontal="center" vertical="center"/>
    </xf>
    <xf numFmtId="0" fontId="10" fillId="15" borderId="13" xfId="0" applyFont="1" applyFill="1" applyBorder="1" applyAlignment="1">
      <alignment horizontal="center" vertical="center"/>
    </xf>
    <xf numFmtId="0" fontId="10" fillId="15" borderId="0" xfId="0" applyFont="1" applyFill="1" applyBorder="1" applyAlignment="1">
      <alignment horizontal="center" vertical="center"/>
    </xf>
    <xf numFmtId="2" fontId="77" fillId="0" borderId="0" xfId="0" applyNumberFormat="1" applyFont="1" applyFill="1" applyBorder="1" applyAlignment="1">
      <alignment horizontal="center" vertical="center" wrapText="1"/>
    </xf>
    <xf numFmtId="0" fontId="9" fillId="0" borderId="3" xfId="4" applyFont="1" applyFill="1" applyBorder="1" applyAlignment="1">
      <alignment horizontal="center" vertical="center"/>
    </xf>
    <xf numFmtId="0" fontId="9" fillId="0" borderId="13" xfId="4" applyFont="1" applyFill="1" applyBorder="1" applyAlignment="1">
      <alignment horizontal="center" vertical="center"/>
    </xf>
    <xf numFmtId="0" fontId="10" fillId="15" borderId="7" xfId="4" applyFont="1" applyFill="1" applyBorder="1" applyAlignment="1">
      <alignment horizontal="center" vertical="center"/>
    </xf>
    <xf numFmtId="0" fontId="10" fillId="15" borderId="8" xfId="4" applyFont="1" applyFill="1" applyBorder="1" applyAlignment="1">
      <alignment horizontal="center" vertical="center"/>
    </xf>
    <xf numFmtId="0" fontId="9" fillId="0" borderId="3" xfId="0" applyFont="1" applyBorder="1" applyAlignment="1">
      <alignment horizontal="center" vertical="center"/>
    </xf>
    <xf numFmtId="0" fontId="9" fillId="0" borderId="13" xfId="0" applyFont="1" applyBorder="1" applyAlignment="1">
      <alignment horizontal="center" vertical="center"/>
    </xf>
    <xf numFmtId="0" fontId="76" fillId="14" borderId="10" xfId="62" quotePrefix="1" applyFont="1" applyFill="1" applyBorder="1" applyAlignment="1">
      <alignment horizontal="center" vertical="top"/>
    </xf>
    <xf numFmtId="0" fontId="76" fillId="14" borderId="1" xfId="62" quotePrefix="1" applyFont="1" applyFill="1" applyBorder="1" applyAlignment="1">
      <alignment horizontal="center" vertical="top"/>
    </xf>
    <xf numFmtId="0" fontId="76" fillId="14" borderId="0" xfId="62" quotePrefix="1" applyFont="1" applyFill="1" applyAlignment="1">
      <alignment horizontal="center" vertical="top"/>
    </xf>
    <xf numFmtId="0" fontId="40" fillId="0" borderId="3" xfId="0" applyFont="1" applyBorder="1" applyAlignment="1">
      <alignment horizontal="center"/>
    </xf>
    <xf numFmtId="0" fontId="40" fillId="0" borderId="6" xfId="0" applyFont="1" applyBorder="1" applyAlignment="1">
      <alignment horizontal="center"/>
    </xf>
    <xf numFmtId="0" fontId="76" fillId="14" borderId="0" xfId="66" quotePrefix="1" applyFont="1" applyFill="1" applyAlignment="1">
      <alignment horizontal="center" vertical="top"/>
    </xf>
    <xf numFmtId="0" fontId="76" fillId="14" borderId="0" xfId="66" applyFont="1" applyFill="1" applyAlignment="1">
      <alignment horizontal="center" vertical="top"/>
    </xf>
    <xf numFmtId="0" fontId="76" fillId="14" borderId="0" xfId="67" applyFont="1" applyFill="1" applyAlignment="1">
      <alignment horizontal="center" vertical="top"/>
    </xf>
    <xf numFmtId="0" fontId="80" fillId="15" borderId="1" xfId="0" applyFont="1" applyFill="1" applyBorder="1" applyAlignment="1">
      <alignment horizontal="center"/>
    </xf>
    <xf numFmtId="0" fontId="10" fillId="15" borderId="1" xfId="42" applyFont="1" applyFill="1" applyBorder="1" applyAlignment="1">
      <alignment horizontal="left"/>
    </xf>
    <xf numFmtId="0" fontId="10" fillId="15" borderId="7" xfId="42" applyFont="1" applyFill="1" applyBorder="1" applyAlignment="1">
      <alignment horizontal="center" vertical="center" wrapText="1"/>
    </xf>
    <xf numFmtId="0" fontId="10" fillId="15" borderId="8" xfId="42" applyFont="1" applyFill="1" applyBorder="1" applyAlignment="1">
      <alignment horizontal="center" vertical="center" wrapText="1"/>
    </xf>
    <xf numFmtId="0" fontId="48" fillId="15" borderId="13" xfId="0" applyFont="1" applyFill="1" applyBorder="1" applyAlignment="1">
      <alignment horizontal="center" vertical="center"/>
    </xf>
    <xf numFmtId="0" fontId="10" fillId="15" borderId="6" xfId="0" applyFont="1" applyFill="1" applyBorder="1" applyAlignment="1">
      <alignment horizontal="center" vertical="center"/>
    </xf>
    <xf numFmtId="0" fontId="69" fillId="14" borderId="0" xfId="59" quotePrefix="1" applyFont="1" applyFill="1" applyAlignment="1">
      <alignment horizontal="center" vertical="top"/>
    </xf>
    <xf numFmtId="0" fontId="6" fillId="14" borderId="0" xfId="59" applyFont="1" applyFill="1" applyAlignment="1">
      <alignment horizontal="center" vertical="top"/>
    </xf>
    <xf numFmtId="0" fontId="3" fillId="14" borderId="1" xfId="59" applyFont="1" applyFill="1" applyBorder="1" applyAlignment="1">
      <alignment horizontal="center" vertical="top"/>
    </xf>
    <xf numFmtId="0" fontId="38" fillId="0" borderId="25" xfId="42" applyFont="1" applyBorder="1" applyAlignment="1">
      <alignment horizontal="right" vertical="center"/>
    </xf>
    <xf numFmtId="0" fontId="38" fillId="0" borderId="0" xfId="42" applyFont="1" applyBorder="1" applyAlignment="1">
      <alignment horizontal="right" vertical="center"/>
    </xf>
    <xf numFmtId="0" fontId="38" fillId="0" borderId="24" xfId="42" applyFont="1" applyBorder="1" applyAlignment="1">
      <alignment horizontal="right" vertical="center"/>
    </xf>
    <xf numFmtId="0" fontId="10" fillId="15" borderId="7" xfId="44" applyFont="1" applyFill="1" applyBorder="1" applyAlignment="1">
      <alignment horizontal="center" vertical="center"/>
    </xf>
    <xf numFmtId="0" fontId="10" fillId="15" borderId="9" xfId="44" applyFont="1" applyFill="1" applyBorder="1" applyAlignment="1">
      <alignment horizontal="center" vertical="center"/>
    </xf>
    <xf numFmtId="0" fontId="38" fillId="0" borderId="25" xfId="44" applyFont="1" applyBorder="1" applyAlignment="1">
      <alignment horizontal="right" vertical="center"/>
    </xf>
    <xf numFmtId="0" fontId="38" fillId="0" borderId="24" xfId="44" applyFont="1" applyBorder="1" applyAlignment="1">
      <alignment horizontal="right" vertical="center"/>
    </xf>
    <xf numFmtId="0" fontId="10" fillId="15" borderId="5" xfId="0" applyFont="1" applyFill="1" applyBorder="1" applyAlignment="1">
      <alignment horizontal="center" vertical="center"/>
    </xf>
    <xf numFmtId="0" fontId="10" fillId="15" borderId="25" xfId="44" applyFont="1" applyFill="1" applyBorder="1" applyAlignment="1">
      <alignment horizontal="center" vertical="center"/>
    </xf>
    <xf numFmtId="0" fontId="10" fillId="15" borderId="0" xfId="44" applyFont="1" applyFill="1" applyBorder="1" applyAlignment="1">
      <alignment horizontal="center" vertical="center"/>
    </xf>
    <xf numFmtId="0" fontId="38" fillId="14" borderId="7" xfId="44" applyFont="1" applyFill="1" applyBorder="1" applyAlignment="1">
      <alignment horizontal="right" vertical="center"/>
    </xf>
    <xf numFmtId="0" fontId="38" fillId="14" borderId="8" xfId="44" applyFont="1" applyFill="1" applyBorder="1" applyAlignment="1">
      <alignment horizontal="right" vertical="center"/>
    </xf>
    <xf numFmtId="0" fontId="38" fillId="14" borderId="9" xfId="44" applyFont="1" applyFill="1" applyBorder="1" applyAlignment="1">
      <alignment horizontal="right" vertical="center"/>
    </xf>
    <xf numFmtId="0" fontId="3" fillId="0" borderId="25" xfId="42" applyBorder="1" applyAlignment="1">
      <alignment horizontal="center" vertical="center"/>
    </xf>
    <xf numFmtId="0" fontId="3" fillId="0" borderId="0" xfId="42" applyBorder="1" applyAlignment="1">
      <alignment horizontal="center" vertical="center"/>
    </xf>
    <xf numFmtId="0" fontId="3" fillId="0" borderId="24" xfId="42" applyBorder="1" applyAlignment="1">
      <alignment horizontal="center" vertical="center"/>
    </xf>
  </cellXfs>
  <cellStyles count="72">
    <cellStyle name="Accent1" xfId="4" builtinId="29"/>
    <cellStyle name="Bad 2" xfId="9" xr:uid="{48DE6014-26F9-4BA3-A0A0-4917FB7E34D7}"/>
    <cellStyle name="Calculation 2" xfId="10" xr:uid="{8F3D0360-925C-4710-974B-707B0F58BE93}"/>
    <cellStyle name="Check Cell 2" xfId="11" xr:uid="{510EA78C-DDC9-4FA2-B47F-64722EFF647E}"/>
    <cellStyle name="Comma" xfId="1" builtinId="3"/>
    <cellStyle name="Comma 2" xfId="6" xr:uid="{0229D74B-331A-4F69-A5FE-0452AE7ACC39}"/>
    <cellStyle name="Comma 2 2" xfId="12" xr:uid="{8DECBF38-C898-4921-B027-343F20BBE4D7}"/>
    <cellStyle name="Comma 2 3" xfId="43" xr:uid="{BB3DAF20-FC18-41A6-8EBC-A0DAA3A8D4D8}"/>
    <cellStyle name="Comma 3" xfId="55" xr:uid="{3A807C39-DBA3-45E0-AEB5-2FB8042D3502}"/>
    <cellStyle name="Explanatory Text 2" xfId="13" xr:uid="{B3C7CC67-98EE-4D2F-BADA-D616E12DA79A}"/>
    <cellStyle name="Good 2" xfId="14" xr:uid="{27B05DF4-F490-493B-96F2-930CF757E6DF}"/>
    <cellStyle name="Heading 1 2" xfId="15" xr:uid="{DD3A45F9-F362-463E-981C-A242D6C9F4BA}"/>
    <cellStyle name="Heading 2 2" xfId="16" xr:uid="{BCC5B706-8E20-4F2A-BEFB-CD7E2CC6207C}"/>
    <cellStyle name="Heading 3 2" xfId="17" xr:uid="{6BC53DA9-B9A3-44AF-BDE2-D939AE531E2D}"/>
    <cellStyle name="Heading 4 2" xfId="18" xr:uid="{A91BDE40-E3B8-460F-BBED-9D748CC83409}"/>
    <cellStyle name="Hyperlink" xfId="5" builtinId="8"/>
    <cellStyle name="Hyperlink 2" xfId="19" xr:uid="{2D804C5C-D60A-4B4F-9BF9-40558A154281}"/>
    <cellStyle name="Input 2" xfId="20" xr:uid="{F59897F6-6982-4635-B93B-FC6EFF6963F0}"/>
    <cellStyle name="Linked Cell 2" xfId="21" xr:uid="{C65A5F45-AAA4-44DC-9628-715D0BE49C5F}"/>
    <cellStyle name="Neutral 2" xfId="22" xr:uid="{CE9F1EF0-FDBD-434D-BF77-4D5403F4DB94}"/>
    <cellStyle name="Normal" xfId="0" builtinId="0"/>
    <cellStyle name="Normal 10" xfId="2" xr:uid="{00000000-0005-0000-0000-000002000000}"/>
    <cellStyle name="Normal 12" xfId="70" xr:uid="{F3B06A18-557E-45D3-83E8-6E0CCAA7E297}"/>
    <cellStyle name="Normal 19" xfId="60" xr:uid="{EEF73A10-C563-4045-8350-D50AFF050EA6}"/>
    <cellStyle name="Normal 2" xfId="7" xr:uid="{6A967F83-02FA-4E11-934B-003E0BE46696}"/>
    <cellStyle name="Normal 2 2" xfId="42" xr:uid="{D04E8E66-BA66-4123-AF6F-4C593C947D77}"/>
    <cellStyle name="Normal 2 3" xfId="45" xr:uid="{8AEEB901-DEFB-45C6-86B9-6BC73A34549B}"/>
    <cellStyle name="Normal 2 4" xfId="48" xr:uid="{C6EA5D4D-AB15-486C-BB42-D9B0BC1F9180}"/>
    <cellStyle name="Normal 2 5" xfId="50" xr:uid="{5B6E3469-A93A-422E-A4DE-11B97B20F040}"/>
    <cellStyle name="Normal 21" xfId="61" xr:uid="{92AD7BCB-72E1-44BB-93E5-13861DF5BD3D}"/>
    <cellStyle name="Normal 22" xfId="56" xr:uid="{13225A05-164B-4F82-86C5-32DD12447B84}"/>
    <cellStyle name="Normal 23" xfId="62" xr:uid="{61F0A863-8B47-4AC6-B2D6-FC1AE39FF8D0}"/>
    <cellStyle name="Normal 24" xfId="57" xr:uid="{E42D2190-B63C-4B46-AFB1-A53204E74912}"/>
    <cellStyle name="Normal 25" xfId="64" xr:uid="{9F7E93E6-BB4E-468F-B348-ADDC0B995513}"/>
    <cellStyle name="Normal 26" xfId="63" xr:uid="{12946B85-C542-4EF0-B8EC-BB6EFEA7878E}"/>
    <cellStyle name="Normal 27" xfId="65" xr:uid="{50B861CF-9BDE-4B25-BEE7-C68BD162DAC0}"/>
    <cellStyle name="Normal 28" xfId="53" xr:uid="{A6856C85-97F6-4FAB-8BA3-296E7F5C2652}"/>
    <cellStyle name="Normal 29" xfId="66" xr:uid="{40A9E18F-F160-48DC-98FD-B6BBC08A9050}"/>
    <cellStyle name="Normal 3" xfId="23" xr:uid="{1AD652F5-741A-4BEF-B735-DAE51F13EF39}"/>
    <cellStyle name="Normal 3 2" xfId="46" xr:uid="{66B6AF13-4B7B-4DC0-B574-AE46C7BF8A2D}"/>
    <cellStyle name="Normal 3 3" xfId="49" xr:uid="{E4F3D19D-E873-4119-BF1E-CA2AD52FFFBD}"/>
    <cellStyle name="Normal 30" xfId="67" xr:uid="{04E3ED1D-E3B6-4FA5-8C66-E0A80EBE7BC9}"/>
    <cellStyle name="Normal 31" xfId="68" xr:uid="{26AF3936-351E-48D6-9AA0-EA1F7C40F461}"/>
    <cellStyle name="Normal 32" xfId="54" xr:uid="{7EF770AC-3276-4233-A7C4-B5100FE5FA6D}"/>
    <cellStyle name="Normal 33" xfId="71" xr:uid="{64A69285-66F4-4938-96E9-24C23C19DA6F}"/>
    <cellStyle name="Normal 34" xfId="59" xr:uid="{01FB9842-D5A9-4F22-BECD-98AAADF74B79}"/>
    <cellStyle name="Normal 35" xfId="58" xr:uid="{392651D9-3682-45EA-8F64-EC1CF1C55321}"/>
    <cellStyle name="Normal 4" xfId="8" xr:uid="{5AE70C0A-5FC6-46A6-ADE9-ACC88AA36743}"/>
    <cellStyle name="Normal 5 2" xfId="44" xr:uid="{BED2590C-F188-4172-8441-91D36500BC98}"/>
    <cellStyle name="Normal 6 2" xfId="51" xr:uid="{EAF9DFAE-72FE-498E-A5BA-A0EC35C92E26}"/>
    <cellStyle name="Note 2" xfId="24" xr:uid="{36D3206A-1E89-4A42-A28C-F49E1312FF63}"/>
    <cellStyle name="Output 2" xfId="25" xr:uid="{64B61667-5B67-451B-AA5A-F79CB8516894}"/>
    <cellStyle name="Percent" xfId="3" builtinId="5"/>
    <cellStyle name="Percent 13" xfId="69" xr:uid="{EDC8BE44-95FE-42D3-8A53-D9C254E0C01A}"/>
    <cellStyle name="Percent 2" xfId="27" xr:uid="{E92EB642-49A1-4A5D-866D-2F2BEAA99244}"/>
    <cellStyle name="Percent 2 2" xfId="47" xr:uid="{174184A0-89E0-4E2A-B1C3-3FF8F0BB3CA1}"/>
    <cellStyle name="Percent 3" xfId="26" xr:uid="{89F59B0F-399C-4825-8323-1A0B366B1827}"/>
    <cellStyle name="Percent 4" xfId="52" xr:uid="{44E58AFD-1F69-453D-B359-91E20549F222}"/>
    <cellStyle name="Smart Bold" xfId="28" xr:uid="{35949368-D2D9-4FD0-935D-72DC3815F6F0}"/>
    <cellStyle name="Smart Forecast" xfId="29" xr:uid="{DA1847E8-C87D-4E5E-BA5B-C103A281A188}"/>
    <cellStyle name="Smart General" xfId="30" xr:uid="{C0B8B36A-358E-4C70-8253-A2BB81521B6A}"/>
    <cellStyle name="Smart Highlight" xfId="31" xr:uid="{39804A6A-9501-44A9-8A2B-61FBC1EF7C9C}"/>
    <cellStyle name="Smart Percent" xfId="32" xr:uid="{2296B838-4D0B-4715-BE6E-0FFB4CFD77A6}"/>
    <cellStyle name="Smart Source" xfId="33" xr:uid="{4C539167-4F04-4120-99B9-BEE5390475D6}"/>
    <cellStyle name="Smart Subtitle 1" xfId="34" xr:uid="{5E6502DB-2715-489B-A345-1417A83B62B8}"/>
    <cellStyle name="Smart Subtitle 2" xfId="35" xr:uid="{52973591-BAAD-4677-94F6-41D001FD3E44}"/>
    <cellStyle name="Smart Subtitle 3" xfId="36" xr:uid="{1FCE42C9-A970-4BB7-9F47-DFD74F86985B}"/>
    <cellStyle name="Smart Subtotal" xfId="37" xr:uid="{7D6FC9B3-2F29-4CFE-8F4F-06A12BEC12E4}"/>
    <cellStyle name="Smart Title" xfId="38" xr:uid="{015B8C42-624F-48BB-AF42-8E33342CFB59}"/>
    <cellStyle name="Smart Total" xfId="39" xr:uid="{B57A5A91-9942-4AEA-BC7B-998D724CBF66}"/>
    <cellStyle name="Title 2" xfId="40" xr:uid="{E601D9A6-590D-452D-B94E-92F6B5F85844}"/>
    <cellStyle name="Total 2" xfId="41" xr:uid="{93F2EFB4-C20E-4EB2-86DA-2B6349B46C47}"/>
  </cellStyles>
  <dxfs count="0"/>
  <tableStyles count="0" defaultTableStyle="TableStyleMedium2" defaultPivotStyle="PivotStyleLight16"/>
  <colors>
    <mruColors>
      <color rgb="FF136D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590550</xdr:colOff>
      <xdr:row>70</xdr:row>
      <xdr:rowOff>42333</xdr:rowOff>
    </xdr:to>
    <xdr:sp macro="" textlink="">
      <xdr:nvSpPr>
        <xdr:cNvPr id="2" name="TextBox 1">
          <a:extLst>
            <a:ext uri="{FF2B5EF4-FFF2-40B4-BE49-F238E27FC236}">
              <a16:creationId xmlns:a16="http://schemas.microsoft.com/office/drawing/2014/main" id="{BB8B303B-C405-2B29-A382-2AD0F29DF4A4}"/>
            </a:ext>
          </a:extLst>
        </xdr:cNvPr>
        <xdr:cNvSpPr txBox="1"/>
      </xdr:nvSpPr>
      <xdr:spPr>
        <a:xfrm>
          <a:off x="0" y="0"/>
          <a:ext cx="12253383" cy="13377333"/>
        </a:xfrm>
        <a:prstGeom prst="rect">
          <a:avLst/>
        </a:prstGeom>
        <a:solidFill>
          <a:sysClr val="window" lastClr="FFFF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i="1">
              <a:solidFill>
                <a:sysClr val="windowText" lastClr="000000"/>
              </a:solidFill>
              <a:effectLst/>
              <a:latin typeface="Arial" panose="020B0604020202020204" pitchFamily="34" charset="0"/>
              <a:ea typeface="+mn-ea"/>
              <a:cs typeface="Arial" panose="020B0604020202020204" pitchFamily="34" charset="0"/>
            </a:rPr>
            <a:t>Norms Worksheet</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1. </a:t>
          </a:r>
          <a:r>
            <a:rPr lang="en-IN" sz="1000" i="1">
              <a:solidFill>
                <a:sysClr val="windowText" lastClr="000000"/>
              </a:solidFill>
              <a:effectLst/>
              <a:latin typeface="Arial" panose="020B0604020202020204" pitchFamily="34" charset="0"/>
              <a:ea typeface="+mn-ea"/>
              <a:cs typeface="Arial" panose="020B0604020202020204" pitchFamily="34" charset="0"/>
            </a:rPr>
            <a:t>Raw material consumption norms are derived through conducting various primary interviews with industry experts.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2. </a:t>
          </a:r>
          <a:r>
            <a:rPr lang="en-IN" sz="1000" i="1">
              <a:solidFill>
                <a:sysClr val="windowText" lastClr="000000"/>
              </a:solidFill>
              <a:effectLst/>
              <a:latin typeface="Arial" panose="020B0604020202020204" pitchFamily="34" charset="0"/>
              <a:ea typeface="+mn-ea"/>
              <a:cs typeface="Arial" panose="020B0604020202020204" pitchFamily="34" charset="0"/>
            </a:rPr>
            <a:t>Per unit consumption of utilities, prices of raw material per tonne, catchem, overhead, and depreciation cost per tonne have been considered in financial modelling. Further including the 4-year average prices of each particular taken into consideration for calculating operating cost.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3. </a:t>
          </a:r>
          <a:r>
            <a:rPr lang="en-IN" sz="1000" i="1">
              <a:solidFill>
                <a:sysClr val="windowText" lastClr="000000"/>
              </a:solidFill>
              <a:effectLst/>
              <a:latin typeface="Arial" panose="020B0604020202020204" pitchFamily="34" charset="0"/>
              <a:ea typeface="+mn-ea"/>
              <a:cs typeface="Arial" panose="020B0604020202020204" pitchFamily="34" charset="0"/>
            </a:rPr>
            <a:t>Salaries &amp; wages calculations is based on the required number of employees needed in the operations of both the product. (Primary interviews)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4. </a:t>
          </a:r>
          <a:r>
            <a:rPr lang="en-IN" sz="1000" i="1">
              <a:solidFill>
                <a:sysClr val="windowText" lastClr="000000"/>
              </a:solidFill>
              <a:effectLst/>
              <a:latin typeface="Arial" panose="020B0604020202020204" pitchFamily="34" charset="0"/>
              <a:ea typeface="+mn-ea"/>
              <a:cs typeface="Arial" panose="020B0604020202020204" pitchFamily="34" charset="0"/>
            </a:rPr>
            <a:t>The means of finance is taken as 50% equity share capital and 50% term loan.															</a:t>
          </a:r>
        </a:p>
        <a:p>
          <a:pPr algn="l"/>
          <a:r>
            <a:rPr lang="en-IN" sz="1100" b="1" i="1">
              <a:solidFill>
                <a:sysClr val="windowText" lastClr="000000"/>
              </a:solidFill>
              <a:effectLst/>
              <a:latin typeface="Arial" panose="020B0604020202020204" pitchFamily="34" charset="0"/>
              <a:ea typeface="+mn-ea"/>
              <a:cs typeface="Arial" panose="020B0604020202020204" pitchFamily="34" charset="0"/>
            </a:rPr>
            <a:t>Reference</a:t>
          </a:r>
          <a:r>
            <a:rPr lang="en-IN" sz="1100" b="1" i="1" baseline="0">
              <a:solidFill>
                <a:sysClr val="windowText" lastClr="000000"/>
              </a:solidFill>
              <a:effectLst/>
              <a:latin typeface="Arial" panose="020B0604020202020204" pitchFamily="34" charset="0"/>
              <a:ea typeface="+mn-ea"/>
              <a:cs typeface="Arial" panose="020B0604020202020204" pitchFamily="34" charset="0"/>
            </a:rPr>
            <a:t> Values</a:t>
          </a:r>
          <a:r>
            <a:rPr lang="en-IN" sz="1100" b="1" i="1">
              <a:solidFill>
                <a:sysClr val="windowText" lastClr="000000"/>
              </a:solidFill>
              <a:effectLst/>
              <a:latin typeface="Arial" panose="020B0604020202020204" pitchFamily="34" charset="0"/>
              <a:ea typeface="+mn-ea"/>
              <a:cs typeface="Arial" panose="020B0604020202020204" pitchFamily="34" charset="0"/>
            </a:rPr>
            <a:t> Worksheet</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1. </a:t>
          </a:r>
          <a:r>
            <a:rPr lang="en-IN" sz="1000" i="1">
              <a:solidFill>
                <a:sysClr val="windowText" lastClr="000000"/>
              </a:solidFill>
              <a:effectLst/>
              <a:latin typeface="Arial" panose="020B0604020202020204" pitchFamily="34" charset="0"/>
              <a:ea typeface="+mn-ea"/>
              <a:cs typeface="Arial" panose="020B0604020202020204" pitchFamily="34" charset="0"/>
            </a:rPr>
            <a:t>Consumption of raw materials annually is derived from raw material consumption norms in the "Norms" worksheet.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2. </a:t>
          </a:r>
          <a:r>
            <a:rPr lang="en-IN" sz="1000" i="1">
              <a:solidFill>
                <a:sysClr val="windowText" lastClr="000000"/>
              </a:solidFill>
              <a:effectLst/>
              <a:latin typeface="Arial" panose="020B0604020202020204" pitchFamily="34" charset="0"/>
              <a:ea typeface="+mn-ea"/>
              <a:cs typeface="Arial" panose="020B0604020202020204" pitchFamily="34" charset="0"/>
            </a:rPr>
            <a:t>The total 4-year average prices of each particular considered to calculate the operating cost for financial modelling. (Linked to "Norms" worksheet)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3. </a:t>
          </a:r>
          <a:r>
            <a:rPr lang="en-IN" sz="1000" i="1">
              <a:solidFill>
                <a:sysClr val="windowText" lastClr="000000"/>
              </a:solidFill>
              <a:effectLst/>
              <a:latin typeface="Arial" panose="020B0604020202020204" pitchFamily="34" charset="0"/>
              <a:ea typeface="+mn-ea"/>
              <a:cs typeface="Arial" panose="020B0604020202020204" pitchFamily="34" charset="0"/>
            </a:rPr>
            <a:t>Working capital is used to fund operations and meet short-term obligations for the unit. Account receivables are being calculated for 30 days while account payables are for 20 days. Inventory is derived for 10 days.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4. </a:t>
          </a:r>
          <a:r>
            <a:rPr lang="en-IN" sz="1000" i="1">
              <a:solidFill>
                <a:sysClr val="windowText" lastClr="000000"/>
              </a:solidFill>
              <a:effectLst/>
              <a:latin typeface="Arial" panose="020B0604020202020204" pitchFamily="34" charset="0"/>
              <a:ea typeface="+mn-ea"/>
              <a:cs typeface="Arial" panose="020B0604020202020204" pitchFamily="34" charset="0"/>
            </a:rPr>
            <a:t>The total annual sales value is calculated by multiplying the price of each product (INR/Tonnes) by the annual production. (Linked to "Norms" worksheet)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5. </a:t>
          </a:r>
          <a:r>
            <a:rPr lang="en-IN" sz="1000" i="1">
              <a:solidFill>
                <a:sysClr val="windowText" lastClr="000000"/>
              </a:solidFill>
              <a:effectLst/>
              <a:latin typeface="Arial" panose="020B0604020202020204" pitchFamily="34" charset="0"/>
              <a:ea typeface="+mn-ea"/>
              <a:cs typeface="Arial" panose="020B0604020202020204" pitchFamily="34" charset="0"/>
            </a:rPr>
            <a:t>The total salaries &amp; wages are calculated by multiplying the number of employees by the annual CTC each employee is offered. (Linked to "Norms" worksheet)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6. </a:t>
          </a:r>
          <a:r>
            <a:rPr lang="en-IN" sz="1000" i="1">
              <a:solidFill>
                <a:sysClr val="windowText" lastClr="000000"/>
              </a:solidFill>
              <a:effectLst/>
              <a:latin typeface="Arial" panose="020B0604020202020204" pitchFamily="34" charset="0"/>
              <a:ea typeface="+mn-ea"/>
              <a:cs typeface="Arial" panose="020B0604020202020204" pitchFamily="34" charset="0"/>
            </a:rPr>
            <a:t>Means of finance represents the aid of financing the capital investment of the project. (Linked to “Norms" worksheet)															</a:t>
          </a:r>
        </a:p>
        <a:p>
          <a:pPr algn="l"/>
          <a:r>
            <a:rPr lang="en-IN" sz="1100" b="1" i="1">
              <a:solidFill>
                <a:sysClr val="windowText" lastClr="000000"/>
              </a:solidFill>
              <a:effectLst/>
              <a:latin typeface="Arial" panose="020B0604020202020204" pitchFamily="34" charset="0"/>
              <a:ea typeface="+mn-ea"/>
              <a:cs typeface="Arial" panose="020B0604020202020204" pitchFamily="34" charset="0"/>
            </a:rPr>
            <a:t>Capex Worksheet</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1. </a:t>
          </a:r>
          <a:r>
            <a:rPr lang="en-IN" sz="1000" i="1">
              <a:solidFill>
                <a:sysClr val="windowText" lastClr="000000"/>
              </a:solidFill>
              <a:effectLst/>
              <a:latin typeface="Arial" panose="020B0604020202020204" pitchFamily="34" charset="0"/>
              <a:ea typeface="+mn-ea"/>
              <a:cs typeface="Arial" panose="020B0604020202020204" pitchFamily="34" charset="0"/>
            </a:rPr>
            <a:t>For the calculation of total capital investment, equipment cost is derived through conducting various primary interviews with industry experts.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2. </a:t>
          </a:r>
          <a:r>
            <a:rPr lang="en-IN" sz="1000" i="1">
              <a:solidFill>
                <a:sysClr val="windowText" lastClr="000000"/>
              </a:solidFill>
              <a:effectLst/>
              <a:latin typeface="Arial" panose="020B0604020202020204" pitchFamily="34" charset="0"/>
              <a:ea typeface="+mn-ea"/>
              <a:cs typeface="Arial" panose="020B0604020202020204" pitchFamily="34" charset="0"/>
            </a:rPr>
            <a:t>To calculate the plant's direct cost, the standard norms have been considered against the equipment cost. The below listed are the following norms-</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 Purchased equipment installation: 20%</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-Instrumentation and controls (installed): 18%</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-Piping (installed): 2%</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-Electrical (installed): 1%</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-Buildings (including services): 2%</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-Service facilities (installed): 5%</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Note- The plant direct cost includes the equipment cost plus the above-listed parameters.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3. </a:t>
          </a:r>
          <a:r>
            <a:rPr lang="en-IN" sz="1000" i="1">
              <a:solidFill>
                <a:sysClr val="windowText" lastClr="000000"/>
              </a:solidFill>
              <a:effectLst/>
              <a:latin typeface="Arial" panose="020B0604020202020204" pitchFamily="34" charset="0"/>
              <a:ea typeface="+mn-ea"/>
              <a:cs typeface="Arial" panose="020B0604020202020204" pitchFamily="34" charset="0"/>
            </a:rPr>
            <a:t>Total indirect plant cost includes Engineering and supervision, Construction expenses, Legal expenses, Contractor’s fee, Contingency, etc. which have been calculated using standard norms against the equipment cost.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4. </a:t>
          </a:r>
          <a:r>
            <a:rPr lang="en-IN" sz="1000" i="1">
              <a:solidFill>
                <a:sysClr val="windowText" lastClr="000000"/>
              </a:solidFill>
              <a:effectLst/>
              <a:latin typeface="Arial" panose="020B0604020202020204" pitchFamily="34" charset="0"/>
              <a:ea typeface="+mn-ea"/>
              <a:cs typeface="Arial" panose="020B0604020202020204" pitchFamily="34" charset="0"/>
            </a:rPr>
            <a:t>ISBL facility includes equipment required in the process to manufacture weak nitric acid and ammonium nitrate which constitutes around 70% of the total equipment cost. OSBL facility includes wastewater treatment plants, effluent treatment plants, different types of wet scrubbers to mitigate GHG emissions contributing about 20% to the equipment cost.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5. </a:t>
          </a:r>
          <a:r>
            <a:rPr lang="en-IN" sz="1000" i="1">
              <a:solidFill>
                <a:sysClr val="windowText" lastClr="000000"/>
              </a:solidFill>
              <a:effectLst/>
              <a:latin typeface="Arial" panose="020B0604020202020204" pitchFamily="34" charset="0"/>
              <a:ea typeface="+mn-ea"/>
              <a:cs typeface="Arial" panose="020B0604020202020204" pitchFamily="34" charset="0"/>
            </a:rPr>
            <a:t>Total fixed capital investments is the summation of plant direct and indirect cost.															</a:t>
          </a:r>
        </a:p>
        <a:p>
          <a:pPr algn="l"/>
          <a:r>
            <a:rPr lang="en-IN" sz="1100" b="1" i="1">
              <a:solidFill>
                <a:sysClr val="windowText" lastClr="000000"/>
              </a:solidFill>
              <a:effectLst/>
              <a:latin typeface="Arial" panose="020B0604020202020204" pitchFamily="34" charset="0"/>
              <a:ea typeface="+mn-ea"/>
              <a:cs typeface="Arial" panose="020B0604020202020204" pitchFamily="34" charset="0"/>
            </a:rPr>
            <a:t>Opex Worksheet</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1. </a:t>
          </a:r>
          <a:r>
            <a:rPr lang="en-IN" sz="1000" i="1">
              <a:solidFill>
                <a:sysClr val="windowText" lastClr="000000"/>
              </a:solidFill>
              <a:effectLst/>
              <a:latin typeface="Arial" panose="020B0604020202020204" pitchFamily="34" charset="0"/>
              <a:ea typeface="+mn-ea"/>
              <a:cs typeface="Arial" panose="020B0604020202020204" pitchFamily="34" charset="0"/>
            </a:rPr>
            <a:t>Operating cost is being calculated separately for weak nitric acid (WNA) and ammonium nitrate.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2. </a:t>
          </a:r>
          <a:r>
            <a:rPr lang="en-IN" sz="1000" i="1">
              <a:solidFill>
                <a:sysClr val="windowText" lastClr="000000"/>
              </a:solidFill>
              <a:effectLst/>
              <a:latin typeface="Arial" panose="020B0604020202020204" pitchFamily="34" charset="0"/>
              <a:ea typeface="+mn-ea"/>
              <a:cs typeface="Arial" panose="020B0604020202020204" pitchFamily="34" charset="0"/>
            </a:rPr>
            <a:t>Some of the parameters (highlighted in blue) in calculating the opex will have the common values like labour, fixed overheads, and research &amp; development, therefore, to avoid double counting, those have been considered in the WNA operating cost.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3. </a:t>
          </a:r>
          <a:r>
            <a:rPr lang="en-IN" sz="1000" i="1">
              <a:solidFill>
                <a:sysClr val="windowText" lastClr="000000"/>
              </a:solidFill>
              <a:effectLst/>
              <a:latin typeface="Arial" panose="020B0604020202020204" pitchFamily="34" charset="0"/>
              <a:ea typeface="+mn-ea"/>
              <a:cs typeface="Arial" panose="020B0604020202020204" pitchFamily="34" charset="0"/>
            </a:rPr>
            <a:t>To derive the operating cost, each parameter is linked to "Reference</a:t>
          </a:r>
          <a:r>
            <a:rPr lang="en-IN" sz="1000" i="1" baseline="0">
              <a:solidFill>
                <a:sysClr val="windowText" lastClr="000000"/>
              </a:solidFill>
              <a:effectLst/>
              <a:latin typeface="Arial" panose="020B0604020202020204" pitchFamily="34" charset="0"/>
              <a:ea typeface="+mn-ea"/>
              <a:cs typeface="Arial" panose="020B0604020202020204" pitchFamily="34" charset="0"/>
            </a:rPr>
            <a:t> Values</a:t>
          </a:r>
          <a:r>
            <a:rPr lang="en-IN" sz="1000" i="1">
              <a:solidFill>
                <a:sysClr val="windowText" lastClr="000000"/>
              </a:solidFill>
              <a:effectLst/>
              <a:latin typeface="Arial" panose="020B0604020202020204" pitchFamily="34" charset="0"/>
              <a:ea typeface="+mn-ea"/>
              <a:cs typeface="Arial" panose="020B0604020202020204" pitchFamily="34" charset="0"/>
            </a:rPr>
            <a:t>" worksheet.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4. </a:t>
          </a:r>
          <a:r>
            <a:rPr lang="en-IN" sz="1000" i="1">
              <a:solidFill>
                <a:sysClr val="windowText" lastClr="000000"/>
              </a:solidFill>
              <a:effectLst/>
              <a:latin typeface="Arial" panose="020B0604020202020204" pitchFamily="34" charset="0"/>
              <a:ea typeface="+mn-ea"/>
              <a:cs typeface="Arial" panose="020B0604020202020204" pitchFamily="34" charset="0"/>
            </a:rPr>
            <a:t>For calculating some of the parameters, the following standard norms have been considering for weak nitric acid-</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-Packaging Cost (calculated): 1% of Annual Sales Revenue @ 100 Percent Capacity Utilization </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 Maintenance and repairs: 1% of Total Capital Investment</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-Plant Overhead and Administrative Costs: 3% of Maintenance and repairs + Labour</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-Distribution and selling costs: 0.5% of Annual Sales Revenue @ 100 Percent Capacity Utilization</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-Research and development costs: 0.5% of Total Capital Investment</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5. </a:t>
          </a:r>
          <a:r>
            <a:rPr lang="en-IN" sz="1000" i="1">
              <a:solidFill>
                <a:sysClr val="windowText" lastClr="000000"/>
              </a:solidFill>
              <a:effectLst/>
              <a:latin typeface="Arial" panose="020B0604020202020204" pitchFamily="34" charset="0"/>
              <a:ea typeface="+mn-ea"/>
              <a:cs typeface="Arial" panose="020B0604020202020204" pitchFamily="34" charset="0"/>
            </a:rPr>
            <a:t>The following standard norms have been considering for ammonium nitrate-</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-Packaging Cost (calculated): 1% of Annual Sales Revenue @ 100 Percent Capacity Utilization </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-Distribution and selling costs: 2% of Annual Sales Revenue @ 100 Percent Capacity Utilization</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100" b="1" i="1">
              <a:solidFill>
                <a:sysClr val="windowText" lastClr="000000"/>
              </a:solidFill>
              <a:effectLst/>
              <a:latin typeface="Arial" panose="020B0604020202020204" pitchFamily="34" charset="0"/>
              <a:ea typeface="+mn-ea"/>
              <a:cs typeface="Arial" panose="020B0604020202020204" pitchFamily="34" charset="0"/>
            </a:rPr>
            <a:t>Cashflow Worksheet</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1. </a:t>
          </a:r>
          <a:r>
            <a:rPr lang="en-IN" sz="1000" i="1">
              <a:solidFill>
                <a:sysClr val="windowText" lastClr="000000"/>
              </a:solidFill>
              <a:effectLst/>
              <a:latin typeface="Arial" panose="020B0604020202020204" pitchFamily="34" charset="0"/>
              <a:ea typeface="+mn-ea"/>
              <a:cs typeface="Arial" panose="020B0604020202020204" pitchFamily="34" charset="0"/>
            </a:rPr>
            <a:t>Expenditure of capital investment will be in the following phase-</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-10% of Total Capital Investment: 2023</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-40% of Total Capital Investment: 2024</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-50% of Total Capital Investment: 2025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2. </a:t>
          </a:r>
          <a:r>
            <a:rPr lang="en-IN" sz="1000" i="1">
              <a:solidFill>
                <a:sysClr val="windowText" lastClr="000000"/>
              </a:solidFill>
              <a:effectLst/>
              <a:latin typeface="Arial" panose="020B0604020202020204" pitchFamily="34" charset="0"/>
              <a:ea typeface="+mn-ea"/>
              <a:cs typeface="Arial" panose="020B0604020202020204" pitchFamily="34" charset="0"/>
            </a:rPr>
            <a:t>Operating Revenue is bifurcated between-</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- 21400 tons weak nitric acid merchant sale.</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-100000 tons ammonium nitrate merchant sale.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3</a:t>
          </a:r>
          <a:r>
            <a:rPr lang="en-IN" sz="1000" b="0" i="1">
              <a:solidFill>
                <a:sysClr val="windowText" lastClr="000000"/>
              </a:solidFill>
              <a:effectLst/>
              <a:latin typeface="Arial" panose="020B0604020202020204" pitchFamily="34" charset="0"/>
              <a:ea typeface="+mn-ea"/>
              <a:cs typeface="Arial" panose="020B0604020202020204" pitchFamily="34" charset="0"/>
            </a:rPr>
            <a:t>.</a:t>
          </a:r>
          <a:r>
            <a:rPr lang="en-IN" sz="1000" i="1">
              <a:solidFill>
                <a:sysClr val="windowText" lastClr="000000"/>
              </a:solidFill>
              <a:effectLst/>
              <a:latin typeface="Arial" panose="020B0604020202020204" pitchFamily="34" charset="0"/>
              <a:ea typeface="+mn-ea"/>
              <a:cs typeface="Arial" panose="020B0604020202020204" pitchFamily="34" charset="0"/>
            </a:rPr>
            <a:t> Operating</a:t>
          </a:r>
          <a:r>
            <a:rPr lang="en-IN" sz="1000" i="1" baseline="0">
              <a:solidFill>
                <a:sysClr val="windowText" lastClr="000000"/>
              </a:solidFill>
              <a:effectLst/>
              <a:latin typeface="Arial" panose="020B0604020202020204" pitchFamily="34" charset="0"/>
              <a:ea typeface="+mn-ea"/>
              <a:cs typeface="Arial" panose="020B0604020202020204" pitchFamily="34" charset="0"/>
            </a:rPr>
            <a:t> revenue for each year is calculated by multiplying the capacity utilization for</a:t>
          </a:r>
          <a:r>
            <a:rPr lang="en-IN" sz="1000" i="1">
              <a:solidFill>
                <a:sysClr val="windowText" lastClr="000000"/>
              </a:solidFill>
              <a:effectLst/>
              <a:latin typeface="Arial" panose="020B0604020202020204" pitchFamily="34" charset="0"/>
              <a:ea typeface="+mn-ea"/>
              <a:cs typeface="Arial" panose="020B0604020202020204" pitchFamily="34" charset="0"/>
            </a:rPr>
            <a:t> </a:t>
          </a:r>
          <a:r>
            <a:rPr lang="en-IN" sz="1000" i="1" baseline="0">
              <a:solidFill>
                <a:sysClr val="windowText" lastClr="000000"/>
              </a:solidFill>
              <a:effectLst/>
              <a:latin typeface="Arial" panose="020B0604020202020204" pitchFamily="34" charset="0"/>
              <a:ea typeface="+mn-ea"/>
              <a:cs typeface="Arial" panose="020B0604020202020204" pitchFamily="34" charset="0"/>
            </a:rPr>
            <a:t>respective year</a:t>
          </a:r>
          <a:r>
            <a:rPr lang="en-IN" sz="1000" i="1">
              <a:solidFill>
                <a:sysClr val="windowText" lastClr="000000"/>
              </a:solidFill>
              <a:effectLst/>
              <a:latin typeface="Arial" panose="020B0604020202020204" pitchFamily="34" charset="0"/>
              <a:ea typeface="+mn-ea"/>
              <a:cs typeface="Arial" panose="020B0604020202020204" pitchFamily="34" charset="0"/>
            </a:rPr>
            <a:t> </a:t>
          </a:r>
          <a:r>
            <a:rPr lang="en-IN" sz="1000" i="1" baseline="0">
              <a:solidFill>
                <a:sysClr val="windowText" lastClr="000000"/>
              </a:solidFill>
              <a:effectLst/>
              <a:latin typeface="Arial" panose="020B0604020202020204" pitchFamily="34" charset="0"/>
              <a:ea typeface="+mn-ea"/>
              <a:cs typeface="Arial" panose="020B0604020202020204" pitchFamily="34" charset="0"/>
            </a:rPr>
            <a:t>to the annual sales revenue @ 100 percent capacity utilization (Linked to "Reference Values" worksheet) considering inflation rate. </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4. </a:t>
          </a:r>
          <a:r>
            <a:rPr lang="en-IN" sz="1000" i="1">
              <a:solidFill>
                <a:sysClr val="windowText" lastClr="000000"/>
              </a:solidFill>
              <a:effectLst/>
              <a:latin typeface="Arial" panose="020B0604020202020204" pitchFamily="34" charset="0"/>
              <a:ea typeface="+mn-ea"/>
              <a:cs typeface="Arial" panose="020B0604020202020204" pitchFamily="34" charset="0"/>
            </a:rPr>
            <a:t>Operations will start in 2026.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5. </a:t>
          </a:r>
          <a:r>
            <a:rPr lang="en-IN" sz="1000" i="1">
              <a:solidFill>
                <a:sysClr val="windowText" lastClr="000000"/>
              </a:solidFill>
              <a:effectLst/>
              <a:latin typeface="Arial" panose="020B0604020202020204" pitchFamily="34" charset="0"/>
              <a:ea typeface="+mn-ea"/>
              <a:cs typeface="Arial" panose="020B0604020202020204" pitchFamily="34" charset="0"/>
            </a:rPr>
            <a:t>Cash flow has been calculated till 2044.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6. </a:t>
          </a:r>
          <a:r>
            <a:rPr lang="en-IN" sz="1000" i="1">
              <a:solidFill>
                <a:sysClr val="windowText" lastClr="000000"/>
              </a:solidFill>
              <a:effectLst/>
              <a:latin typeface="Arial" panose="020B0604020202020204" pitchFamily="34" charset="0"/>
              <a:ea typeface="+mn-ea"/>
              <a:cs typeface="Arial" panose="020B0604020202020204" pitchFamily="34" charset="0"/>
            </a:rPr>
            <a:t>Total operating cost is calculated based on capacity utilization at that period.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7. </a:t>
          </a:r>
          <a:r>
            <a:rPr lang="en-IN" sz="1000" i="1">
              <a:solidFill>
                <a:sysClr val="windowText" lastClr="000000"/>
              </a:solidFill>
              <a:effectLst/>
              <a:latin typeface="Arial" panose="020B0604020202020204" pitchFamily="34" charset="0"/>
              <a:ea typeface="+mn-ea"/>
              <a:cs typeface="Arial" panose="020B0604020202020204" pitchFamily="34" charset="0"/>
            </a:rPr>
            <a:t>Inflation rate has been considered as 4.5%.															</a:t>
          </a:r>
        </a:p>
        <a:p>
          <a:pPr algn="l"/>
          <a:r>
            <a:rPr lang="en-IN" sz="1100" b="1" i="1">
              <a:solidFill>
                <a:sysClr val="windowText" lastClr="000000"/>
              </a:solidFill>
              <a:effectLst/>
              <a:latin typeface="Arial" panose="020B0604020202020204" pitchFamily="34" charset="0"/>
              <a:ea typeface="+mn-ea"/>
              <a:cs typeface="Arial" panose="020B0604020202020204" pitchFamily="34" charset="0"/>
            </a:rPr>
            <a:t>Profitability Worksheet</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1. </a:t>
          </a:r>
          <a:r>
            <a:rPr lang="en-IN" sz="1000" i="1">
              <a:solidFill>
                <a:sysClr val="windowText" lastClr="000000"/>
              </a:solidFill>
              <a:effectLst/>
              <a:latin typeface="Arial" panose="020B0604020202020204" pitchFamily="34" charset="0"/>
              <a:ea typeface="+mn-ea"/>
              <a:cs typeface="Arial" panose="020B0604020202020204" pitchFamily="34" charset="0"/>
            </a:rPr>
            <a:t>Total cost of sales, depreciation, and income tax provision has been deducted from the gross revenue to calculate Profit After Tax (PAT) for respective years.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2. </a:t>
          </a:r>
          <a:r>
            <a:rPr lang="en-IN" sz="1000" i="1">
              <a:solidFill>
                <a:sysClr val="windowText" lastClr="000000"/>
              </a:solidFill>
              <a:effectLst/>
              <a:latin typeface="Arial" panose="020B0604020202020204" pitchFamily="34" charset="0"/>
              <a:ea typeface="+mn-ea"/>
              <a:cs typeface="Arial" panose="020B0604020202020204" pitchFamily="34" charset="0"/>
            </a:rPr>
            <a:t>Income tax rate has been taken as 25%.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3. </a:t>
          </a:r>
          <a:r>
            <a:rPr lang="en-IN" sz="1000" i="1">
              <a:solidFill>
                <a:sysClr val="windowText" lastClr="000000"/>
              </a:solidFill>
              <a:effectLst/>
              <a:latin typeface="Arial" panose="020B0604020202020204" pitchFamily="34" charset="0"/>
              <a:ea typeface="+mn-ea"/>
              <a:cs typeface="Arial" panose="020B0604020202020204" pitchFamily="34" charset="0"/>
            </a:rPr>
            <a:t>Each year 10% depreciation on total capital investment has been considered.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4. </a:t>
          </a:r>
          <a:r>
            <a:rPr lang="en-IN" sz="1000" i="1">
              <a:solidFill>
                <a:sysClr val="windowText" lastClr="000000"/>
              </a:solidFill>
              <a:effectLst/>
              <a:latin typeface="Arial" panose="020B0604020202020204" pitchFamily="34" charset="0"/>
              <a:ea typeface="+mn-ea"/>
              <a:cs typeface="Arial" panose="020B0604020202020204" pitchFamily="34" charset="0"/>
            </a:rPr>
            <a:t>Sensitivity analysis of profitability has been performed on the 4th year of operation as the plant operations are estimated to be more aware of the market behaviour in 4 years of operation.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5. </a:t>
          </a:r>
          <a:r>
            <a:rPr lang="en-IN" sz="1000" i="1">
              <a:solidFill>
                <a:sysClr val="windowText" lastClr="000000"/>
              </a:solidFill>
              <a:effectLst/>
              <a:latin typeface="Arial" panose="020B0604020202020204" pitchFamily="34" charset="0"/>
              <a:ea typeface="+mn-ea"/>
              <a:cs typeface="Arial" panose="020B0604020202020204" pitchFamily="34" charset="0"/>
            </a:rPr>
            <a:t>Four following cases are taken into consideration for sensitivity analysis-</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-Selling Price decreases by 11%, Raw Material Price remains same</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-Increase in Raw Material price by 16.5% with no change in selling price</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-Increase in raw material price by 9% with a decrease in selling price by 5%</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-Increase in Cost of Production by 14.5% with no change in selling price</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100" b="1" i="1">
              <a:solidFill>
                <a:sysClr val="windowText" lastClr="000000"/>
              </a:solidFill>
              <a:effectLst/>
              <a:latin typeface="Arial" panose="020B0604020202020204" pitchFamily="34" charset="0"/>
              <a:ea typeface="+mn-ea"/>
              <a:cs typeface="Arial" panose="020B0604020202020204" pitchFamily="34" charset="0"/>
            </a:rPr>
            <a:t>Breakeven Point Worksheet</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1. </a:t>
          </a:r>
          <a:r>
            <a:rPr lang="en-IN" sz="1000" i="1">
              <a:solidFill>
                <a:sysClr val="windowText" lastClr="000000"/>
              </a:solidFill>
              <a:effectLst/>
              <a:latin typeface="Arial" panose="020B0604020202020204" pitchFamily="34" charset="0"/>
              <a:ea typeface="+mn-ea"/>
              <a:cs typeface="Arial" panose="020B0604020202020204" pitchFamily="34" charset="0"/>
            </a:rPr>
            <a:t>The breakeven point is the sales volume at which a company earns exactly no money. At this point, a company can cover its fixed expenses.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2. </a:t>
          </a:r>
          <a:r>
            <a:rPr lang="en-IN" sz="1000" i="1">
              <a:solidFill>
                <a:sysClr val="windowText" lastClr="000000"/>
              </a:solidFill>
              <a:effectLst/>
              <a:latin typeface="Arial" panose="020B0604020202020204" pitchFamily="34" charset="0"/>
              <a:ea typeface="+mn-ea"/>
              <a:cs typeface="Arial" panose="020B0604020202020204" pitchFamily="34" charset="0"/>
            </a:rPr>
            <a:t>It has been derived on the 4th year of operation due to the same reason applied to the "Profitability" worksheet.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3. </a:t>
          </a:r>
          <a:r>
            <a:rPr lang="en-IN" sz="1000" i="1">
              <a:solidFill>
                <a:sysClr val="windowText" lastClr="000000"/>
              </a:solidFill>
              <a:effectLst/>
              <a:latin typeface="Arial" panose="020B0604020202020204" pitchFamily="34" charset="0"/>
              <a:ea typeface="+mn-ea"/>
              <a:cs typeface="Arial" panose="020B0604020202020204" pitchFamily="34" charset="0"/>
            </a:rPr>
            <a:t>Break-even point here implies the optimum capacity utilization at which Kribhco can cover its fixed expenses.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4. </a:t>
          </a:r>
          <a:r>
            <a:rPr lang="en-IN" sz="1000" i="1">
              <a:solidFill>
                <a:sysClr val="windowText" lastClr="000000"/>
              </a:solidFill>
              <a:effectLst/>
              <a:latin typeface="Arial" panose="020B0604020202020204" pitchFamily="34" charset="0"/>
              <a:ea typeface="+mn-ea"/>
              <a:cs typeface="Arial" panose="020B0604020202020204" pitchFamily="34" charset="0"/>
            </a:rPr>
            <a:t>Sensitivity analysis of breakeven point has been performed on 4th year of operation as the plant operations is estimated to be more aware about the market behaviour in 4 years of operation.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5. </a:t>
          </a:r>
          <a:r>
            <a:rPr lang="en-IN" sz="1000" i="1">
              <a:solidFill>
                <a:sysClr val="windowText" lastClr="000000"/>
              </a:solidFill>
              <a:effectLst/>
              <a:latin typeface="Arial" panose="020B0604020202020204" pitchFamily="34" charset="0"/>
              <a:ea typeface="+mn-ea"/>
              <a:cs typeface="Arial" panose="020B0604020202020204" pitchFamily="34" charset="0"/>
            </a:rPr>
            <a:t>Four following cases is taken into consideration for sensitivity analysis-</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-Selling Price decreases by 11%, Raw Material Price remains same</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-Increase in Raw Material price by 16.5% with no change in selling price</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-Increase in raw material price by 9% with decrease in selling price by 5%</a:t>
          </a:r>
        </a:p>
        <a:p>
          <a:pPr algn="l"/>
          <a:r>
            <a:rPr lang="en-IN" sz="1000" i="1">
              <a:solidFill>
                <a:sysClr val="windowText" lastClr="000000"/>
              </a:solidFill>
              <a:effectLst/>
              <a:latin typeface="Arial" panose="020B0604020202020204" pitchFamily="34" charset="0"/>
              <a:ea typeface="+mn-ea"/>
              <a:cs typeface="Arial" panose="020B0604020202020204" pitchFamily="34" charset="0"/>
            </a:rPr>
            <a:t>       -Increase in Cost of Production by 14.5% with no change in selling price															</a:t>
          </a:r>
        </a:p>
        <a:p>
          <a:pPr algn="l"/>
          <a:r>
            <a:rPr lang="en-IN" sz="1100" b="1" i="1">
              <a:solidFill>
                <a:sysClr val="windowText" lastClr="000000"/>
              </a:solidFill>
              <a:effectLst/>
              <a:latin typeface="Arial" panose="020B0604020202020204" pitchFamily="34" charset="0"/>
              <a:ea typeface="+mn-ea"/>
              <a:cs typeface="Arial" panose="020B0604020202020204" pitchFamily="34" charset="0"/>
            </a:rPr>
            <a:t>DSCR (Debt Service Coverage Ratio) Worksheet</a:t>
          </a:r>
          <a:r>
            <a:rPr lang="en-IN" sz="1000" i="1">
              <a:solidFill>
                <a:sysClr val="windowText" lastClr="000000"/>
              </a:solidFill>
              <a:effectLst/>
              <a:latin typeface="Arial" panose="020B0604020202020204" pitchFamily="34" charset="0"/>
              <a:ea typeface="+mn-ea"/>
              <a:cs typeface="Arial" panose="020B0604020202020204" pitchFamily="34" charset="0"/>
            </a:rPr>
            <a:t>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1. </a:t>
          </a:r>
          <a:r>
            <a:rPr lang="en-IN" sz="1000" i="1">
              <a:solidFill>
                <a:sysClr val="windowText" lastClr="000000"/>
              </a:solidFill>
              <a:effectLst/>
              <a:latin typeface="Arial" panose="020B0604020202020204" pitchFamily="34" charset="0"/>
              <a:ea typeface="+mn-ea"/>
              <a:cs typeface="Arial" panose="020B0604020202020204" pitchFamily="34" charset="0"/>
            </a:rPr>
            <a:t>DSCR reveals a company's creditworthiness and financial prospects. The debt service coverage ratio (DSCR) is a key measure of a company's ability to repay its loans, take on new financing and make dividend payments.				</a:t>
          </a:r>
        </a:p>
        <a:p>
          <a:pPr algn="l"/>
          <a:r>
            <a:rPr lang="en-IN" sz="1000" b="1" i="1">
              <a:solidFill>
                <a:sysClr val="windowText" lastClr="000000"/>
              </a:solidFill>
              <a:effectLst/>
              <a:latin typeface="Arial" panose="020B0604020202020204" pitchFamily="34" charset="0"/>
              <a:ea typeface="+mn-ea"/>
              <a:cs typeface="Arial" panose="020B0604020202020204" pitchFamily="34" charset="0"/>
            </a:rPr>
            <a:t>2. </a:t>
          </a:r>
          <a:r>
            <a:rPr lang="en-IN" sz="1000" i="1">
              <a:solidFill>
                <a:sysClr val="windowText" lastClr="000000"/>
              </a:solidFill>
              <a:effectLst/>
              <a:latin typeface="Arial" panose="020B0604020202020204" pitchFamily="34" charset="0"/>
              <a:ea typeface="+mn-ea"/>
              <a:cs typeface="Arial" panose="020B0604020202020204" pitchFamily="34" charset="0"/>
            </a:rPr>
            <a:t>DSCR is calculated for 8 years.</a:t>
          </a:r>
          <a:endParaRPr lang="en-IN" sz="1000" i="1">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0</xdr:col>
      <xdr:colOff>76200</xdr:colOff>
      <xdr:row>44</xdr:row>
      <xdr:rowOff>53462</xdr:rowOff>
    </xdr:to>
    <xdr:sp macro="" textlink="">
      <xdr:nvSpPr>
        <xdr:cNvPr id="2" name="Text Box 2">
          <a:extLst>
            <a:ext uri="{FF2B5EF4-FFF2-40B4-BE49-F238E27FC236}">
              <a16:creationId xmlns:a16="http://schemas.microsoft.com/office/drawing/2014/main" id="{E27556FF-E1B5-42B6-A868-0CCA5FDC4A25}"/>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3" name="Text Box 3">
          <a:extLst>
            <a:ext uri="{FF2B5EF4-FFF2-40B4-BE49-F238E27FC236}">
              <a16:creationId xmlns:a16="http://schemas.microsoft.com/office/drawing/2014/main" id="{BDD4C855-0DD4-44C7-B089-93F74FDE4448}"/>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4" name="Text Box 4">
          <a:extLst>
            <a:ext uri="{FF2B5EF4-FFF2-40B4-BE49-F238E27FC236}">
              <a16:creationId xmlns:a16="http://schemas.microsoft.com/office/drawing/2014/main" id="{8FFBCBCC-4F67-4AEF-AE42-62AB60E0A2E0}"/>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5" name="Text Box 5">
          <a:extLst>
            <a:ext uri="{FF2B5EF4-FFF2-40B4-BE49-F238E27FC236}">
              <a16:creationId xmlns:a16="http://schemas.microsoft.com/office/drawing/2014/main" id="{02E327DF-27DF-4928-B892-2B03E9D27CC4}"/>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6" name="Text Box 6">
          <a:extLst>
            <a:ext uri="{FF2B5EF4-FFF2-40B4-BE49-F238E27FC236}">
              <a16:creationId xmlns:a16="http://schemas.microsoft.com/office/drawing/2014/main" id="{4A11F03D-2531-498D-8E92-E1C22F716249}"/>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7" name="Text Box 7">
          <a:extLst>
            <a:ext uri="{FF2B5EF4-FFF2-40B4-BE49-F238E27FC236}">
              <a16:creationId xmlns:a16="http://schemas.microsoft.com/office/drawing/2014/main" id="{75BB197B-FDCA-4CA7-831B-C5DBAE85BB1A}"/>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8" name="Text Box 8">
          <a:extLst>
            <a:ext uri="{FF2B5EF4-FFF2-40B4-BE49-F238E27FC236}">
              <a16:creationId xmlns:a16="http://schemas.microsoft.com/office/drawing/2014/main" id="{50A1E45D-1794-4B80-8BAC-9FD47369D2AC}"/>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9" name="Text Box 9">
          <a:extLst>
            <a:ext uri="{FF2B5EF4-FFF2-40B4-BE49-F238E27FC236}">
              <a16:creationId xmlns:a16="http://schemas.microsoft.com/office/drawing/2014/main" id="{28BCDC55-0EE0-4CCC-A98F-5FC57FCA6A27}"/>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0" name="Text Box 10">
          <a:extLst>
            <a:ext uri="{FF2B5EF4-FFF2-40B4-BE49-F238E27FC236}">
              <a16:creationId xmlns:a16="http://schemas.microsoft.com/office/drawing/2014/main" id="{91956B02-0E8C-4CB6-99AC-CAA800D0E85E}"/>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1" name="Text Box 11">
          <a:extLst>
            <a:ext uri="{FF2B5EF4-FFF2-40B4-BE49-F238E27FC236}">
              <a16:creationId xmlns:a16="http://schemas.microsoft.com/office/drawing/2014/main" id="{926FF256-DA4F-4374-8F56-DB7471CAB4C6}"/>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2" name="Text Box 12">
          <a:extLst>
            <a:ext uri="{FF2B5EF4-FFF2-40B4-BE49-F238E27FC236}">
              <a16:creationId xmlns:a16="http://schemas.microsoft.com/office/drawing/2014/main" id="{53E2A5F4-3B0F-42AC-A2F6-9708E627145C}"/>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3" name="Text Box 13">
          <a:extLst>
            <a:ext uri="{FF2B5EF4-FFF2-40B4-BE49-F238E27FC236}">
              <a16:creationId xmlns:a16="http://schemas.microsoft.com/office/drawing/2014/main" id="{55745AB3-8EF5-4AC2-BFB6-D7C3C62EF9C6}"/>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4" name="Text Box 14">
          <a:extLst>
            <a:ext uri="{FF2B5EF4-FFF2-40B4-BE49-F238E27FC236}">
              <a16:creationId xmlns:a16="http://schemas.microsoft.com/office/drawing/2014/main" id="{2E53BB42-6817-423B-9F95-9256D04034D9}"/>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5" name="Text Box 15">
          <a:extLst>
            <a:ext uri="{FF2B5EF4-FFF2-40B4-BE49-F238E27FC236}">
              <a16:creationId xmlns:a16="http://schemas.microsoft.com/office/drawing/2014/main" id="{8E046B95-E483-4300-8E43-983C5C8F1F4A}"/>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6" name="Text Box 16">
          <a:extLst>
            <a:ext uri="{FF2B5EF4-FFF2-40B4-BE49-F238E27FC236}">
              <a16:creationId xmlns:a16="http://schemas.microsoft.com/office/drawing/2014/main" id="{629B7E3A-2F65-48C2-AC80-24EB7D50656B}"/>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7" name="Text Box 17">
          <a:extLst>
            <a:ext uri="{FF2B5EF4-FFF2-40B4-BE49-F238E27FC236}">
              <a16:creationId xmlns:a16="http://schemas.microsoft.com/office/drawing/2014/main" id="{E664C873-A8B5-4DC9-8F91-AE0E3ED2237D}"/>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8" name="Text Box 18">
          <a:extLst>
            <a:ext uri="{FF2B5EF4-FFF2-40B4-BE49-F238E27FC236}">
              <a16:creationId xmlns:a16="http://schemas.microsoft.com/office/drawing/2014/main" id="{2E5187FD-3B5D-4764-A777-BD90E78BAEE2}"/>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19" name="Text Box 19">
          <a:extLst>
            <a:ext uri="{FF2B5EF4-FFF2-40B4-BE49-F238E27FC236}">
              <a16:creationId xmlns:a16="http://schemas.microsoft.com/office/drawing/2014/main" id="{19621D90-AB99-4B51-89B0-7D809AEBD3C7}"/>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0" name="Text Box 20">
          <a:extLst>
            <a:ext uri="{FF2B5EF4-FFF2-40B4-BE49-F238E27FC236}">
              <a16:creationId xmlns:a16="http://schemas.microsoft.com/office/drawing/2014/main" id="{8A330429-0FFD-497A-B2ED-DB283DEF25D9}"/>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1" name="Text Box 21">
          <a:extLst>
            <a:ext uri="{FF2B5EF4-FFF2-40B4-BE49-F238E27FC236}">
              <a16:creationId xmlns:a16="http://schemas.microsoft.com/office/drawing/2014/main" id="{0E58073B-93D2-4BF7-BC71-E3DFF515481B}"/>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2" name="Text Box 22">
          <a:extLst>
            <a:ext uri="{FF2B5EF4-FFF2-40B4-BE49-F238E27FC236}">
              <a16:creationId xmlns:a16="http://schemas.microsoft.com/office/drawing/2014/main" id="{91FC5C5C-C383-4928-A443-A0643FB43CEA}"/>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3" name="Text Box 23">
          <a:extLst>
            <a:ext uri="{FF2B5EF4-FFF2-40B4-BE49-F238E27FC236}">
              <a16:creationId xmlns:a16="http://schemas.microsoft.com/office/drawing/2014/main" id="{BD125740-06F4-41E0-9BDD-AED313EB095C}"/>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4" name="Text Box 24">
          <a:extLst>
            <a:ext uri="{FF2B5EF4-FFF2-40B4-BE49-F238E27FC236}">
              <a16:creationId xmlns:a16="http://schemas.microsoft.com/office/drawing/2014/main" id="{8BB9229E-42C2-4C1C-89E7-062A989A6C20}"/>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5" name="Text Box 25">
          <a:extLst>
            <a:ext uri="{FF2B5EF4-FFF2-40B4-BE49-F238E27FC236}">
              <a16:creationId xmlns:a16="http://schemas.microsoft.com/office/drawing/2014/main" id="{55BF80CD-9BA4-4BF4-9092-855DD83BB477}"/>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6" name="Text Box 26">
          <a:extLst>
            <a:ext uri="{FF2B5EF4-FFF2-40B4-BE49-F238E27FC236}">
              <a16:creationId xmlns:a16="http://schemas.microsoft.com/office/drawing/2014/main" id="{186541F3-18EF-4B49-95AA-2F0347C34B6D}"/>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7" name="Text Box 27">
          <a:extLst>
            <a:ext uri="{FF2B5EF4-FFF2-40B4-BE49-F238E27FC236}">
              <a16:creationId xmlns:a16="http://schemas.microsoft.com/office/drawing/2014/main" id="{A308772B-2B41-4C95-807F-C0BA10314794}"/>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8" name="Text Box 28">
          <a:extLst>
            <a:ext uri="{FF2B5EF4-FFF2-40B4-BE49-F238E27FC236}">
              <a16:creationId xmlns:a16="http://schemas.microsoft.com/office/drawing/2014/main" id="{AED7B3D5-2CA0-49A6-A1F0-7B3456997BE5}"/>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29" name="Text Box 29">
          <a:extLst>
            <a:ext uri="{FF2B5EF4-FFF2-40B4-BE49-F238E27FC236}">
              <a16:creationId xmlns:a16="http://schemas.microsoft.com/office/drawing/2014/main" id="{D7D70BF8-9A6C-40BF-9BD7-8C69F786754F}"/>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43</xdr:row>
      <xdr:rowOff>0</xdr:rowOff>
    </xdr:from>
    <xdr:to>
      <xdr:col>0</xdr:col>
      <xdr:colOff>76200</xdr:colOff>
      <xdr:row>44</xdr:row>
      <xdr:rowOff>53462</xdr:rowOff>
    </xdr:to>
    <xdr:sp macro="" textlink="">
      <xdr:nvSpPr>
        <xdr:cNvPr id="30" name="Text Box 30">
          <a:extLst>
            <a:ext uri="{FF2B5EF4-FFF2-40B4-BE49-F238E27FC236}">
              <a16:creationId xmlns:a16="http://schemas.microsoft.com/office/drawing/2014/main" id="{80180E1B-3722-48C2-9843-DF78DB0AEBF9}"/>
            </a:ext>
          </a:extLst>
        </xdr:cNvPr>
        <xdr:cNvSpPr txBox="1">
          <a:spLocks noChangeArrowheads="1"/>
        </xdr:cNvSpPr>
      </xdr:nvSpPr>
      <xdr:spPr bwMode="auto">
        <a:xfrm>
          <a:off x="0" y="1419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oneCellAnchor>
    <xdr:from>
      <xdr:col>0</xdr:col>
      <xdr:colOff>0</xdr:colOff>
      <xdr:row>43</xdr:row>
      <xdr:rowOff>0</xdr:rowOff>
    </xdr:from>
    <xdr:ext cx="76200" cy="257175"/>
    <xdr:sp macro="" textlink="">
      <xdr:nvSpPr>
        <xdr:cNvPr id="31" name="Text Box 2">
          <a:extLst>
            <a:ext uri="{FF2B5EF4-FFF2-40B4-BE49-F238E27FC236}">
              <a16:creationId xmlns:a16="http://schemas.microsoft.com/office/drawing/2014/main" id="{89C98622-A026-4674-AD24-683C85C80818}"/>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32" name="Text Box 3">
          <a:extLst>
            <a:ext uri="{FF2B5EF4-FFF2-40B4-BE49-F238E27FC236}">
              <a16:creationId xmlns:a16="http://schemas.microsoft.com/office/drawing/2014/main" id="{9290817D-AE64-48C2-84EA-166B1E2A8210}"/>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33" name="Text Box 4">
          <a:extLst>
            <a:ext uri="{FF2B5EF4-FFF2-40B4-BE49-F238E27FC236}">
              <a16:creationId xmlns:a16="http://schemas.microsoft.com/office/drawing/2014/main" id="{FB93B9F5-38F3-48A4-B6B5-70E4EAAFA572}"/>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34" name="Text Box 5">
          <a:extLst>
            <a:ext uri="{FF2B5EF4-FFF2-40B4-BE49-F238E27FC236}">
              <a16:creationId xmlns:a16="http://schemas.microsoft.com/office/drawing/2014/main" id="{758DA783-ACFC-4F21-A4BF-C5E1F4D03B99}"/>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35" name="Text Box 6">
          <a:extLst>
            <a:ext uri="{FF2B5EF4-FFF2-40B4-BE49-F238E27FC236}">
              <a16:creationId xmlns:a16="http://schemas.microsoft.com/office/drawing/2014/main" id="{68666C0A-3813-4622-B90F-C3B6A5377E56}"/>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36" name="Text Box 7">
          <a:extLst>
            <a:ext uri="{FF2B5EF4-FFF2-40B4-BE49-F238E27FC236}">
              <a16:creationId xmlns:a16="http://schemas.microsoft.com/office/drawing/2014/main" id="{3E1D4EF1-1379-4A38-9DB1-1B7A3A9058AE}"/>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37" name="Text Box 8">
          <a:extLst>
            <a:ext uri="{FF2B5EF4-FFF2-40B4-BE49-F238E27FC236}">
              <a16:creationId xmlns:a16="http://schemas.microsoft.com/office/drawing/2014/main" id="{F34AA5C7-7A96-435F-AFFE-BBF4560AF6E6}"/>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38" name="Text Box 9">
          <a:extLst>
            <a:ext uri="{FF2B5EF4-FFF2-40B4-BE49-F238E27FC236}">
              <a16:creationId xmlns:a16="http://schemas.microsoft.com/office/drawing/2014/main" id="{DFA9B4C1-6FED-49C4-8009-736C2CADB972}"/>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39" name="Text Box 10">
          <a:extLst>
            <a:ext uri="{FF2B5EF4-FFF2-40B4-BE49-F238E27FC236}">
              <a16:creationId xmlns:a16="http://schemas.microsoft.com/office/drawing/2014/main" id="{7E44DDB6-8D7C-447C-9282-C00AD3DBF06B}"/>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0" name="Text Box 11">
          <a:extLst>
            <a:ext uri="{FF2B5EF4-FFF2-40B4-BE49-F238E27FC236}">
              <a16:creationId xmlns:a16="http://schemas.microsoft.com/office/drawing/2014/main" id="{9EC0E2A2-DC5D-47AE-844E-EC49B06F70FB}"/>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1" name="Text Box 12">
          <a:extLst>
            <a:ext uri="{FF2B5EF4-FFF2-40B4-BE49-F238E27FC236}">
              <a16:creationId xmlns:a16="http://schemas.microsoft.com/office/drawing/2014/main" id="{11600A68-A6B9-4BA6-B23F-904FE98F7B7A}"/>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2" name="Text Box 13">
          <a:extLst>
            <a:ext uri="{FF2B5EF4-FFF2-40B4-BE49-F238E27FC236}">
              <a16:creationId xmlns:a16="http://schemas.microsoft.com/office/drawing/2014/main" id="{D95C8A5B-EBC1-43BE-8A36-1AE8A7E24261}"/>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3" name="Text Box 14">
          <a:extLst>
            <a:ext uri="{FF2B5EF4-FFF2-40B4-BE49-F238E27FC236}">
              <a16:creationId xmlns:a16="http://schemas.microsoft.com/office/drawing/2014/main" id="{82F18478-1FDF-4E2E-AF63-193D4804F2C0}"/>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4" name="Text Box 15">
          <a:extLst>
            <a:ext uri="{FF2B5EF4-FFF2-40B4-BE49-F238E27FC236}">
              <a16:creationId xmlns:a16="http://schemas.microsoft.com/office/drawing/2014/main" id="{B7023B34-B122-4AD1-AF47-A8F992C79F78}"/>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5" name="Text Box 16">
          <a:extLst>
            <a:ext uri="{FF2B5EF4-FFF2-40B4-BE49-F238E27FC236}">
              <a16:creationId xmlns:a16="http://schemas.microsoft.com/office/drawing/2014/main" id="{F62BFD53-3917-4CD3-A833-1BB7EA7F5E81}"/>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6" name="Text Box 17">
          <a:extLst>
            <a:ext uri="{FF2B5EF4-FFF2-40B4-BE49-F238E27FC236}">
              <a16:creationId xmlns:a16="http://schemas.microsoft.com/office/drawing/2014/main" id="{15706842-C746-4DE3-9CBA-BAD3B41D53BE}"/>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7" name="Text Box 18">
          <a:extLst>
            <a:ext uri="{FF2B5EF4-FFF2-40B4-BE49-F238E27FC236}">
              <a16:creationId xmlns:a16="http://schemas.microsoft.com/office/drawing/2014/main" id="{9C3DB1E2-FAF0-4C40-9389-5340F19AF88C}"/>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8" name="Text Box 19">
          <a:extLst>
            <a:ext uri="{FF2B5EF4-FFF2-40B4-BE49-F238E27FC236}">
              <a16:creationId xmlns:a16="http://schemas.microsoft.com/office/drawing/2014/main" id="{185A4A08-041B-4F80-89B0-D6FA153D56FD}"/>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49" name="Text Box 20">
          <a:extLst>
            <a:ext uri="{FF2B5EF4-FFF2-40B4-BE49-F238E27FC236}">
              <a16:creationId xmlns:a16="http://schemas.microsoft.com/office/drawing/2014/main" id="{0BBDB086-3237-4078-8E36-54271032C8E3}"/>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0" name="Text Box 21">
          <a:extLst>
            <a:ext uri="{FF2B5EF4-FFF2-40B4-BE49-F238E27FC236}">
              <a16:creationId xmlns:a16="http://schemas.microsoft.com/office/drawing/2014/main" id="{6399FA4F-1182-458D-A17C-1ABDD6A0E4A7}"/>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1" name="Text Box 22">
          <a:extLst>
            <a:ext uri="{FF2B5EF4-FFF2-40B4-BE49-F238E27FC236}">
              <a16:creationId xmlns:a16="http://schemas.microsoft.com/office/drawing/2014/main" id="{F22E6C54-3A1E-4315-8A80-D01D8A44BAF7}"/>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2" name="Text Box 23">
          <a:extLst>
            <a:ext uri="{FF2B5EF4-FFF2-40B4-BE49-F238E27FC236}">
              <a16:creationId xmlns:a16="http://schemas.microsoft.com/office/drawing/2014/main" id="{6E37EF44-448D-4C7B-9C70-9CBF6414A52B}"/>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3" name="Text Box 24">
          <a:extLst>
            <a:ext uri="{FF2B5EF4-FFF2-40B4-BE49-F238E27FC236}">
              <a16:creationId xmlns:a16="http://schemas.microsoft.com/office/drawing/2014/main" id="{C0B5C9EB-7AD2-42AB-A8E6-0E7B6A4F8C37}"/>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4" name="Text Box 25">
          <a:extLst>
            <a:ext uri="{FF2B5EF4-FFF2-40B4-BE49-F238E27FC236}">
              <a16:creationId xmlns:a16="http://schemas.microsoft.com/office/drawing/2014/main" id="{B993AE7A-509A-4D63-AA71-380CC6447485}"/>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5" name="Text Box 26">
          <a:extLst>
            <a:ext uri="{FF2B5EF4-FFF2-40B4-BE49-F238E27FC236}">
              <a16:creationId xmlns:a16="http://schemas.microsoft.com/office/drawing/2014/main" id="{29F0FADF-AEA4-460D-8123-599C152037E2}"/>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6" name="Text Box 27">
          <a:extLst>
            <a:ext uri="{FF2B5EF4-FFF2-40B4-BE49-F238E27FC236}">
              <a16:creationId xmlns:a16="http://schemas.microsoft.com/office/drawing/2014/main" id="{509239AF-1DBC-4CE9-8141-FC640111630C}"/>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7" name="Text Box 28">
          <a:extLst>
            <a:ext uri="{FF2B5EF4-FFF2-40B4-BE49-F238E27FC236}">
              <a16:creationId xmlns:a16="http://schemas.microsoft.com/office/drawing/2014/main" id="{D727D6DC-BBB6-40E3-97DA-406331815307}"/>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8" name="Text Box 29">
          <a:extLst>
            <a:ext uri="{FF2B5EF4-FFF2-40B4-BE49-F238E27FC236}">
              <a16:creationId xmlns:a16="http://schemas.microsoft.com/office/drawing/2014/main" id="{78081446-081B-48EF-8E3C-9DF1D91BD7EC}"/>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43</xdr:row>
      <xdr:rowOff>0</xdr:rowOff>
    </xdr:from>
    <xdr:ext cx="76200" cy="257175"/>
    <xdr:sp macro="" textlink="">
      <xdr:nvSpPr>
        <xdr:cNvPr id="59" name="Text Box 30">
          <a:extLst>
            <a:ext uri="{FF2B5EF4-FFF2-40B4-BE49-F238E27FC236}">
              <a16:creationId xmlns:a16="http://schemas.microsoft.com/office/drawing/2014/main" id="{77B3E708-4252-497C-B6A9-E009FBDCE384}"/>
            </a:ext>
          </a:extLst>
        </xdr:cNvPr>
        <xdr:cNvSpPr txBox="1">
          <a:spLocks noChangeArrowheads="1"/>
        </xdr:cNvSpPr>
      </xdr:nvSpPr>
      <xdr:spPr bwMode="auto">
        <a:xfrm>
          <a:off x="0" y="3324225"/>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0</xdr:col>
      <xdr:colOff>76200</xdr:colOff>
      <xdr:row>61</xdr:row>
      <xdr:rowOff>78069</xdr:rowOff>
    </xdr:to>
    <xdr:sp macro="" textlink="">
      <xdr:nvSpPr>
        <xdr:cNvPr id="2" name="Text Box 2">
          <a:extLst>
            <a:ext uri="{FF2B5EF4-FFF2-40B4-BE49-F238E27FC236}">
              <a16:creationId xmlns:a16="http://schemas.microsoft.com/office/drawing/2014/main" id="{8E28EE3C-AD1B-4206-B59E-CA630515779B}"/>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3" name="Text Box 3">
          <a:extLst>
            <a:ext uri="{FF2B5EF4-FFF2-40B4-BE49-F238E27FC236}">
              <a16:creationId xmlns:a16="http://schemas.microsoft.com/office/drawing/2014/main" id="{0DCA7D58-E986-42B6-8EAE-0BBB27CF0342}"/>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4" name="Text Box 4">
          <a:extLst>
            <a:ext uri="{FF2B5EF4-FFF2-40B4-BE49-F238E27FC236}">
              <a16:creationId xmlns:a16="http://schemas.microsoft.com/office/drawing/2014/main" id="{14D7D354-D079-48A9-95E2-B61A3A62FC22}"/>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5" name="Text Box 5">
          <a:extLst>
            <a:ext uri="{FF2B5EF4-FFF2-40B4-BE49-F238E27FC236}">
              <a16:creationId xmlns:a16="http://schemas.microsoft.com/office/drawing/2014/main" id="{EDCE3B89-F749-41EA-B1A8-C6A76BDB72AF}"/>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6" name="Text Box 6">
          <a:extLst>
            <a:ext uri="{FF2B5EF4-FFF2-40B4-BE49-F238E27FC236}">
              <a16:creationId xmlns:a16="http://schemas.microsoft.com/office/drawing/2014/main" id="{4C800956-974B-4901-8592-9D12F613D8A6}"/>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7" name="Text Box 7">
          <a:extLst>
            <a:ext uri="{FF2B5EF4-FFF2-40B4-BE49-F238E27FC236}">
              <a16:creationId xmlns:a16="http://schemas.microsoft.com/office/drawing/2014/main" id="{A4C7AA96-359E-4F45-B16C-F851D059A3FE}"/>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8" name="Text Box 8">
          <a:extLst>
            <a:ext uri="{FF2B5EF4-FFF2-40B4-BE49-F238E27FC236}">
              <a16:creationId xmlns:a16="http://schemas.microsoft.com/office/drawing/2014/main" id="{8A2CA191-9B82-4B00-9712-FA1BB0A6EB85}"/>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9" name="Text Box 9">
          <a:extLst>
            <a:ext uri="{FF2B5EF4-FFF2-40B4-BE49-F238E27FC236}">
              <a16:creationId xmlns:a16="http://schemas.microsoft.com/office/drawing/2014/main" id="{0CC26D2E-53B0-4751-9179-CF07D859EA53}"/>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0" name="Text Box 10">
          <a:extLst>
            <a:ext uri="{FF2B5EF4-FFF2-40B4-BE49-F238E27FC236}">
              <a16:creationId xmlns:a16="http://schemas.microsoft.com/office/drawing/2014/main" id="{9D9DD710-82BB-44FB-8E31-D151680728C4}"/>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1" name="Text Box 11">
          <a:extLst>
            <a:ext uri="{FF2B5EF4-FFF2-40B4-BE49-F238E27FC236}">
              <a16:creationId xmlns:a16="http://schemas.microsoft.com/office/drawing/2014/main" id="{4FE6A711-F3F8-4488-BAFA-20F1F35F4B27}"/>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2" name="Text Box 12">
          <a:extLst>
            <a:ext uri="{FF2B5EF4-FFF2-40B4-BE49-F238E27FC236}">
              <a16:creationId xmlns:a16="http://schemas.microsoft.com/office/drawing/2014/main" id="{808CCF5F-3B6C-4561-93F7-A420330F1D50}"/>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3" name="Text Box 13">
          <a:extLst>
            <a:ext uri="{FF2B5EF4-FFF2-40B4-BE49-F238E27FC236}">
              <a16:creationId xmlns:a16="http://schemas.microsoft.com/office/drawing/2014/main" id="{83468F4B-9628-41AB-A27E-8E8E1C8289B8}"/>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4" name="Text Box 14">
          <a:extLst>
            <a:ext uri="{FF2B5EF4-FFF2-40B4-BE49-F238E27FC236}">
              <a16:creationId xmlns:a16="http://schemas.microsoft.com/office/drawing/2014/main" id="{8DF73723-E2AF-48E3-8E8C-EC97032AFB63}"/>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5" name="Text Box 15">
          <a:extLst>
            <a:ext uri="{FF2B5EF4-FFF2-40B4-BE49-F238E27FC236}">
              <a16:creationId xmlns:a16="http://schemas.microsoft.com/office/drawing/2014/main" id="{1B112AE8-3BE4-408B-A7DD-D6FFDD650B56}"/>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6" name="Text Box 16">
          <a:extLst>
            <a:ext uri="{FF2B5EF4-FFF2-40B4-BE49-F238E27FC236}">
              <a16:creationId xmlns:a16="http://schemas.microsoft.com/office/drawing/2014/main" id="{718BA569-7A37-4364-AEBA-B3166CB6B24D}"/>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7" name="Text Box 17">
          <a:extLst>
            <a:ext uri="{FF2B5EF4-FFF2-40B4-BE49-F238E27FC236}">
              <a16:creationId xmlns:a16="http://schemas.microsoft.com/office/drawing/2014/main" id="{0AFA0B10-61DE-415E-93A7-F3C1EC75E3E1}"/>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8" name="Text Box 18">
          <a:extLst>
            <a:ext uri="{FF2B5EF4-FFF2-40B4-BE49-F238E27FC236}">
              <a16:creationId xmlns:a16="http://schemas.microsoft.com/office/drawing/2014/main" id="{39DF6F78-3D9A-4DA5-9E9B-346F400EB5F8}"/>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19" name="Text Box 19">
          <a:extLst>
            <a:ext uri="{FF2B5EF4-FFF2-40B4-BE49-F238E27FC236}">
              <a16:creationId xmlns:a16="http://schemas.microsoft.com/office/drawing/2014/main" id="{00F3F63B-E14D-4F04-8BBF-435AEF2924D9}"/>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0" name="Text Box 20">
          <a:extLst>
            <a:ext uri="{FF2B5EF4-FFF2-40B4-BE49-F238E27FC236}">
              <a16:creationId xmlns:a16="http://schemas.microsoft.com/office/drawing/2014/main" id="{8F5BA92E-C459-49B4-9B03-FB876442ED96}"/>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1" name="Text Box 21">
          <a:extLst>
            <a:ext uri="{FF2B5EF4-FFF2-40B4-BE49-F238E27FC236}">
              <a16:creationId xmlns:a16="http://schemas.microsoft.com/office/drawing/2014/main" id="{4D63FD6A-A79F-4468-8868-D0D881E570A7}"/>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2" name="Text Box 22">
          <a:extLst>
            <a:ext uri="{FF2B5EF4-FFF2-40B4-BE49-F238E27FC236}">
              <a16:creationId xmlns:a16="http://schemas.microsoft.com/office/drawing/2014/main" id="{CB0FE2CC-56D8-471E-83A9-5893CF4613D8}"/>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3" name="Text Box 23">
          <a:extLst>
            <a:ext uri="{FF2B5EF4-FFF2-40B4-BE49-F238E27FC236}">
              <a16:creationId xmlns:a16="http://schemas.microsoft.com/office/drawing/2014/main" id="{0DD6E8EC-DBBE-4AD9-9404-7BDB7A604C96}"/>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4" name="Text Box 24">
          <a:extLst>
            <a:ext uri="{FF2B5EF4-FFF2-40B4-BE49-F238E27FC236}">
              <a16:creationId xmlns:a16="http://schemas.microsoft.com/office/drawing/2014/main" id="{452D7799-CEDD-4AF9-B90A-19A41EB2AB85}"/>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5" name="Text Box 25">
          <a:extLst>
            <a:ext uri="{FF2B5EF4-FFF2-40B4-BE49-F238E27FC236}">
              <a16:creationId xmlns:a16="http://schemas.microsoft.com/office/drawing/2014/main" id="{16B561A5-14BA-4B6F-ADF6-CD194979C010}"/>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6" name="Text Box 26">
          <a:extLst>
            <a:ext uri="{FF2B5EF4-FFF2-40B4-BE49-F238E27FC236}">
              <a16:creationId xmlns:a16="http://schemas.microsoft.com/office/drawing/2014/main" id="{CD99DEAA-72E4-4B9A-952C-DB7C0DE5FC72}"/>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7" name="Text Box 27">
          <a:extLst>
            <a:ext uri="{FF2B5EF4-FFF2-40B4-BE49-F238E27FC236}">
              <a16:creationId xmlns:a16="http://schemas.microsoft.com/office/drawing/2014/main" id="{EADD99AE-8F43-4497-8711-33B0A0D8CD6E}"/>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8" name="Text Box 28">
          <a:extLst>
            <a:ext uri="{FF2B5EF4-FFF2-40B4-BE49-F238E27FC236}">
              <a16:creationId xmlns:a16="http://schemas.microsoft.com/office/drawing/2014/main" id="{1C352C40-BBDB-4312-BA8E-936EE33A73DC}"/>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29" name="Text Box 29">
          <a:extLst>
            <a:ext uri="{FF2B5EF4-FFF2-40B4-BE49-F238E27FC236}">
              <a16:creationId xmlns:a16="http://schemas.microsoft.com/office/drawing/2014/main" id="{A165927A-7763-41B2-8BFE-5D1973F030DE}"/>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0</xdr:colOff>
      <xdr:row>60</xdr:row>
      <xdr:rowOff>0</xdr:rowOff>
    </xdr:from>
    <xdr:to>
      <xdr:col>0</xdr:col>
      <xdr:colOff>76200</xdr:colOff>
      <xdr:row>61</xdr:row>
      <xdr:rowOff>78069</xdr:rowOff>
    </xdr:to>
    <xdr:sp macro="" textlink="">
      <xdr:nvSpPr>
        <xdr:cNvPr id="30" name="Text Box 30">
          <a:extLst>
            <a:ext uri="{FF2B5EF4-FFF2-40B4-BE49-F238E27FC236}">
              <a16:creationId xmlns:a16="http://schemas.microsoft.com/office/drawing/2014/main" id="{15118B5E-4142-477B-89AF-53B203B4F3DD}"/>
            </a:ext>
          </a:extLst>
        </xdr:cNvPr>
        <xdr:cNvSpPr txBox="1">
          <a:spLocks noChangeArrowheads="1"/>
        </xdr:cNvSpPr>
      </xdr:nvSpPr>
      <xdr:spPr bwMode="auto">
        <a:xfrm>
          <a:off x="0" y="12296775"/>
          <a:ext cx="76200" cy="26856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oneCellAnchor>
    <xdr:from>
      <xdr:col>0</xdr:col>
      <xdr:colOff>0</xdr:colOff>
      <xdr:row>61</xdr:row>
      <xdr:rowOff>0</xdr:rowOff>
    </xdr:from>
    <xdr:ext cx="76200" cy="257175"/>
    <xdr:sp macro="" textlink="">
      <xdr:nvSpPr>
        <xdr:cNvPr id="31" name="Text Box 2">
          <a:extLst>
            <a:ext uri="{FF2B5EF4-FFF2-40B4-BE49-F238E27FC236}">
              <a16:creationId xmlns:a16="http://schemas.microsoft.com/office/drawing/2014/main" id="{B328E91D-C09D-4AAB-BEFF-A4CBA0E7995B}"/>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32" name="Text Box 3">
          <a:extLst>
            <a:ext uri="{FF2B5EF4-FFF2-40B4-BE49-F238E27FC236}">
              <a16:creationId xmlns:a16="http://schemas.microsoft.com/office/drawing/2014/main" id="{D890D65D-0BCC-4CC5-9A4A-4CADFE338173}"/>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33" name="Text Box 4">
          <a:extLst>
            <a:ext uri="{FF2B5EF4-FFF2-40B4-BE49-F238E27FC236}">
              <a16:creationId xmlns:a16="http://schemas.microsoft.com/office/drawing/2014/main" id="{F2A70468-8E7B-4D76-94B8-69916446233E}"/>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34" name="Text Box 5">
          <a:extLst>
            <a:ext uri="{FF2B5EF4-FFF2-40B4-BE49-F238E27FC236}">
              <a16:creationId xmlns:a16="http://schemas.microsoft.com/office/drawing/2014/main" id="{C998AAC4-55E5-4487-843A-71BBB50350E2}"/>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35" name="Text Box 6">
          <a:extLst>
            <a:ext uri="{FF2B5EF4-FFF2-40B4-BE49-F238E27FC236}">
              <a16:creationId xmlns:a16="http://schemas.microsoft.com/office/drawing/2014/main" id="{BA18FAB0-E033-4E1B-9C63-FB416BE1E153}"/>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36" name="Text Box 7">
          <a:extLst>
            <a:ext uri="{FF2B5EF4-FFF2-40B4-BE49-F238E27FC236}">
              <a16:creationId xmlns:a16="http://schemas.microsoft.com/office/drawing/2014/main" id="{A8583B92-F673-46FC-8643-5987A4C9CFE4}"/>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37" name="Text Box 8">
          <a:extLst>
            <a:ext uri="{FF2B5EF4-FFF2-40B4-BE49-F238E27FC236}">
              <a16:creationId xmlns:a16="http://schemas.microsoft.com/office/drawing/2014/main" id="{1A4605CD-A360-4156-ADED-11277AAAB5C1}"/>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38" name="Text Box 9">
          <a:extLst>
            <a:ext uri="{FF2B5EF4-FFF2-40B4-BE49-F238E27FC236}">
              <a16:creationId xmlns:a16="http://schemas.microsoft.com/office/drawing/2014/main" id="{525DDDB7-B92A-4728-A21D-BB0B2F27A9AF}"/>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39" name="Text Box 10">
          <a:extLst>
            <a:ext uri="{FF2B5EF4-FFF2-40B4-BE49-F238E27FC236}">
              <a16:creationId xmlns:a16="http://schemas.microsoft.com/office/drawing/2014/main" id="{3FCAACB0-D661-4422-82F7-9512185BA1C0}"/>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0" name="Text Box 11">
          <a:extLst>
            <a:ext uri="{FF2B5EF4-FFF2-40B4-BE49-F238E27FC236}">
              <a16:creationId xmlns:a16="http://schemas.microsoft.com/office/drawing/2014/main" id="{4B11AF24-D0D9-4CB6-88CA-09745CB41F8E}"/>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1" name="Text Box 12">
          <a:extLst>
            <a:ext uri="{FF2B5EF4-FFF2-40B4-BE49-F238E27FC236}">
              <a16:creationId xmlns:a16="http://schemas.microsoft.com/office/drawing/2014/main" id="{D451F3E9-F616-4DA5-89E1-9EDB72C12B5B}"/>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2" name="Text Box 13">
          <a:extLst>
            <a:ext uri="{FF2B5EF4-FFF2-40B4-BE49-F238E27FC236}">
              <a16:creationId xmlns:a16="http://schemas.microsoft.com/office/drawing/2014/main" id="{0517E111-F544-473E-ADF4-70E1B845AECC}"/>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3" name="Text Box 14">
          <a:extLst>
            <a:ext uri="{FF2B5EF4-FFF2-40B4-BE49-F238E27FC236}">
              <a16:creationId xmlns:a16="http://schemas.microsoft.com/office/drawing/2014/main" id="{921899AC-0907-416E-BB69-83CA8A4FACEB}"/>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4" name="Text Box 15">
          <a:extLst>
            <a:ext uri="{FF2B5EF4-FFF2-40B4-BE49-F238E27FC236}">
              <a16:creationId xmlns:a16="http://schemas.microsoft.com/office/drawing/2014/main" id="{80E91AD1-A3E4-4B03-AA42-AF16EF2E0527}"/>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5" name="Text Box 16">
          <a:extLst>
            <a:ext uri="{FF2B5EF4-FFF2-40B4-BE49-F238E27FC236}">
              <a16:creationId xmlns:a16="http://schemas.microsoft.com/office/drawing/2014/main" id="{F94C1F69-CDFE-4B37-946A-98ECF583E5A1}"/>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6" name="Text Box 17">
          <a:extLst>
            <a:ext uri="{FF2B5EF4-FFF2-40B4-BE49-F238E27FC236}">
              <a16:creationId xmlns:a16="http://schemas.microsoft.com/office/drawing/2014/main" id="{E7C08E95-106C-4DD0-A5FC-D3EC1630EB18}"/>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7" name="Text Box 18">
          <a:extLst>
            <a:ext uri="{FF2B5EF4-FFF2-40B4-BE49-F238E27FC236}">
              <a16:creationId xmlns:a16="http://schemas.microsoft.com/office/drawing/2014/main" id="{7887B90D-64CD-4867-960E-4C549ED0C1F1}"/>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8" name="Text Box 19">
          <a:extLst>
            <a:ext uri="{FF2B5EF4-FFF2-40B4-BE49-F238E27FC236}">
              <a16:creationId xmlns:a16="http://schemas.microsoft.com/office/drawing/2014/main" id="{7E86FC79-D2B7-443A-A574-E63C1F94C33D}"/>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49" name="Text Box 20">
          <a:extLst>
            <a:ext uri="{FF2B5EF4-FFF2-40B4-BE49-F238E27FC236}">
              <a16:creationId xmlns:a16="http://schemas.microsoft.com/office/drawing/2014/main" id="{C89ED6F5-D373-4B75-AE04-72C66A267D00}"/>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0" name="Text Box 21">
          <a:extLst>
            <a:ext uri="{FF2B5EF4-FFF2-40B4-BE49-F238E27FC236}">
              <a16:creationId xmlns:a16="http://schemas.microsoft.com/office/drawing/2014/main" id="{64D9B961-4D22-4A78-A052-50D41883E15F}"/>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1" name="Text Box 22">
          <a:extLst>
            <a:ext uri="{FF2B5EF4-FFF2-40B4-BE49-F238E27FC236}">
              <a16:creationId xmlns:a16="http://schemas.microsoft.com/office/drawing/2014/main" id="{E0FE6EFA-FD76-4C48-B8A8-F53165E278AB}"/>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2" name="Text Box 23">
          <a:extLst>
            <a:ext uri="{FF2B5EF4-FFF2-40B4-BE49-F238E27FC236}">
              <a16:creationId xmlns:a16="http://schemas.microsoft.com/office/drawing/2014/main" id="{723FDA09-3C9D-418A-AAAB-A10A472D5573}"/>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3" name="Text Box 24">
          <a:extLst>
            <a:ext uri="{FF2B5EF4-FFF2-40B4-BE49-F238E27FC236}">
              <a16:creationId xmlns:a16="http://schemas.microsoft.com/office/drawing/2014/main" id="{93AEB375-617C-4748-870F-BA3F06DDD629}"/>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4" name="Text Box 25">
          <a:extLst>
            <a:ext uri="{FF2B5EF4-FFF2-40B4-BE49-F238E27FC236}">
              <a16:creationId xmlns:a16="http://schemas.microsoft.com/office/drawing/2014/main" id="{582CDA13-53E2-46BE-8529-445025027B12}"/>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5" name="Text Box 26">
          <a:extLst>
            <a:ext uri="{FF2B5EF4-FFF2-40B4-BE49-F238E27FC236}">
              <a16:creationId xmlns:a16="http://schemas.microsoft.com/office/drawing/2014/main" id="{363BB95C-3A79-4FF6-8002-274EC3B7D27E}"/>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6" name="Text Box 27">
          <a:extLst>
            <a:ext uri="{FF2B5EF4-FFF2-40B4-BE49-F238E27FC236}">
              <a16:creationId xmlns:a16="http://schemas.microsoft.com/office/drawing/2014/main" id="{C2869D67-8075-46EB-BCBA-A95FA590174D}"/>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7" name="Text Box 28">
          <a:extLst>
            <a:ext uri="{FF2B5EF4-FFF2-40B4-BE49-F238E27FC236}">
              <a16:creationId xmlns:a16="http://schemas.microsoft.com/office/drawing/2014/main" id="{243F56D4-AA35-4DED-84A5-11D94AAA91F7}"/>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8" name="Text Box 29">
          <a:extLst>
            <a:ext uri="{FF2B5EF4-FFF2-40B4-BE49-F238E27FC236}">
              <a16:creationId xmlns:a16="http://schemas.microsoft.com/office/drawing/2014/main" id="{4E4991B1-788C-407E-B115-B6ED74D161E2}"/>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61</xdr:row>
      <xdr:rowOff>0</xdr:rowOff>
    </xdr:from>
    <xdr:ext cx="76200" cy="257175"/>
    <xdr:sp macro="" textlink="">
      <xdr:nvSpPr>
        <xdr:cNvPr id="59" name="Text Box 30">
          <a:extLst>
            <a:ext uri="{FF2B5EF4-FFF2-40B4-BE49-F238E27FC236}">
              <a16:creationId xmlns:a16="http://schemas.microsoft.com/office/drawing/2014/main" id="{6D7A04F4-1EB3-4818-A1C6-29ED9F4E6D37}"/>
            </a:ext>
          </a:extLst>
        </xdr:cNvPr>
        <xdr:cNvSpPr txBox="1">
          <a:spLocks noChangeArrowheads="1"/>
        </xdr:cNvSpPr>
      </xdr:nvSpPr>
      <xdr:spPr bwMode="auto">
        <a:xfrm>
          <a:off x="0" y="12458700"/>
          <a:ext cx="762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1.9\TechSci%20Research\Backup\D\Studies%20&amp;%20Reports\Chem%20Report%202002%20for%20Sabic\App%20V%20Case%20I%20F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1.9\TechSci%20Research\My%20Documents\EXCEL\03\BP\Data%20file%20BP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Report\Monthly\2020\11.%20November\Copy%20of%20CPP%20Repo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1.1.9\TechSci%20Research\Users\21065\Desktop\Excel\CPP%20Monitoring%20Shee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hardik.malhotra/Desktop/Desktop%20Data/Ammonium%20Nitrate/Copy%20of%20Nitric%20Acid%20-%20Financial%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Total Cash Flow (Unleveraged)"/>
      <sheetName val="Total cash flow"/>
      <sheetName val="Olefin cash flow"/>
      <sheetName val="LLDPE cash flow"/>
      <sheetName val="HDPE cash flow"/>
      <sheetName val="MEG cash flow"/>
      <sheetName val="Butene-1 cash flow"/>
      <sheetName val="Oxygen"/>
      <sheetName val="Pricing - Current"/>
      <sheetName val="Pricing - Const"/>
      <sheetName val="Netback"/>
      <sheetName val="Mass Balance"/>
      <sheetName val="Purchases &amp; Sales"/>
      <sheetName val="Capital Costs"/>
      <sheetName val="Financing"/>
      <sheetName val="Taxation"/>
      <sheetName val="Expats"/>
      <sheetName val="Factors"/>
      <sheetName val="Backup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3">
          <cell r="A3" t="str">
            <v>Ethane</v>
          </cell>
          <cell r="B3" t="str">
            <v xml:space="preserve">1.25/MM btu for the first 10 years of commercial operations; escalation at 3% per year </v>
          </cell>
          <cell r="D3" t="str">
            <v>$/ton</v>
          </cell>
          <cell r="E3">
            <v>0</v>
          </cell>
          <cell r="F3">
            <v>61.108654999999999</v>
          </cell>
          <cell r="G3">
            <v>61.108654999999999</v>
          </cell>
          <cell r="H3">
            <v>61.108654999999999</v>
          </cell>
          <cell r="I3">
            <v>61.108654999999999</v>
          </cell>
          <cell r="J3">
            <v>61.108654999999999</v>
          </cell>
          <cell r="K3">
            <v>61.108654999999999</v>
          </cell>
          <cell r="L3">
            <v>61.108654999999999</v>
          </cell>
          <cell r="M3">
            <v>61.108654999999999</v>
          </cell>
          <cell r="N3">
            <v>61.108654999999999</v>
          </cell>
          <cell r="O3">
            <v>61.108654999999999</v>
          </cell>
          <cell r="P3">
            <v>61.108654999999999</v>
          </cell>
          <cell r="Q3">
            <v>61.108654999999999</v>
          </cell>
          <cell r="R3">
            <v>61.108654999999999</v>
          </cell>
          <cell r="S3">
            <v>61.108654999999999</v>
          </cell>
          <cell r="T3">
            <v>61.108654999999999</v>
          </cell>
          <cell r="U3">
            <v>62.941914650000001</v>
          </cell>
          <cell r="V3">
            <v>64.830172089499996</v>
          </cell>
          <cell r="W3">
            <v>66.775077252185</v>
          </cell>
          <cell r="X3">
            <v>68.778329569750554</v>
          </cell>
          <cell r="Y3">
            <v>70.841679456843067</v>
          </cell>
          <cell r="Z3">
            <v>72.96692984054836</v>
          </cell>
          <cell r="AA3">
            <v>75.155937735764809</v>
          </cell>
          <cell r="AB3">
            <v>77.410615867837748</v>
          </cell>
          <cell r="AC3">
            <v>79.732934343872884</v>
          </cell>
          <cell r="AD3">
            <v>82.124922374189069</v>
          </cell>
          <cell r="AE3">
            <v>84.588670045414744</v>
          </cell>
          <cell r="AF3">
            <v>87.126330146777192</v>
          </cell>
          <cell r="AG3">
            <v>89.740120051180511</v>
          </cell>
          <cell r="AH3">
            <v>92.432323652715922</v>
          </cell>
        </row>
        <row r="4">
          <cell r="A4" t="str">
            <v>Methane</v>
          </cell>
          <cell r="B4" t="str">
            <v>0.75/ MM btu for the first 10 years of project life; escalation at 3% per year</v>
          </cell>
          <cell r="D4" t="str">
            <v>$/ton</v>
          </cell>
          <cell r="E4">
            <v>0</v>
          </cell>
          <cell r="F4">
            <v>35.5426407</v>
          </cell>
          <cell r="G4">
            <v>35.5426407</v>
          </cell>
          <cell r="H4">
            <v>35.5426407</v>
          </cell>
          <cell r="I4">
            <v>35.5426407</v>
          </cell>
          <cell r="J4">
            <v>35.5426407</v>
          </cell>
          <cell r="K4">
            <v>35.5426407</v>
          </cell>
          <cell r="L4">
            <v>35.5426407</v>
          </cell>
          <cell r="M4">
            <v>35.5426407</v>
          </cell>
          <cell r="N4">
            <v>35.5426407</v>
          </cell>
          <cell r="O4">
            <v>35.5426407</v>
          </cell>
          <cell r="P4">
            <v>35.5426407</v>
          </cell>
          <cell r="Q4">
            <v>35.5426407</v>
          </cell>
          <cell r="R4">
            <v>36.608919921000002</v>
          </cell>
          <cell r="S4">
            <v>37.707187518630001</v>
          </cell>
          <cell r="T4">
            <v>38.838403144188902</v>
          </cell>
          <cell r="U4">
            <v>40.003555238514572</v>
          </cell>
          <cell r="V4">
            <v>41.20366189567001</v>
          </cell>
          <cell r="W4">
            <v>42.439771752540111</v>
          </cell>
          <cell r="X4">
            <v>43.712964905116316</v>
          </cell>
          <cell r="Y4">
            <v>45.024353852269805</v>
          </cell>
          <cell r="Z4">
            <v>46.375084467837901</v>
          </cell>
          <cell r="AA4">
            <v>47.76633700187304</v>
          </cell>
          <cell r="AB4">
            <v>49.199327111929236</v>
          </cell>
          <cell r="AC4">
            <v>50.675306925287117</v>
          </cell>
          <cell r="AD4">
            <v>52.19556613304573</v>
          </cell>
          <cell r="AE4">
            <v>53.7614331170371</v>
          </cell>
          <cell r="AF4">
            <v>55.374276110548216</v>
          </cell>
          <cell r="AG4">
            <v>57.035504393864663</v>
          </cell>
          <cell r="AH4">
            <v>58.746569525680606</v>
          </cell>
        </row>
        <row r="5">
          <cell r="A5" t="str">
            <v>Catalyst (Ethylene)</v>
          </cell>
          <cell r="B5" t="str">
            <v>2.75 in const 2001</v>
          </cell>
          <cell r="D5" t="str">
            <v>$/ton C2</v>
          </cell>
          <cell r="E5">
            <v>2.75</v>
          </cell>
          <cell r="F5">
            <v>2.8022499999999999</v>
          </cell>
          <cell r="G5">
            <v>2.8654999999999999</v>
          </cell>
          <cell r="H5">
            <v>2.9370000000000003</v>
          </cell>
          <cell r="I5">
            <v>3.01125</v>
          </cell>
          <cell r="J5">
            <v>3.0882499999999999</v>
          </cell>
          <cell r="K5">
            <v>3.1652499999999999</v>
          </cell>
          <cell r="L5">
            <v>3.2422500000000003</v>
          </cell>
          <cell r="M5">
            <v>3.3247500000000003</v>
          </cell>
          <cell r="N5">
            <v>3.4072500000000003</v>
          </cell>
          <cell r="O5">
            <v>3.4925000000000002</v>
          </cell>
          <cell r="P5">
            <v>3.5805000000000002</v>
          </cell>
          <cell r="Q5">
            <v>3.6685000000000003</v>
          </cell>
          <cell r="R5">
            <v>3.7620000000000005</v>
          </cell>
          <cell r="S5">
            <v>3.8554999999999997</v>
          </cell>
          <cell r="T5">
            <v>3.9517500000000001</v>
          </cell>
          <cell r="U5">
            <v>4.0507499999999999</v>
          </cell>
          <cell r="V5">
            <v>4.1524999999999999</v>
          </cell>
          <cell r="W5">
            <v>4.2569999999999997</v>
          </cell>
          <cell r="X5">
            <v>4.3615000000000004</v>
          </cell>
          <cell r="Y5">
            <v>4.4705374999999998</v>
          </cell>
          <cell r="Z5">
            <v>4.5823009375000003</v>
          </cell>
          <cell r="AA5">
            <v>4.6968584609374995</v>
          </cell>
          <cell r="AB5">
            <v>4.8142799224609361</v>
          </cell>
          <cell r="AC5">
            <v>4.9346369205224594</v>
          </cell>
          <cell r="AD5">
            <v>5.0580028435355198</v>
          </cell>
          <cell r="AE5">
            <v>5.1844529146239076</v>
          </cell>
          <cell r="AF5">
            <v>5.3140642374895046</v>
          </cell>
          <cell r="AG5">
            <v>5.4469158434267415</v>
          </cell>
          <cell r="AH5">
            <v>5.5830887395124105</v>
          </cell>
        </row>
        <row r="6">
          <cell r="A6" t="str">
            <v>Power</v>
          </cell>
          <cell r="B6" t="str">
            <v>$30/MWH fixed</v>
          </cell>
          <cell r="C6">
            <v>0.91576190190550455</v>
          </cell>
          <cell r="D6" t="str">
            <v>$/MWH</v>
          </cell>
          <cell r="E6">
            <v>30</v>
          </cell>
          <cell r="F6">
            <v>30</v>
          </cell>
          <cell r="G6">
            <v>30</v>
          </cell>
          <cell r="H6">
            <v>30</v>
          </cell>
          <cell r="I6">
            <v>30</v>
          </cell>
          <cell r="J6">
            <v>30</v>
          </cell>
          <cell r="K6">
            <v>30</v>
          </cell>
          <cell r="L6">
            <v>30</v>
          </cell>
          <cell r="M6">
            <v>30</v>
          </cell>
          <cell r="N6">
            <v>30</v>
          </cell>
          <cell r="O6">
            <v>30</v>
          </cell>
          <cell r="P6">
            <v>30</v>
          </cell>
          <cell r="Q6">
            <v>30</v>
          </cell>
          <cell r="R6">
            <v>30</v>
          </cell>
          <cell r="S6">
            <v>30</v>
          </cell>
          <cell r="T6">
            <v>30</v>
          </cell>
          <cell r="U6">
            <v>30</v>
          </cell>
          <cell r="V6">
            <v>30</v>
          </cell>
          <cell r="W6">
            <v>30</v>
          </cell>
          <cell r="X6">
            <v>30</v>
          </cell>
          <cell r="Y6">
            <v>30</v>
          </cell>
          <cell r="Z6">
            <v>30</v>
          </cell>
          <cell r="AA6">
            <v>30</v>
          </cell>
          <cell r="AB6">
            <v>30</v>
          </cell>
          <cell r="AC6">
            <v>30</v>
          </cell>
          <cell r="AD6">
            <v>30</v>
          </cell>
          <cell r="AE6">
            <v>30</v>
          </cell>
          <cell r="AF6">
            <v>30</v>
          </cell>
          <cell r="AG6">
            <v>30</v>
          </cell>
          <cell r="AH6">
            <v>30</v>
          </cell>
        </row>
        <row r="7">
          <cell r="A7" t="str">
            <v>Steam</v>
          </cell>
          <cell r="B7" t="str">
            <v>$4.5/ton fixed</v>
          </cell>
          <cell r="C7">
            <v>0</v>
          </cell>
          <cell r="D7" t="str">
            <v>$/ton</v>
          </cell>
          <cell r="E7">
            <v>4.5</v>
          </cell>
          <cell r="F7">
            <v>4.5</v>
          </cell>
          <cell r="G7">
            <v>4.5</v>
          </cell>
          <cell r="H7">
            <v>4.5</v>
          </cell>
          <cell r="I7">
            <v>4.5</v>
          </cell>
          <cell r="J7">
            <v>4.5</v>
          </cell>
          <cell r="K7">
            <v>4.5</v>
          </cell>
          <cell r="L7">
            <v>4.5</v>
          </cell>
          <cell r="M7">
            <v>4.5</v>
          </cell>
          <cell r="N7">
            <v>4.5</v>
          </cell>
          <cell r="O7">
            <v>4.5</v>
          </cell>
          <cell r="P7">
            <v>4.5</v>
          </cell>
          <cell r="Q7">
            <v>4.5</v>
          </cell>
          <cell r="R7">
            <v>4.5</v>
          </cell>
          <cell r="S7">
            <v>4.5</v>
          </cell>
          <cell r="T7">
            <v>4.5</v>
          </cell>
          <cell r="U7">
            <v>4.5</v>
          </cell>
          <cell r="V7">
            <v>4.5</v>
          </cell>
          <cell r="W7">
            <v>4.5</v>
          </cell>
          <cell r="X7">
            <v>4.5</v>
          </cell>
          <cell r="Y7">
            <v>4.5</v>
          </cell>
          <cell r="Z7">
            <v>4.5</v>
          </cell>
          <cell r="AA7">
            <v>4.5</v>
          </cell>
          <cell r="AB7">
            <v>4.5</v>
          </cell>
          <cell r="AC7">
            <v>4.5</v>
          </cell>
          <cell r="AD7">
            <v>4.5</v>
          </cell>
          <cell r="AE7">
            <v>4.5</v>
          </cell>
          <cell r="AF7">
            <v>4.5</v>
          </cell>
          <cell r="AG7">
            <v>4.5</v>
          </cell>
          <cell r="AH7">
            <v>4.5</v>
          </cell>
        </row>
        <row r="8">
          <cell r="A8" t="str">
            <v>Cooling Water</v>
          </cell>
          <cell r="B8" t="str">
            <v>$17/kton fixed</v>
          </cell>
          <cell r="C8">
            <v>0</v>
          </cell>
          <cell r="D8" t="str">
            <v>$/kton</v>
          </cell>
          <cell r="E8">
            <v>17</v>
          </cell>
          <cell r="F8">
            <v>17</v>
          </cell>
          <cell r="G8">
            <v>17</v>
          </cell>
          <cell r="H8">
            <v>17</v>
          </cell>
          <cell r="I8">
            <v>17</v>
          </cell>
          <cell r="J8">
            <v>17</v>
          </cell>
          <cell r="K8">
            <v>17</v>
          </cell>
          <cell r="L8">
            <v>17</v>
          </cell>
          <cell r="M8">
            <v>17</v>
          </cell>
          <cell r="N8">
            <v>17</v>
          </cell>
          <cell r="O8">
            <v>17</v>
          </cell>
          <cell r="P8">
            <v>17</v>
          </cell>
          <cell r="Q8">
            <v>17</v>
          </cell>
          <cell r="R8">
            <v>17</v>
          </cell>
          <cell r="S8">
            <v>17</v>
          </cell>
          <cell r="T8">
            <v>17</v>
          </cell>
          <cell r="U8">
            <v>17</v>
          </cell>
          <cell r="V8">
            <v>17</v>
          </cell>
          <cell r="W8">
            <v>17</v>
          </cell>
          <cell r="X8">
            <v>17</v>
          </cell>
          <cell r="Y8">
            <v>17</v>
          </cell>
          <cell r="Z8">
            <v>17</v>
          </cell>
          <cell r="AA8">
            <v>17</v>
          </cell>
          <cell r="AB8">
            <v>17</v>
          </cell>
          <cell r="AC8">
            <v>17</v>
          </cell>
          <cell r="AD8">
            <v>17</v>
          </cell>
          <cell r="AE8">
            <v>17</v>
          </cell>
          <cell r="AF8">
            <v>17</v>
          </cell>
          <cell r="AG8">
            <v>17</v>
          </cell>
          <cell r="AH8">
            <v>17</v>
          </cell>
        </row>
        <row r="9">
          <cell r="A9" t="str">
            <v>Nitrogen</v>
          </cell>
          <cell r="B9" t="str">
            <v>$0.05/std M3</v>
          </cell>
          <cell r="C9">
            <v>0</v>
          </cell>
          <cell r="D9" t="str">
            <v>std M3</v>
          </cell>
          <cell r="E9">
            <v>0.05</v>
          </cell>
          <cell r="F9">
            <v>0.05</v>
          </cell>
          <cell r="G9">
            <v>0.05</v>
          </cell>
          <cell r="H9">
            <v>0.05</v>
          </cell>
          <cell r="I9">
            <v>0.05</v>
          </cell>
          <cell r="J9">
            <v>0.05</v>
          </cell>
          <cell r="K9">
            <v>0.05</v>
          </cell>
          <cell r="L9">
            <v>0.05</v>
          </cell>
          <cell r="M9">
            <v>0.05</v>
          </cell>
          <cell r="N9">
            <v>0.05</v>
          </cell>
          <cell r="O9">
            <v>0.05</v>
          </cell>
          <cell r="P9">
            <v>0.05</v>
          </cell>
          <cell r="Q9">
            <v>0.05</v>
          </cell>
          <cell r="R9">
            <v>0.05</v>
          </cell>
          <cell r="S9">
            <v>0.05</v>
          </cell>
          <cell r="T9">
            <v>0.05</v>
          </cell>
          <cell r="U9">
            <v>0.05</v>
          </cell>
          <cell r="V9">
            <v>0.05</v>
          </cell>
          <cell r="W9">
            <v>0.05</v>
          </cell>
          <cell r="X9">
            <v>0.05</v>
          </cell>
          <cell r="Y9">
            <v>0.05</v>
          </cell>
          <cell r="Z9">
            <v>0.05</v>
          </cell>
          <cell r="AA9">
            <v>0.05</v>
          </cell>
          <cell r="AB9">
            <v>0.05</v>
          </cell>
          <cell r="AC9">
            <v>0.05</v>
          </cell>
          <cell r="AD9">
            <v>0.05</v>
          </cell>
          <cell r="AE9">
            <v>0.05</v>
          </cell>
          <cell r="AF9">
            <v>0.05</v>
          </cell>
          <cell r="AG9">
            <v>0.05</v>
          </cell>
          <cell r="AH9">
            <v>0.05</v>
          </cell>
        </row>
        <row r="10">
          <cell r="A10" t="str">
            <v>Worker</v>
          </cell>
          <cell r="B10" t="str">
            <v>$13000 average, to be escalated by 2.5% per year</v>
          </cell>
          <cell r="C10">
            <v>0</v>
          </cell>
          <cell r="D10" t="str">
            <v>$/yr</v>
          </cell>
          <cell r="E10">
            <v>0</v>
          </cell>
          <cell r="F10">
            <v>0</v>
          </cell>
          <cell r="G10">
            <v>13546</v>
          </cell>
          <cell r="H10">
            <v>14231.099999999999</v>
          </cell>
          <cell r="I10">
            <v>14955.646874999995</v>
          </cell>
          <cell r="J10">
            <v>15721.526234374995</v>
          </cell>
          <cell r="K10">
            <v>16516.352282421867</v>
          </cell>
          <cell r="L10">
            <v>17341.093678974601</v>
          </cell>
          <cell r="M10">
            <v>18226.901454051989</v>
          </cell>
          <cell r="N10">
            <v>19146.161434333892</v>
          </cell>
          <cell r="O10">
            <v>20115.831837888731</v>
          </cell>
          <cell r="P10">
            <v>21138.254629334177</v>
          </cell>
          <cell r="Q10">
            <v>22199.226165453212</v>
          </cell>
          <cell r="R10">
            <v>23334.149122337702</v>
          </cell>
          <cell r="S10">
            <v>24511.943710713003</v>
          </cell>
          <cell r="T10">
            <v>25751.964828888697</v>
          </cell>
          <cell r="U10">
            <v>27057.035697826632</v>
          </cell>
          <cell r="V10">
            <v>28430.093008357882</v>
          </cell>
          <cell r="W10">
            <v>29874.191110173146</v>
          </cell>
          <cell r="X10">
            <v>31372.72530894895</v>
          </cell>
          <cell r="Y10">
            <v>32960.969527714486</v>
          </cell>
          <cell r="Z10">
            <v>34629.618610055033</v>
          </cell>
          <cell r="AA10">
            <v>36382.743052189056</v>
          </cell>
          <cell r="AB10">
            <v>38224.619419206123</v>
          </cell>
          <cell r="AC10">
            <v>40159.740777303421</v>
          </cell>
          <cell r="AD10">
            <v>42192.827654154389</v>
          </cell>
          <cell r="AE10">
            <v>44328.839554145954</v>
          </cell>
          <cell r="AF10">
            <v>46572.987056574588</v>
          </cell>
          <cell r="AG10">
            <v>48930.744526313669</v>
          </cell>
          <cell r="AH10">
            <v>51407.86346795829</v>
          </cell>
        </row>
        <row r="11">
          <cell r="A11" t="str">
            <v>Hydrogen - Reformer</v>
          </cell>
          <cell r="B11" t="str">
            <v>fixed at ratio to methane</v>
          </cell>
          <cell r="C11">
            <v>0</v>
          </cell>
          <cell r="D11" t="str">
            <v>Nm3</v>
          </cell>
          <cell r="E11">
            <v>0</v>
          </cell>
          <cell r="G11">
            <v>0.63846274691357874</v>
          </cell>
          <cell r="H11">
            <v>0.63846274691357874</v>
          </cell>
          <cell r="I11">
            <v>0.63846274691357874</v>
          </cell>
          <cell r="J11">
            <v>0.63846274691357874</v>
          </cell>
          <cell r="K11">
            <v>0.63846274691357874</v>
          </cell>
          <cell r="L11">
            <v>0.63846274691357874</v>
          </cell>
          <cell r="M11">
            <v>0.63846274691357874</v>
          </cell>
          <cell r="N11">
            <v>0.63846274691357874</v>
          </cell>
          <cell r="O11">
            <v>0.63846274691357874</v>
          </cell>
          <cell r="P11">
            <v>0.63846274691357874</v>
          </cell>
          <cell r="Q11">
            <v>0.63846274691357874</v>
          </cell>
          <cell r="R11">
            <v>0.65761662932098619</v>
          </cell>
          <cell r="S11">
            <v>0.67734512820061576</v>
          </cell>
          <cell r="T11">
            <v>0.69766548204663426</v>
          </cell>
          <cell r="U11">
            <v>0.71859544650803331</v>
          </cell>
          <cell r="V11">
            <v>0.74015330990327433</v>
          </cell>
          <cell r="W11">
            <v>0.76235790920037261</v>
          </cell>
          <cell r="X11">
            <v>0.7852286464763838</v>
          </cell>
          <cell r="Y11">
            <v>0.80878550587067533</v>
          </cell>
          <cell r="Z11">
            <v>0.8330490710467956</v>
          </cell>
          <cell r="AA11">
            <v>0.85804054317819944</v>
          </cell>
          <cell r="AB11">
            <v>0.88378175947354554</v>
          </cell>
          <cell r="AC11">
            <v>0.91029521225775201</v>
          </cell>
          <cell r="AD11">
            <v>0.93760406862548451</v>
          </cell>
          <cell r="AE11">
            <v>0.96573219068424909</v>
          </cell>
          <cell r="AF11">
            <v>0.99470415640477661</v>
          </cell>
          <cell r="AG11">
            <v>1.0245452810969198</v>
          </cell>
          <cell r="AH11">
            <v>1.0552816395298275</v>
          </cell>
        </row>
        <row r="12">
          <cell r="A12" t="str">
            <v>Propylene</v>
          </cell>
          <cell r="B12" t="str">
            <v>methane * 0.9157</v>
          </cell>
          <cell r="C12">
            <v>0</v>
          </cell>
          <cell r="D12" t="str">
            <v>$/ton</v>
          </cell>
          <cell r="E12">
            <v>0</v>
          </cell>
          <cell r="F12">
            <v>32.548596246176011</v>
          </cell>
          <cell r="G12">
            <v>32.548596246176011</v>
          </cell>
          <cell r="H12">
            <v>32.548596246176011</v>
          </cell>
          <cell r="I12">
            <v>32.548596246176011</v>
          </cell>
          <cell r="J12">
            <v>32.548596246176011</v>
          </cell>
          <cell r="K12">
            <v>32.548596246176011</v>
          </cell>
          <cell r="L12">
            <v>32.548596246176011</v>
          </cell>
          <cell r="M12">
            <v>32.548596246176011</v>
          </cell>
          <cell r="N12">
            <v>32.548596246176011</v>
          </cell>
          <cell r="O12">
            <v>32.548596246176011</v>
          </cell>
          <cell r="P12">
            <v>32.548596246176011</v>
          </cell>
          <cell r="Q12">
            <v>32.548596246176011</v>
          </cell>
          <cell r="R12">
            <v>33.525054133561291</v>
          </cell>
          <cell r="S12">
            <v>34.530805757568132</v>
          </cell>
          <cell r="T12">
            <v>35.566729930295175</v>
          </cell>
          <cell r="U12">
            <v>36.633731828204034</v>
          </cell>
          <cell r="V12">
            <v>37.732743783050154</v>
          </cell>
          <cell r="W12">
            <v>38.864726096541659</v>
          </cell>
          <cell r="X12">
            <v>40.030667879437907</v>
          </cell>
          <cell r="Y12">
            <v>41.231587915821045</v>
          </cell>
          <cell r="Z12">
            <v>42.468535553295681</v>
          </cell>
          <cell r="AA12">
            <v>43.742591619894554</v>
          </cell>
          <cell r="AB12">
            <v>45.054869368491396</v>
          </cell>
          <cell r="AC12">
            <v>46.406515449546141</v>
          </cell>
          <cell r="AD12">
            <v>47.798710913032522</v>
          </cell>
          <cell r="AE12">
            <v>49.232672240423497</v>
          </cell>
          <cell r="AF12">
            <v>50.709652407636206</v>
          </cell>
          <cell r="AG12">
            <v>52.230941979865293</v>
          </cell>
          <cell r="AH12">
            <v>53.79787023926125</v>
          </cell>
        </row>
        <row r="13">
          <cell r="A13" t="str">
            <v>Catalyst (LLDPE)</v>
          </cell>
          <cell r="B13">
            <v>0</v>
          </cell>
          <cell r="C13">
            <v>0</v>
          </cell>
          <cell r="D13" t="str">
            <v>$/ton LLDPE</v>
          </cell>
          <cell r="E13">
            <v>19.013865573983026</v>
          </cell>
          <cell r="F13">
            <v>19.3751290198887</v>
          </cell>
          <cell r="G13">
            <v>19.812447928090315</v>
          </cell>
          <cell r="H13">
            <v>20.306808433013874</v>
          </cell>
          <cell r="I13">
            <v>20.820182803511411</v>
          </cell>
          <cell r="J13">
            <v>21.352571039582937</v>
          </cell>
          <cell r="K13">
            <v>21.884959275654463</v>
          </cell>
          <cell r="L13">
            <v>22.417347511725989</v>
          </cell>
          <cell r="M13">
            <v>22.987763478945478</v>
          </cell>
          <cell r="N13">
            <v>23.558179446164971</v>
          </cell>
          <cell r="O13">
            <v>24.147609278958441</v>
          </cell>
          <cell r="P13">
            <v>24.756052977325901</v>
          </cell>
          <cell r="Q13">
            <v>25.364496675693356</v>
          </cell>
          <cell r="R13">
            <v>26.010968105208782</v>
          </cell>
          <cell r="S13">
            <v>26.657439534724201</v>
          </cell>
          <cell r="T13">
            <v>27.322924829813608</v>
          </cell>
          <cell r="U13">
            <v>28.007423990476997</v>
          </cell>
          <cell r="V13">
            <v>28.710937016714368</v>
          </cell>
          <cell r="W13">
            <v>29.433463908525724</v>
          </cell>
          <cell r="X13">
            <v>30.155990800337079</v>
          </cell>
          <cell r="Y13">
            <v>30.909890570345507</v>
          </cell>
          <cell r="Z13">
            <v>31.682637834604144</v>
          </cell>
          <cell r="AA13">
            <v>32.474703780469241</v>
          </cell>
          <cell r="AB13">
            <v>33.286571374980966</v>
          </cell>
          <cell r="AC13">
            <v>34.118735659355487</v>
          </cell>
          <cell r="AD13">
            <v>34.971704050839371</v>
          </cell>
          <cell r="AE13">
            <v>35.845996652110351</v>
          </cell>
          <cell r="AF13">
            <v>36.742146568413105</v>
          </cell>
          <cell r="AG13">
            <v>37.660700232623434</v>
          </cell>
          <cell r="AH13">
            <v>38.602217738439016</v>
          </cell>
        </row>
        <row r="14">
          <cell r="A14" t="str">
            <v>Ethylene (Transfer)</v>
          </cell>
          <cell r="B14">
            <v>0</v>
          </cell>
          <cell r="C14">
            <v>0</v>
          </cell>
          <cell r="D14" t="str">
            <v>$/ton</v>
          </cell>
          <cell r="E14">
            <v>0</v>
          </cell>
          <cell r="F14">
            <v>0</v>
          </cell>
          <cell r="G14">
            <v>0</v>
          </cell>
          <cell r="H14">
            <v>0</v>
          </cell>
          <cell r="I14">
            <v>0</v>
          </cell>
          <cell r="J14">
            <v>329.38502610927588</v>
          </cell>
          <cell r="K14">
            <v>331.98766118099729</v>
          </cell>
          <cell r="L14">
            <v>333.97305245152791</v>
          </cell>
          <cell r="M14">
            <v>336.67711703416199</v>
          </cell>
          <cell r="N14">
            <v>339.24092101481102</v>
          </cell>
          <cell r="O14">
            <v>345.2097862522661</v>
          </cell>
          <cell r="P14">
            <v>350.41465571815678</v>
          </cell>
          <cell r="Q14">
            <v>355.82306669261396</v>
          </cell>
          <cell r="R14">
            <v>361.4449983878863</v>
          </cell>
          <cell r="S14">
            <v>366.26042526646603</v>
          </cell>
          <cell r="T14">
            <v>372.2487955777944</v>
          </cell>
          <cell r="U14">
            <v>378.21541400097635</v>
          </cell>
          <cell r="V14">
            <v>384.45712027367603</v>
          </cell>
          <cell r="W14">
            <v>390.85150621425839</v>
          </cell>
          <cell r="X14">
            <v>397.14533435843288</v>
          </cell>
          <cell r="Y14">
            <v>403.69073189653864</v>
          </cell>
          <cell r="Z14">
            <v>410.3151834775756</v>
          </cell>
          <cell r="AA14">
            <v>417.01855093022908</v>
          </cell>
          <cell r="AB14">
            <v>423.80063976584171</v>
          </cell>
          <cell r="AC14">
            <v>430.66119644890358</v>
          </cell>
          <cell r="AD14">
            <v>437.59990556626491</v>
          </cell>
          <cell r="AE14">
            <v>444.61638689171377</v>
          </cell>
          <cell r="AF14">
            <v>451.71019234245614</v>
          </cell>
          <cell r="AG14">
            <v>458.88080282392832</v>
          </cell>
          <cell r="AH14">
            <v>466.12762495926012</v>
          </cell>
        </row>
        <row r="15">
          <cell r="A15" t="str">
            <v>Ethylene (Market)</v>
          </cell>
          <cell r="B15">
            <v>0</v>
          </cell>
          <cell r="C15">
            <v>0</v>
          </cell>
          <cell r="D15" t="str">
            <v>$/ton</v>
          </cell>
          <cell r="E15">
            <v>398.51430960387404</v>
          </cell>
          <cell r="F15">
            <v>341.31615941915805</v>
          </cell>
          <cell r="G15">
            <v>323.48703635073281</v>
          </cell>
          <cell r="H15">
            <v>328.45511575313981</v>
          </cell>
          <cell r="I15">
            <v>324.99663286028039</v>
          </cell>
          <cell r="J15">
            <v>328.8320182764931</v>
          </cell>
          <cell r="K15">
            <v>333.1038628266981</v>
          </cell>
          <cell r="L15">
            <v>336.94363671606953</v>
          </cell>
          <cell r="M15">
            <v>341.46148192391337</v>
          </cell>
          <cell r="N15">
            <v>345.88114471036766</v>
          </cell>
          <cell r="O15">
            <v>352.77185037658626</v>
          </cell>
          <cell r="P15">
            <v>359.21525900270967</v>
          </cell>
          <cell r="Q15">
            <v>365.8011466848298</v>
          </cell>
          <cell r="R15">
            <v>372.7114988715204</v>
          </cell>
          <cell r="S15">
            <v>379.05729768652617</v>
          </cell>
          <cell r="T15">
            <v>386.31165690445602</v>
          </cell>
          <cell r="U15">
            <v>393.63828980068342</v>
          </cell>
          <cell r="V15">
            <v>401.24498419157317</v>
          </cell>
          <cell r="W15">
            <v>409.04605434998081</v>
          </cell>
          <cell r="X15">
            <v>416.77673405090297</v>
          </cell>
          <cell r="Y15">
            <v>424.82788732757706</v>
          </cell>
          <cell r="Z15">
            <v>433.02111280930291</v>
          </cell>
          <cell r="AA15">
            <v>441.35848213553533</v>
          </cell>
          <cell r="AB15">
            <v>449.84208173257349</v>
          </cell>
          <cell r="AC15">
            <v>458.47401225812894</v>
          </cell>
          <cell r="AD15">
            <v>467.25638800887924</v>
          </cell>
          <cell r="AE15">
            <v>476.19133628950573</v>
          </cell>
          <cell r="AF15">
            <v>485.28099674165804</v>
          </cell>
          <cell r="AG15">
            <v>494.52752063123705</v>
          </cell>
          <cell r="AH15">
            <v>503.93307009233149</v>
          </cell>
        </row>
        <row r="16">
          <cell r="A16" t="str">
            <v>Ethylene (NWE)</v>
          </cell>
          <cell r="B16">
            <v>0</v>
          </cell>
          <cell r="C16">
            <v>0</v>
          </cell>
          <cell r="D16" t="str">
            <v>$/ton</v>
          </cell>
          <cell r="E16">
            <v>569.30615657696296</v>
          </cell>
          <cell r="F16">
            <v>487.5945134559401</v>
          </cell>
          <cell r="G16">
            <v>462.12433764390397</v>
          </cell>
          <cell r="H16">
            <v>469.22159393305691</v>
          </cell>
          <cell r="I16">
            <v>464.2809040861149</v>
          </cell>
          <cell r="J16">
            <v>469.76002610927588</v>
          </cell>
          <cell r="K16">
            <v>475.86266118099729</v>
          </cell>
          <cell r="L16">
            <v>481.34805245152791</v>
          </cell>
          <cell r="M16">
            <v>487.80211703416199</v>
          </cell>
          <cell r="N16">
            <v>494.11592101481102</v>
          </cell>
          <cell r="O16">
            <v>503.9597862522661</v>
          </cell>
          <cell r="P16">
            <v>513.16465571815672</v>
          </cell>
          <cell r="Q16">
            <v>522.57306669261402</v>
          </cell>
          <cell r="R16">
            <v>532.44499838788636</v>
          </cell>
          <cell r="S16">
            <v>541.51042526646597</v>
          </cell>
          <cell r="T16">
            <v>551.87379557779445</v>
          </cell>
          <cell r="U16">
            <v>562.34041400097635</v>
          </cell>
          <cell r="V16">
            <v>573.20712027367597</v>
          </cell>
          <cell r="W16">
            <v>584.35150621425839</v>
          </cell>
          <cell r="X16">
            <v>595.39533435843293</v>
          </cell>
          <cell r="Y16">
            <v>606.89698189653859</v>
          </cell>
          <cell r="Z16">
            <v>618.60158972757563</v>
          </cell>
          <cell r="AA16">
            <v>630.51211733647904</v>
          </cell>
          <cell r="AB16">
            <v>642.63154533224792</v>
          </cell>
          <cell r="AC16">
            <v>654.96287465446994</v>
          </cell>
          <cell r="AD16">
            <v>667.50912572697041</v>
          </cell>
          <cell r="AE16">
            <v>680.27333755643679</v>
          </cell>
          <cell r="AF16">
            <v>693.25856677379727</v>
          </cell>
          <cell r="AG16">
            <v>706.46788661605297</v>
          </cell>
          <cell r="AH16">
            <v>719.90438584618789</v>
          </cell>
        </row>
        <row r="17">
          <cell r="A17" t="str">
            <v>Butene-1 (Transfer)</v>
          </cell>
          <cell r="B17">
            <v>1</v>
          </cell>
          <cell r="C17" t="str">
            <v>* NWE</v>
          </cell>
          <cell r="D17" t="str">
            <v>$/ton</v>
          </cell>
          <cell r="E17">
            <v>850</v>
          </cell>
          <cell r="F17">
            <v>790.74399999999991</v>
          </cell>
          <cell r="G17">
            <v>762.74400000000003</v>
          </cell>
          <cell r="H17">
            <v>774.30000000000007</v>
          </cell>
          <cell r="I17">
            <v>771.97500000000002</v>
          </cell>
          <cell r="J17">
            <v>781.60799999999995</v>
          </cell>
          <cell r="K17">
            <v>791.88800000000003</v>
          </cell>
          <cell r="L17">
            <v>801.72</v>
          </cell>
          <cell r="M17">
            <v>813.65700000000004</v>
          </cell>
          <cell r="N17">
            <v>825.17400000000009</v>
          </cell>
          <cell r="O17">
            <v>840.74</v>
          </cell>
          <cell r="P17">
            <v>855.41399999999999</v>
          </cell>
          <cell r="Q17">
            <v>869.76800000000003</v>
          </cell>
          <cell r="R17">
            <v>886.46400000000006</v>
          </cell>
          <cell r="S17">
            <v>901.48599999999999</v>
          </cell>
          <cell r="T17">
            <v>918.24300000000005</v>
          </cell>
          <cell r="U17">
            <v>933.88200000000006</v>
          </cell>
          <cell r="V17">
            <v>952.81000000000006</v>
          </cell>
          <cell r="W17">
            <v>970.596</v>
          </cell>
          <cell r="X17">
            <v>988.07800000000009</v>
          </cell>
          <cell r="Y17">
            <v>1006.2773500000001</v>
          </cell>
          <cell r="Z17">
            <v>1024.76911875</v>
          </cell>
          <cell r="AA17">
            <v>1043.55655259375</v>
          </cell>
          <cell r="AB17">
            <v>1062.6428774304684</v>
          </cell>
          <cell r="AC17">
            <v>1082.0312956636519</v>
          </cell>
          <cell r="AD17">
            <v>1101.7249830101005</v>
          </cell>
          <cell r="AE17">
            <v>1121.7270851640817</v>
          </cell>
          <cell r="AF17">
            <v>1142.0407143113807</v>
          </cell>
          <cell r="AG17">
            <v>1162.6689454878172</v>
          </cell>
          <cell r="AH17">
            <v>1183.614812776631</v>
          </cell>
        </row>
        <row r="18">
          <cell r="A18" t="str">
            <v>Butene-1 (Market)</v>
          </cell>
          <cell r="B18">
            <v>1</v>
          </cell>
          <cell r="C18" t="str">
            <v>* NWE</v>
          </cell>
          <cell r="D18" t="str">
            <v>$/ton</v>
          </cell>
          <cell r="E18">
            <v>730</v>
          </cell>
          <cell r="F18">
            <v>668.46399999999994</v>
          </cell>
          <cell r="G18">
            <v>637.70400000000006</v>
          </cell>
          <cell r="H18">
            <v>646.14</v>
          </cell>
          <cell r="I18">
            <v>640.57499999999993</v>
          </cell>
          <cell r="J18">
            <v>646.84799999999996</v>
          </cell>
          <cell r="K18">
            <v>653.76800000000003</v>
          </cell>
          <cell r="L18">
            <v>660.24</v>
          </cell>
          <cell r="M18">
            <v>668.577</v>
          </cell>
          <cell r="N18">
            <v>676.49400000000003</v>
          </cell>
          <cell r="O18">
            <v>688.34</v>
          </cell>
          <cell r="P18">
            <v>699.17399999999998</v>
          </cell>
          <cell r="Q18">
            <v>709.68799999999999</v>
          </cell>
          <cell r="R18">
            <v>722.30400000000009</v>
          </cell>
          <cell r="S18">
            <v>733.24599999999998</v>
          </cell>
          <cell r="T18">
            <v>745.803</v>
          </cell>
          <cell r="U18">
            <v>757.12200000000007</v>
          </cell>
          <cell r="V18">
            <v>771.61</v>
          </cell>
          <cell r="W18">
            <v>784.83600000000001</v>
          </cell>
          <cell r="X18">
            <v>797.75800000000004</v>
          </cell>
          <cell r="Y18">
            <v>811.19934999999998</v>
          </cell>
          <cell r="Z18">
            <v>824.81416875000002</v>
          </cell>
          <cell r="AA18">
            <v>838.6027288437499</v>
          </cell>
          <cell r="AB18">
            <v>852.56520808671848</v>
          </cell>
          <cell r="AC18">
            <v>866.70168458630826</v>
          </cell>
          <cell r="AD18">
            <v>881.01213165582328</v>
          </cell>
          <cell r="AE18">
            <v>895.49641252594768</v>
          </cell>
          <cell r="AF18">
            <v>910.15427485729333</v>
          </cell>
          <cell r="AG18">
            <v>924.98534504737756</v>
          </cell>
          <cell r="AH18">
            <v>939.98912232518035</v>
          </cell>
        </row>
        <row r="19">
          <cell r="A19" t="str">
            <v>Butene-1 (NWE)</v>
          </cell>
          <cell r="B19">
            <v>0</v>
          </cell>
          <cell r="C19">
            <v>0</v>
          </cell>
          <cell r="D19" t="str">
            <v>$/ton</v>
          </cell>
          <cell r="E19">
            <v>730</v>
          </cell>
          <cell r="F19">
            <v>668.46399999999994</v>
          </cell>
          <cell r="G19">
            <v>637.70400000000006</v>
          </cell>
          <cell r="H19">
            <v>646.14</v>
          </cell>
          <cell r="I19">
            <v>640.57499999999993</v>
          </cell>
          <cell r="J19">
            <v>646.84799999999996</v>
          </cell>
          <cell r="K19">
            <v>653.76800000000003</v>
          </cell>
          <cell r="L19">
            <v>660.24</v>
          </cell>
          <cell r="M19">
            <v>668.577</v>
          </cell>
          <cell r="N19">
            <v>676.49400000000003</v>
          </cell>
          <cell r="O19">
            <v>688.34</v>
          </cell>
          <cell r="P19">
            <v>699.17399999999998</v>
          </cell>
          <cell r="Q19">
            <v>709.68799999999999</v>
          </cell>
          <cell r="R19">
            <v>722.30400000000009</v>
          </cell>
          <cell r="S19">
            <v>733.24599999999998</v>
          </cell>
          <cell r="T19">
            <v>745.803</v>
          </cell>
          <cell r="U19">
            <v>757.12200000000007</v>
          </cell>
          <cell r="V19">
            <v>771.61</v>
          </cell>
          <cell r="W19">
            <v>784.83600000000001</v>
          </cell>
          <cell r="X19">
            <v>797.75800000000004</v>
          </cell>
          <cell r="Y19">
            <v>811.19934999999998</v>
          </cell>
          <cell r="Z19">
            <v>824.81416875000002</v>
          </cell>
          <cell r="AA19">
            <v>838.6027288437499</v>
          </cell>
          <cell r="AB19">
            <v>852.56520808671848</v>
          </cell>
          <cell r="AC19">
            <v>866.70168458630826</v>
          </cell>
          <cell r="AD19">
            <v>881.01213165582328</v>
          </cell>
          <cell r="AE19">
            <v>895.49641252594768</v>
          </cell>
          <cell r="AF19">
            <v>910.15427485729333</v>
          </cell>
          <cell r="AG19">
            <v>924.98534504737756</v>
          </cell>
          <cell r="AH19">
            <v>939.98912232518035</v>
          </cell>
        </row>
        <row r="20">
          <cell r="A20" t="str">
            <v>Catalyst (HDPE)</v>
          </cell>
          <cell r="B20">
            <v>0</v>
          </cell>
          <cell r="C20">
            <v>0</v>
          </cell>
          <cell r="D20" t="str">
            <v>$/ton HDPE</v>
          </cell>
          <cell r="E20">
            <v>19.013865573983026</v>
          </cell>
          <cell r="F20">
            <v>19.3751290198887</v>
          </cell>
          <cell r="G20">
            <v>19.812447928090315</v>
          </cell>
          <cell r="H20">
            <v>20.306808433013874</v>
          </cell>
          <cell r="I20">
            <v>20.820182803511411</v>
          </cell>
          <cell r="J20">
            <v>21.352571039582937</v>
          </cell>
          <cell r="K20">
            <v>21.884959275654463</v>
          </cell>
          <cell r="L20">
            <v>22.417347511725989</v>
          </cell>
          <cell r="M20">
            <v>22.987763478945478</v>
          </cell>
          <cell r="N20">
            <v>23.558179446164971</v>
          </cell>
          <cell r="O20">
            <v>24.147609278958441</v>
          </cell>
          <cell r="P20">
            <v>24.756052977325901</v>
          </cell>
          <cell r="Q20">
            <v>25.364496675693356</v>
          </cell>
          <cell r="R20">
            <v>26.010968105208782</v>
          </cell>
          <cell r="S20">
            <v>26.657439534724201</v>
          </cell>
          <cell r="T20">
            <v>27.322924829813608</v>
          </cell>
          <cell r="U20">
            <v>28.007423990476997</v>
          </cell>
          <cell r="V20">
            <v>28.710937016714368</v>
          </cell>
          <cell r="W20">
            <v>29.433463908525724</v>
          </cell>
          <cell r="X20">
            <v>30.155990800337079</v>
          </cell>
          <cell r="Y20">
            <v>30.909890570345507</v>
          </cell>
          <cell r="Z20">
            <v>31.682637834604144</v>
          </cell>
          <cell r="AA20">
            <v>32.474703780469241</v>
          </cell>
          <cell r="AB20">
            <v>33.286571374980966</v>
          </cell>
          <cell r="AC20">
            <v>34.118735659355487</v>
          </cell>
          <cell r="AD20">
            <v>34.971704050839371</v>
          </cell>
          <cell r="AE20">
            <v>35.845996652110351</v>
          </cell>
          <cell r="AF20">
            <v>36.742146568413105</v>
          </cell>
          <cell r="AG20">
            <v>37.660700232623434</v>
          </cell>
          <cell r="AH20">
            <v>38.602217738439016</v>
          </cell>
        </row>
        <row r="21">
          <cell r="A21" t="str">
            <v>Catalyst (MEG)</v>
          </cell>
          <cell r="B21">
            <v>0</v>
          </cell>
          <cell r="C21">
            <v>0</v>
          </cell>
          <cell r="D21" t="str">
            <v>$/ton MEG</v>
          </cell>
          <cell r="E21">
            <v>11.863442766503693</v>
          </cell>
          <cell r="F21">
            <v>12.088848179067263</v>
          </cell>
          <cell r="G21">
            <v>12.361707362696849</v>
          </cell>
          <cell r="H21">
            <v>12.670156874625945</v>
          </cell>
          <cell r="I21">
            <v>12.990469829321544</v>
          </cell>
          <cell r="J21">
            <v>13.322646226783649</v>
          </cell>
          <cell r="K21">
            <v>13.654822624245751</v>
          </cell>
          <cell r="L21">
            <v>13.986999021707856</v>
          </cell>
          <cell r="M21">
            <v>14.342902304702966</v>
          </cell>
          <cell r="N21">
            <v>14.698805587698077</v>
          </cell>
          <cell r="O21">
            <v>15.066572313459691</v>
          </cell>
          <cell r="P21">
            <v>15.446202481987809</v>
          </cell>
          <cell r="Q21">
            <v>15.825832650515927</v>
          </cell>
          <cell r="R21">
            <v>16.229189704577053</v>
          </cell>
          <cell r="S21">
            <v>16.632546758638178</v>
          </cell>
          <cell r="T21">
            <v>17.047767255465807</v>
          </cell>
          <cell r="U21">
            <v>17.474851195059941</v>
          </cell>
          <cell r="V21">
            <v>17.913798577420579</v>
          </cell>
          <cell r="W21">
            <v>18.364609402547718</v>
          </cell>
          <cell r="X21">
            <v>18.81542022767486</v>
          </cell>
          <cell r="Y21">
            <v>19.285805733366729</v>
          </cell>
          <cell r="Z21">
            <v>19.767950876700898</v>
          </cell>
          <cell r="AA21">
            <v>20.262149648618418</v>
          </cell>
          <cell r="AB21">
            <v>20.768703389833874</v>
          </cell>
          <cell r="AC21">
            <v>21.28792097457972</v>
          </cell>
          <cell r="AD21">
            <v>21.82011899894421</v>
          </cell>
          <cell r="AE21">
            <v>22.365621973917811</v>
          </cell>
          <cell r="AF21">
            <v>22.924762523265755</v>
          </cell>
          <cell r="AG21">
            <v>23.497881586347397</v>
          </cell>
          <cell r="AH21">
            <v>24.085328626006081</v>
          </cell>
        </row>
        <row r="22">
          <cell r="A22" t="str">
            <v>Oxygen</v>
          </cell>
          <cell r="B22">
            <v>0</v>
          </cell>
          <cell r="C22">
            <v>0</v>
          </cell>
          <cell r="D22" t="str">
            <v>$/ton</v>
          </cell>
          <cell r="E22">
            <v>57.534934556052903</v>
          </cell>
          <cell r="F22">
            <v>58.628098312617901</v>
          </cell>
          <cell r="G22">
            <v>59.95140180740713</v>
          </cell>
          <cell r="H22">
            <v>61.447310105864503</v>
          </cell>
          <cell r="I22">
            <v>63.000753338877928</v>
          </cell>
          <cell r="J22">
            <v>64.611731506447413</v>
          </cell>
          <cell r="K22">
            <v>66.222709674016897</v>
          </cell>
          <cell r="L22">
            <v>67.833687841586382</v>
          </cell>
          <cell r="M22">
            <v>69.559735878267958</v>
          </cell>
          <cell r="N22">
            <v>71.285783914949548</v>
          </cell>
          <cell r="O22">
            <v>73.069366886187183</v>
          </cell>
          <cell r="P22">
            <v>74.910484791980878</v>
          </cell>
          <cell r="Q22">
            <v>76.751602697774572</v>
          </cell>
          <cell r="R22">
            <v>78.707790472680372</v>
          </cell>
          <cell r="S22">
            <v>80.663978247586172</v>
          </cell>
          <cell r="T22">
            <v>82.677700957048032</v>
          </cell>
          <cell r="U22">
            <v>84.748958601065937</v>
          </cell>
          <cell r="V22">
            <v>86.877751179639887</v>
          </cell>
          <cell r="W22">
            <v>89.064078692769897</v>
          </cell>
          <cell r="X22">
            <v>91.250406205899907</v>
          </cell>
          <cell r="Y22">
            <v>93.5316663610474</v>
          </cell>
          <cell r="Z22">
            <v>95.869958020073582</v>
          </cell>
          <cell r="AA22">
            <v>98.266706970575413</v>
          </cell>
          <cell r="AB22">
            <v>100.72337464483978</v>
          </cell>
          <cell r="AC22">
            <v>103.24145901096077</v>
          </cell>
          <cell r="AD22">
            <v>105.82249548623477</v>
          </cell>
          <cell r="AE22">
            <v>108.46805787339063</v>
          </cell>
          <cell r="AF22">
            <v>111.17975932022539</v>
          </cell>
          <cell r="AG22">
            <v>113.95925330323101</v>
          </cell>
          <cell r="AH22">
            <v>116.80823463581179</v>
          </cell>
        </row>
        <row r="23">
          <cell r="A23" t="str">
            <v>DEG (Export)</v>
          </cell>
          <cell r="B23">
            <v>0</v>
          </cell>
          <cell r="C23">
            <v>0</v>
          </cell>
          <cell r="D23" t="str">
            <v>$/ton</v>
          </cell>
          <cell r="E23">
            <v>504.83590781180197</v>
          </cell>
          <cell r="F23">
            <v>525.26493238830369</v>
          </cell>
          <cell r="G23">
            <v>511.1429950318842</v>
          </cell>
          <cell r="H23">
            <v>519.5322865147424</v>
          </cell>
          <cell r="I23">
            <v>519.45336652409947</v>
          </cell>
          <cell r="J23">
            <v>527.48423267330827</v>
          </cell>
          <cell r="K23">
            <v>535.81937067579418</v>
          </cell>
          <cell r="L23">
            <v>543.76656194907991</v>
          </cell>
          <cell r="M23">
            <v>552.63609839389346</v>
          </cell>
          <cell r="N23">
            <v>561.39422867079998</v>
          </cell>
          <cell r="O23">
            <v>572.62852509793129</v>
          </cell>
          <cell r="P23">
            <v>583.66178099870785</v>
          </cell>
          <cell r="Q23">
            <v>594.76568403862029</v>
          </cell>
          <cell r="R23">
            <v>606.5259976347561</v>
          </cell>
          <cell r="S23">
            <v>617.76665198466219</v>
          </cell>
          <cell r="T23">
            <v>629.93009282937396</v>
          </cell>
          <cell r="U23">
            <v>642.31830778980031</v>
          </cell>
          <cell r="V23">
            <v>655.10274662130405</v>
          </cell>
          <cell r="W23">
            <v>668.21055789510513</v>
          </cell>
          <cell r="X23">
            <v>681.20914660611277</v>
          </cell>
          <cell r="Y23">
            <v>694.7671031579639</v>
          </cell>
          <cell r="Z23">
            <v>708.59490075170015</v>
          </cell>
          <cell r="AA23">
            <v>722.69790997451935</v>
          </cell>
          <cell r="AB23">
            <v>737.08160830324073</v>
          </cell>
          <cell r="AC23">
            <v>751.75158223170615</v>
          </cell>
          <cell r="AD23">
            <v>766.7135294405216</v>
          </cell>
          <cell r="AE23">
            <v>781.97326100998271</v>
          </cell>
          <cell r="AF23">
            <v>797.53670367704513</v>
          </cell>
          <cell r="AG23">
            <v>813.40990213721238</v>
          </cell>
          <cell r="AH23">
            <v>829.59902139223982</v>
          </cell>
        </row>
        <row r="24">
          <cell r="A24" t="str">
            <v>TEG (Export)</v>
          </cell>
          <cell r="B24">
            <v>0</v>
          </cell>
          <cell r="C24">
            <v>0</v>
          </cell>
          <cell r="D24" t="str">
            <v>$/ton</v>
          </cell>
          <cell r="E24">
            <v>504.83590781180197</v>
          </cell>
          <cell r="F24">
            <v>525.26493238830369</v>
          </cell>
          <cell r="G24">
            <v>511.1429950318842</v>
          </cell>
          <cell r="H24">
            <v>519.5322865147424</v>
          </cell>
          <cell r="I24">
            <v>519.45336652409947</v>
          </cell>
          <cell r="J24">
            <v>527.48423267330827</v>
          </cell>
          <cell r="K24">
            <v>535.81937067579418</v>
          </cell>
          <cell r="L24">
            <v>543.76656194907991</v>
          </cell>
          <cell r="M24">
            <v>552.63609839389346</v>
          </cell>
          <cell r="N24">
            <v>561.39422867079998</v>
          </cell>
          <cell r="O24">
            <v>572.62852509793129</v>
          </cell>
          <cell r="P24">
            <v>583.66178099870785</v>
          </cell>
          <cell r="Q24">
            <v>594.76568403862029</v>
          </cell>
          <cell r="R24">
            <v>606.5259976347561</v>
          </cell>
          <cell r="S24">
            <v>617.76665198466219</v>
          </cell>
          <cell r="T24">
            <v>629.93009282937396</v>
          </cell>
          <cell r="U24">
            <v>642.31830778980031</v>
          </cell>
          <cell r="V24">
            <v>655.10274662130405</v>
          </cell>
          <cell r="W24">
            <v>668.21055789510513</v>
          </cell>
          <cell r="X24">
            <v>681.20914660611277</v>
          </cell>
          <cell r="Y24">
            <v>694.7671031579639</v>
          </cell>
          <cell r="Z24">
            <v>708.59490075170015</v>
          </cell>
          <cell r="AA24">
            <v>722.69790997451935</v>
          </cell>
          <cell r="AB24">
            <v>737.08160830324073</v>
          </cell>
          <cell r="AC24">
            <v>751.75158223170615</v>
          </cell>
          <cell r="AD24">
            <v>766.7135294405216</v>
          </cell>
          <cell r="AE24">
            <v>781.97326100998271</v>
          </cell>
          <cell r="AF24">
            <v>797.53670367704513</v>
          </cell>
          <cell r="AG24">
            <v>813.40990213721238</v>
          </cell>
          <cell r="AH24">
            <v>829.59902139223982</v>
          </cell>
        </row>
        <row r="25">
          <cell r="A25" t="str">
            <v>Oxygen (Internal)</v>
          </cell>
          <cell r="B25" t="str">
            <v>Direct into Current</v>
          </cell>
          <cell r="C25">
            <v>2</v>
          </cell>
          <cell r="D25" t="str">
            <v>$/ton</v>
          </cell>
          <cell r="E25">
            <v>0</v>
          </cell>
          <cell r="F25">
            <v>0</v>
          </cell>
          <cell r="G25">
            <v>0</v>
          </cell>
          <cell r="H25">
            <v>0</v>
          </cell>
          <cell r="I25">
            <v>0</v>
          </cell>
          <cell r="J25">
            <v>36.370543003982917</v>
          </cell>
          <cell r="K25">
            <v>35.647920332226917</v>
          </cell>
          <cell r="L25">
            <v>35.495409347815233</v>
          </cell>
          <cell r="M25">
            <v>35.709374301776421</v>
          </cell>
          <cell r="N25">
            <v>35.926926300713419</v>
          </cell>
          <cell r="O25">
            <v>36.153849780370187</v>
          </cell>
          <cell r="P25">
            <v>36.390395867163186</v>
          </cell>
          <cell r="Q25">
            <v>36.631075495528677</v>
          </cell>
          <cell r="R25">
            <v>36.887616904910523</v>
          </cell>
          <cell r="S25">
            <v>37.148755394496895</v>
          </cell>
          <cell r="T25">
            <v>37.420532393547298</v>
          </cell>
          <cell r="U25">
            <v>37.703250633092615</v>
          </cell>
          <cell r="V25">
            <v>37.997225011419118</v>
          </cell>
          <cell r="W25">
            <v>38.302783043249534</v>
          </cell>
          <cell r="X25">
            <v>38.614178200821314</v>
          </cell>
          <cell r="Y25">
            <v>38.941736809206958</v>
          </cell>
          <cell r="Z25">
            <v>39.28184846806635</v>
          </cell>
          <cell r="AA25">
            <v>39.635047935477829</v>
          </cell>
          <cell r="AB25">
            <v>40.001894523144891</v>
          </cell>
          <cell r="AC25">
            <v>40.382973276460952</v>
          </cell>
          <cell r="AD25">
            <v>40.77889621274069</v>
          </cell>
          <cell r="AE25">
            <v>41.190303620523558</v>
          </cell>
          <cell r="AF25">
            <v>41.617865423000751</v>
          </cell>
          <cell r="AG25">
            <v>42.062282608770559</v>
          </cell>
          <cell r="AH25">
            <v>43.914204537430805</v>
          </cell>
        </row>
        <row r="26">
          <cell r="A26" t="str">
            <v>Catalyst (Butene-1)</v>
          </cell>
          <cell r="B26" t="str">
            <v>0.0056$/lb in 1998</v>
          </cell>
          <cell r="C26">
            <v>0</v>
          </cell>
          <cell r="D26" t="str">
            <v>$/ton Butene-1</v>
          </cell>
          <cell r="E26">
            <v>12.104867121951218</v>
          </cell>
          <cell r="F26">
            <v>12.33485959726829</v>
          </cell>
          <cell r="G26">
            <v>12.61327154107317</v>
          </cell>
          <cell r="H26">
            <v>12.927998086243901</v>
          </cell>
          <cell r="I26">
            <v>13.254829498536584</v>
          </cell>
          <cell r="J26">
            <v>13.593765777951218</v>
          </cell>
          <cell r="K26">
            <v>13.932702057365852</v>
          </cell>
          <cell r="L26">
            <v>14.271638336780486</v>
          </cell>
          <cell r="M26">
            <v>14.634784350439023</v>
          </cell>
          <cell r="N26">
            <v>14.997930364097559</v>
          </cell>
          <cell r="O26">
            <v>15.373181244878047</v>
          </cell>
          <cell r="P26">
            <v>15.760536992780485</v>
          </cell>
          <cell r="Q26">
            <v>16.147892740682924</v>
          </cell>
          <cell r="R26">
            <v>16.559458222829267</v>
          </cell>
          <cell r="S26">
            <v>16.971023704975607</v>
          </cell>
          <cell r="T26">
            <v>17.394694054243899</v>
          </cell>
          <cell r="U26">
            <v>17.830469270634143</v>
          </cell>
          <cell r="V26">
            <v>18.278349354146339</v>
          </cell>
          <cell r="W26">
            <v>18.738334304780487</v>
          </cell>
          <cell r="X26">
            <v>19.198319255414631</v>
          </cell>
          <cell r="Y26">
            <v>19.678277236799996</v>
          </cell>
          <cell r="Z26">
            <v>20.170234167719997</v>
          </cell>
          <cell r="AA26">
            <v>20.674490021912995</v>
          </cell>
          <cell r="AB26">
            <v>21.191352272460815</v>
          </cell>
          <cell r="AC26">
            <v>21.721136079272334</v>
          </cell>
          <cell r="AD26">
            <v>22.264164481254138</v>
          </cell>
          <cell r="AE26">
            <v>22.820768593285489</v>
          </cell>
          <cell r="AF26">
            <v>23.391287808117625</v>
          </cell>
          <cell r="AG26">
            <v>23.976070003320565</v>
          </cell>
          <cell r="AH26">
            <v>24.57547175340358</v>
          </cell>
        </row>
        <row r="27">
          <cell r="A27" t="str">
            <v>Ethylene/Propylene Mix</v>
          </cell>
          <cell r="B27" t="str">
            <v>50% of C2 price</v>
          </cell>
          <cell r="C27">
            <v>0</v>
          </cell>
          <cell r="D27" t="str">
            <v>$/ton</v>
          </cell>
          <cell r="E27">
            <v>199.25715480193702</v>
          </cell>
          <cell r="F27">
            <v>170.65807970957903</v>
          </cell>
          <cell r="G27">
            <v>161.7435181753664</v>
          </cell>
          <cell r="H27">
            <v>164.2275578765699</v>
          </cell>
          <cell r="I27">
            <v>162.49831643014019</v>
          </cell>
          <cell r="J27">
            <v>164.41600913824655</v>
          </cell>
          <cell r="K27">
            <v>166.55193141334905</v>
          </cell>
          <cell r="L27">
            <v>168.47181835803477</v>
          </cell>
          <cell r="M27">
            <v>170.73074096195668</v>
          </cell>
          <cell r="N27">
            <v>172.94057235518383</v>
          </cell>
          <cell r="O27">
            <v>176.38592518829313</v>
          </cell>
          <cell r="P27">
            <v>179.60762950135484</v>
          </cell>
          <cell r="Q27">
            <v>182.9005733424149</v>
          </cell>
          <cell r="R27">
            <v>186.3557494357602</v>
          </cell>
          <cell r="S27">
            <v>189.52864884326308</v>
          </cell>
          <cell r="T27">
            <v>193.15582845222801</v>
          </cell>
          <cell r="U27">
            <v>196.81914490034171</v>
          </cell>
          <cell r="V27">
            <v>200.62249209578658</v>
          </cell>
          <cell r="W27">
            <v>204.5230271749904</v>
          </cell>
          <cell r="X27">
            <v>208.38836702545149</v>
          </cell>
          <cell r="Y27">
            <v>212.41394366378853</v>
          </cell>
          <cell r="Z27">
            <v>216.51055640465145</v>
          </cell>
          <cell r="AA27">
            <v>220.67924106776766</v>
          </cell>
          <cell r="AB27">
            <v>224.92104086628675</v>
          </cell>
          <cell r="AC27">
            <v>229.23700612906447</v>
          </cell>
          <cell r="AD27">
            <v>233.62819400443962</v>
          </cell>
          <cell r="AE27">
            <v>238.09566814475286</v>
          </cell>
          <cell r="AF27">
            <v>242.64049837082902</v>
          </cell>
          <cell r="AG27">
            <v>247.26376031561853</v>
          </cell>
          <cell r="AH27">
            <v>251.96653504616575</v>
          </cell>
        </row>
        <row r="28">
          <cell r="A28" t="str">
            <v>C4 Mix</v>
          </cell>
          <cell r="B28" t="str">
            <v>45% of C2 price</v>
          </cell>
          <cell r="C28">
            <v>0</v>
          </cell>
          <cell r="D28" t="str">
            <v>$/ton</v>
          </cell>
          <cell r="E28">
            <v>179.33143932174332</v>
          </cell>
          <cell r="F28">
            <v>153.59227173862112</v>
          </cell>
          <cell r="G28">
            <v>145.56916635782977</v>
          </cell>
          <cell r="H28">
            <v>147.80480208891291</v>
          </cell>
          <cell r="I28">
            <v>146.24848478712619</v>
          </cell>
          <cell r="J28">
            <v>147.97440822442189</v>
          </cell>
          <cell r="K28">
            <v>149.89673827201415</v>
          </cell>
          <cell r="L28">
            <v>151.62463652223127</v>
          </cell>
          <cell r="M28">
            <v>153.65766686576103</v>
          </cell>
          <cell r="N28">
            <v>155.64651511966548</v>
          </cell>
          <cell r="O28">
            <v>158.74733266946382</v>
          </cell>
          <cell r="P28">
            <v>161.64686655121938</v>
          </cell>
          <cell r="Q28">
            <v>164.61051600817342</v>
          </cell>
          <cell r="R28">
            <v>167.72017449218421</v>
          </cell>
          <cell r="S28">
            <v>170.5757839589368</v>
          </cell>
          <cell r="T28">
            <v>173.84024560700522</v>
          </cell>
          <cell r="U28">
            <v>177.13723041030755</v>
          </cell>
          <cell r="V28">
            <v>180.56024288620793</v>
          </cell>
          <cell r="W28">
            <v>184.07072445749139</v>
          </cell>
          <cell r="X28">
            <v>187.54953032290635</v>
          </cell>
          <cell r="Y28">
            <v>191.17254929740966</v>
          </cell>
          <cell r="Z28">
            <v>194.85950076418632</v>
          </cell>
          <cell r="AA28">
            <v>198.61131696099088</v>
          </cell>
          <cell r="AB28">
            <v>202.42893677965807</v>
          </cell>
          <cell r="AC28">
            <v>206.31330551615801</v>
          </cell>
          <cell r="AD28">
            <v>210.26537460399564</v>
          </cell>
          <cell r="AE28">
            <v>214.28610133027757</v>
          </cell>
          <cell r="AF28">
            <v>218.37644853374613</v>
          </cell>
          <cell r="AG28">
            <v>222.53738428405666</v>
          </cell>
          <cell r="AH28">
            <v>226.76988154154918</v>
          </cell>
        </row>
        <row r="29">
          <cell r="A29" t="str">
            <v>C5+ LAO's</v>
          </cell>
          <cell r="B29" t="str">
            <v>150% of C2 price</v>
          </cell>
          <cell r="C29">
            <v>0</v>
          </cell>
          <cell r="D29" t="str">
            <v>$/ton</v>
          </cell>
          <cell r="E29">
            <v>597.771464405811</v>
          </cell>
          <cell r="F29">
            <v>511.97423912873705</v>
          </cell>
          <cell r="G29">
            <v>485.23055452609918</v>
          </cell>
          <cell r="H29">
            <v>492.68267362970971</v>
          </cell>
          <cell r="I29">
            <v>487.49494929042055</v>
          </cell>
          <cell r="J29">
            <v>493.24802741473968</v>
          </cell>
          <cell r="K29">
            <v>499.6557942400471</v>
          </cell>
          <cell r="L29">
            <v>505.41545507410433</v>
          </cell>
          <cell r="M29">
            <v>512.19222288587002</v>
          </cell>
          <cell r="N29">
            <v>518.82171706555152</v>
          </cell>
          <cell r="O29">
            <v>529.15777556487944</v>
          </cell>
          <cell r="P29">
            <v>538.82288850406451</v>
          </cell>
          <cell r="Q29">
            <v>548.70172002724473</v>
          </cell>
          <cell r="R29">
            <v>559.06724830728069</v>
          </cell>
          <cell r="S29">
            <v>568.58594652978923</v>
          </cell>
          <cell r="T29">
            <v>579.46748535668405</v>
          </cell>
          <cell r="U29">
            <v>590.45743470102514</v>
          </cell>
          <cell r="V29">
            <v>601.86747628735975</v>
          </cell>
          <cell r="W29">
            <v>613.56908152497124</v>
          </cell>
          <cell r="X29">
            <v>625.16510107635452</v>
          </cell>
          <cell r="Y29">
            <v>637.24183099136553</v>
          </cell>
          <cell r="Z29">
            <v>649.53166921395439</v>
          </cell>
          <cell r="AA29">
            <v>662.0377232033029</v>
          </cell>
          <cell r="AB29">
            <v>674.76312259886026</v>
          </cell>
          <cell r="AC29">
            <v>687.71101838719346</v>
          </cell>
          <cell r="AD29">
            <v>700.88458201331889</v>
          </cell>
          <cell r="AE29">
            <v>714.28700443425862</v>
          </cell>
          <cell r="AF29">
            <v>727.92149511248704</v>
          </cell>
          <cell r="AG29">
            <v>741.79128094685564</v>
          </cell>
          <cell r="AH29">
            <v>755.89960513849724</v>
          </cell>
        </row>
        <row r="30">
          <cell r="A30" t="str">
            <v>Purge Gas</v>
          </cell>
          <cell r="B30" t="str">
            <v>Methane equivalent</v>
          </cell>
          <cell r="C30">
            <v>0</v>
          </cell>
          <cell r="D30" t="str">
            <v>$/ton</v>
          </cell>
          <cell r="E30">
            <v>0</v>
          </cell>
          <cell r="F30">
            <v>32.679611640000005</v>
          </cell>
          <cell r="G30">
            <v>32.679611640000005</v>
          </cell>
          <cell r="H30">
            <v>32.679611640000005</v>
          </cell>
          <cell r="I30">
            <v>32.679611640000005</v>
          </cell>
          <cell r="J30">
            <v>32.679611640000005</v>
          </cell>
          <cell r="K30">
            <v>32.679611640000005</v>
          </cell>
          <cell r="L30">
            <v>32.679611640000005</v>
          </cell>
          <cell r="M30">
            <v>32.679611640000005</v>
          </cell>
          <cell r="N30">
            <v>32.679611640000005</v>
          </cell>
          <cell r="O30">
            <v>32.679611640000005</v>
          </cell>
          <cell r="P30">
            <v>32.679611640000005</v>
          </cell>
          <cell r="Q30">
            <v>32.679611640000005</v>
          </cell>
          <cell r="R30">
            <v>32.679611640000005</v>
          </cell>
          <cell r="S30">
            <v>32.679611640000005</v>
          </cell>
          <cell r="T30">
            <v>32.679611640000005</v>
          </cell>
          <cell r="U30">
            <v>32.679611640000005</v>
          </cell>
          <cell r="V30">
            <v>32.679611640000005</v>
          </cell>
          <cell r="W30">
            <v>32.679611640000005</v>
          </cell>
          <cell r="X30">
            <v>32.679611640000005</v>
          </cell>
          <cell r="Y30">
            <v>32.679611640000005</v>
          </cell>
          <cell r="Z30">
            <v>32.679611640000005</v>
          </cell>
          <cell r="AA30">
            <v>32.679611640000005</v>
          </cell>
          <cell r="AB30">
            <v>32.679611640000005</v>
          </cell>
          <cell r="AC30">
            <v>32.679611640000005</v>
          </cell>
          <cell r="AD30">
            <v>32.679611640000005</v>
          </cell>
          <cell r="AE30">
            <v>32.679611640000005</v>
          </cell>
          <cell r="AF30">
            <v>32.679611640000005</v>
          </cell>
          <cell r="AG30">
            <v>32.679611640000005</v>
          </cell>
          <cell r="AH30">
            <v>32.679611640000005</v>
          </cell>
        </row>
        <row r="31">
          <cell r="A31" t="str">
            <v>Polymer Freight (Western Europe)</v>
          </cell>
          <cell r="B31">
            <v>0</v>
          </cell>
          <cell r="C31">
            <v>0</v>
          </cell>
          <cell r="D31" t="str">
            <v>$/ton</v>
          </cell>
          <cell r="E31">
            <v>60</v>
          </cell>
          <cell r="F31">
            <v>61.139999999999993</v>
          </cell>
          <cell r="G31">
            <v>62.52</v>
          </cell>
          <cell r="H31">
            <v>64.08</v>
          </cell>
          <cell r="I31">
            <v>65.7</v>
          </cell>
          <cell r="J31">
            <v>67.38</v>
          </cell>
          <cell r="K31">
            <v>69.06</v>
          </cell>
          <cell r="L31">
            <v>70.740000000000009</v>
          </cell>
          <cell r="M31">
            <v>72.540000000000006</v>
          </cell>
          <cell r="N31">
            <v>74.34</v>
          </cell>
          <cell r="O31">
            <v>76.2</v>
          </cell>
          <cell r="P31">
            <v>78.12</v>
          </cell>
          <cell r="Q31">
            <v>80.040000000000006</v>
          </cell>
          <cell r="R31">
            <v>82.080000000000013</v>
          </cell>
          <cell r="S31">
            <v>84.11999999999999</v>
          </cell>
          <cell r="T31">
            <v>86.22</v>
          </cell>
          <cell r="U31">
            <v>88.38000000000001</v>
          </cell>
          <cell r="V31">
            <v>90.6</v>
          </cell>
          <cell r="W31">
            <v>92.88</v>
          </cell>
          <cell r="X31">
            <v>95.160000000000011</v>
          </cell>
          <cell r="Y31">
            <v>97.539000000000001</v>
          </cell>
          <cell r="Z31">
            <v>99.977474999999998</v>
          </cell>
          <cell r="AA31">
            <v>102.47691187499998</v>
          </cell>
          <cell r="AB31">
            <v>105.03883467187497</v>
          </cell>
          <cell r="AC31">
            <v>107.66480553867183</v>
          </cell>
          <cell r="AD31">
            <v>110.35642567713862</v>
          </cell>
          <cell r="AE31">
            <v>113.11533631906707</v>
          </cell>
          <cell r="AF31">
            <v>115.94321972704374</v>
          </cell>
          <cell r="AG31">
            <v>118.84180022021982</v>
          </cell>
          <cell r="AH31">
            <v>121.81284522572531</v>
          </cell>
        </row>
        <row r="32">
          <cell r="A32" t="str">
            <v>Polymer Freight (East Asia)</v>
          </cell>
          <cell r="B32">
            <v>0</v>
          </cell>
          <cell r="C32">
            <v>0</v>
          </cell>
          <cell r="D32" t="str">
            <v>$/ton</v>
          </cell>
          <cell r="E32">
            <v>56</v>
          </cell>
          <cell r="F32">
            <v>57.063999999999993</v>
          </cell>
          <cell r="G32">
            <v>58.352000000000004</v>
          </cell>
          <cell r="H32">
            <v>59.808000000000007</v>
          </cell>
          <cell r="I32">
            <v>61.32</v>
          </cell>
          <cell r="J32">
            <v>62.887999999999998</v>
          </cell>
          <cell r="K32">
            <v>64.456000000000003</v>
          </cell>
          <cell r="L32">
            <v>66.024000000000001</v>
          </cell>
          <cell r="M32">
            <v>67.704000000000008</v>
          </cell>
          <cell r="N32">
            <v>69.384</v>
          </cell>
          <cell r="O32">
            <v>71.12</v>
          </cell>
          <cell r="P32">
            <v>72.912000000000006</v>
          </cell>
          <cell r="Q32">
            <v>74.704000000000008</v>
          </cell>
          <cell r="R32">
            <v>76.608000000000004</v>
          </cell>
          <cell r="S32">
            <v>78.512</v>
          </cell>
          <cell r="T32">
            <v>80.472000000000008</v>
          </cell>
          <cell r="U32">
            <v>82.488</v>
          </cell>
          <cell r="V32">
            <v>84.56</v>
          </cell>
          <cell r="W32">
            <v>86.688000000000002</v>
          </cell>
          <cell r="X32">
            <v>88.816000000000003</v>
          </cell>
          <cell r="Y32">
            <v>91.0364</v>
          </cell>
          <cell r="Z32">
            <v>93.312309999999997</v>
          </cell>
          <cell r="AA32">
            <v>95.645117749999983</v>
          </cell>
          <cell r="AB32">
            <v>98.036245693749976</v>
          </cell>
          <cell r="AC32">
            <v>100.48715183609372</v>
          </cell>
          <cell r="AD32">
            <v>102.99933063199605</v>
          </cell>
          <cell r="AE32">
            <v>105.57431389779593</v>
          </cell>
          <cell r="AF32">
            <v>108.21367174524082</v>
          </cell>
          <cell r="AG32">
            <v>110.91901353887184</v>
          </cell>
          <cell r="AH32">
            <v>113.69198887734363</v>
          </cell>
        </row>
        <row r="33">
          <cell r="A33" t="str">
            <v>Polymer Freight (West Asia)</v>
          </cell>
          <cell r="B33">
            <v>0</v>
          </cell>
          <cell r="C33">
            <v>0</v>
          </cell>
          <cell r="D33" t="str">
            <v>$/ton</v>
          </cell>
          <cell r="E33">
            <v>40</v>
          </cell>
          <cell r="F33">
            <v>40.76</v>
          </cell>
          <cell r="G33">
            <v>41.68</v>
          </cell>
          <cell r="H33">
            <v>42.72</v>
          </cell>
          <cell r="I33">
            <v>43.8</v>
          </cell>
          <cell r="J33">
            <v>44.92</v>
          </cell>
          <cell r="K33">
            <v>46.04</v>
          </cell>
          <cell r="L33">
            <v>47.160000000000004</v>
          </cell>
          <cell r="M33">
            <v>48.36</v>
          </cell>
          <cell r="N33">
            <v>49.56</v>
          </cell>
          <cell r="O33">
            <v>50.8</v>
          </cell>
          <cell r="P33">
            <v>52.08</v>
          </cell>
          <cell r="Q33">
            <v>53.36</v>
          </cell>
          <cell r="R33">
            <v>54.720000000000006</v>
          </cell>
          <cell r="S33">
            <v>56.08</v>
          </cell>
          <cell r="T33">
            <v>57.480000000000004</v>
          </cell>
          <cell r="U33">
            <v>58.92</v>
          </cell>
          <cell r="V33">
            <v>60.4</v>
          </cell>
          <cell r="W33">
            <v>61.92</v>
          </cell>
          <cell r="X33">
            <v>63.440000000000005</v>
          </cell>
          <cell r="Y33">
            <v>65.025999999999996</v>
          </cell>
          <cell r="Z33">
            <v>66.651650000000004</v>
          </cell>
          <cell r="AA33">
            <v>68.31794124999999</v>
          </cell>
          <cell r="AB33">
            <v>70.025889781249987</v>
          </cell>
          <cell r="AC33">
            <v>71.776537025781224</v>
          </cell>
          <cell r="AD33">
            <v>73.570950451425745</v>
          </cell>
          <cell r="AE33">
            <v>75.410224212711384</v>
          </cell>
          <cell r="AF33">
            <v>77.29547981802915</v>
          </cell>
          <cell r="AG33">
            <v>79.227866813479878</v>
          </cell>
          <cell r="AH33">
            <v>81.208563483816874</v>
          </cell>
        </row>
        <row r="34">
          <cell r="A34" t="str">
            <v>Polymer Freight (Iran)</v>
          </cell>
          <cell r="B34">
            <v>0</v>
          </cell>
          <cell r="C34">
            <v>0</v>
          </cell>
          <cell r="D34" t="str">
            <v>$/ton</v>
          </cell>
          <cell r="E34">
            <v>20</v>
          </cell>
          <cell r="F34">
            <v>20.38</v>
          </cell>
          <cell r="G34">
            <v>20.84</v>
          </cell>
          <cell r="H34">
            <v>21.36</v>
          </cell>
          <cell r="I34">
            <v>21.9</v>
          </cell>
          <cell r="J34">
            <v>22.46</v>
          </cell>
          <cell r="K34">
            <v>23.02</v>
          </cell>
          <cell r="L34">
            <v>23.580000000000002</v>
          </cell>
          <cell r="M34">
            <v>24.18</v>
          </cell>
          <cell r="N34">
            <v>24.78</v>
          </cell>
          <cell r="O34">
            <v>25.4</v>
          </cell>
          <cell r="P34">
            <v>26.04</v>
          </cell>
          <cell r="Q34">
            <v>26.68</v>
          </cell>
          <cell r="R34">
            <v>27.360000000000003</v>
          </cell>
          <cell r="S34">
            <v>28.04</v>
          </cell>
          <cell r="T34">
            <v>28.740000000000002</v>
          </cell>
          <cell r="U34">
            <v>29.46</v>
          </cell>
          <cell r="V34">
            <v>30.2</v>
          </cell>
          <cell r="W34">
            <v>30.96</v>
          </cell>
          <cell r="X34">
            <v>31.720000000000002</v>
          </cell>
          <cell r="Y34">
            <v>32.512999999999998</v>
          </cell>
          <cell r="Z34">
            <v>33.325825000000002</v>
          </cell>
          <cell r="AA34">
            <v>34.158970624999995</v>
          </cell>
          <cell r="AB34">
            <v>35.012944890624993</v>
          </cell>
          <cell r="AC34">
            <v>35.888268512890612</v>
          </cell>
          <cell r="AD34">
            <v>36.785475225712872</v>
          </cell>
          <cell r="AE34">
            <v>37.705112106355692</v>
          </cell>
          <cell r="AF34">
            <v>38.647739909014575</v>
          </cell>
          <cell r="AG34">
            <v>39.613933406739939</v>
          </cell>
          <cell r="AH34">
            <v>40.604281741908437</v>
          </cell>
        </row>
        <row r="35">
          <cell r="A35" t="str">
            <v>MEG Freight (Western Europe)</v>
          </cell>
          <cell r="B35">
            <v>0</v>
          </cell>
          <cell r="C35">
            <v>0</v>
          </cell>
          <cell r="D35" t="str">
            <v>$/ton</v>
          </cell>
          <cell r="E35">
            <v>67</v>
          </cell>
          <cell r="F35">
            <v>68.272999999999996</v>
          </cell>
          <cell r="G35">
            <v>69.814000000000007</v>
          </cell>
          <cell r="H35">
            <v>71.555999999999997</v>
          </cell>
          <cell r="I35">
            <v>73.364999999999995</v>
          </cell>
          <cell r="J35">
            <v>75.241</v>
          </cell>
          <cell r="K35">
            <v>77.117000000000004</v>
          </cell>
          <cell r="L35">
            <v>78.993000000000009</v>
          </cell>
          <cell r="M35">
            <v>81.003</v>
          </cell>
          <cell r="N35">
            <v>83.013000000000005</v>
          </cell>
          <cell r="O35">
            <v>85.09</v>
          </cell>
          <cell r="P35">
            <v>87.234000000000009</v>
          </cell>
          <cell r="Q35">
            <v>89.378</v>
          </cell>
          <cell r="R35">
            <v>91.656000000000006</v>
          </cell>
          <cell r="S35">
            <v>93.933999999999997</v>
          </cell>
          <cell r="T35">
            <v>96.279000000000011</v>
          </cell>
          <cell r="U35">
            <v>98.691000000000003</v>
          </cell>
          <cell r="V35">
            <v>101.17</v>
          </cell>
          <cell r="W35">
            <v>103.71600000000001</v>
          </cell>
          <cell r="X35">
            <v>106.262</v>
          </cell>
          <cell r="Y35">
            <v>108.91855</v>
          </cell>
          <cell r="Z35">
            <v>111.64151375</v>
          </cell>
          <cell r="AA35">
            <v>114.43255159374999</v>
          </cell>
          <cell r="AB35">
            <v>117.29336538359372</v>
          </cell>
          <cell r="AC35">
            <v>120.22569951818355</v>
          </cell>
          <cell r="AD35">
            <v>123.23134200613812</v>
          </cell>
          <cell r="AE35">
            <v>126.31212555629156</v>
          </cell>
          <cell r="AF35">
            <v>129.46992869519883</v>
          </cell>
          <cell r="AG35">
            <v>132.70667691257881</v>
          </cell>
          <cell r="AH35">
            <v>136.02434383539327</v>
          </cell>
        </row>
        <row r="36">
          <cell r="A36" t="str">
            <v>MEG Freight (East Asia)</v>
          </cell>
          <cell r="B36">
            <v>0</v>
          </cell>
          <cell r="C36">
            <v>0</v>
          </cell>
          <cell r="D36" t="str">
            <v>$/ton</v>
          </cell>
          <cell r="E36">
            <v>45</v>
          </cell>
          <cell r="F36">
            <v>45.854999999999997</v>
          </cell>
          <cell r="G36">
            <v>46.89</v>
          </cell>
          <cell r="H36">
            <v>48.06</v>
          </cell>
          <cell r="I36">
            <v>49.274999999999999</v>
          </cell>
          <cell r="J36">
            <v>50.534999999999997</v>
          </cell>
          <cell r="K36">
            <v>51.795000000000002</v>
          </cell>
          <cell r="L36">
            <v>53.055</v>
          </cell>
          <cell r="M36">
            <v>54.405000000000001</v>
          </cell>
          <cell r="N36">
            <v>55.755000000000003</v>
          </cell>
          <cell r="O36">
            <v>57.15</v>
          </cell>
          <cell r="P36">
            <v>58.59</v>
          </cell>
          <cell r="Q36">
            <v>60.03</v>
          </cell>
          <cell r="R36">
            <v>61.56</v>
          </cell>
          <cell r="S36">
            <v>63.089999999999996</v>
          </cell>
          <cell r="T36">
            <v>64.665000000000006</v>
          </cell>
          <cell r="U36">
            <v>66.285000000000011</v>
          </cell>
          <cell r="V36">
            <v>67.95</v>
          </cell>
          <cell r="W36">
            <v>69.66</v>
          </cell>
          <cell r="X36">
            <v>71.37</v>
          </cell>
          <cell r="Y36">
            <v>73.154250000000005</v>
          </cell>
          <cell r="Z36">
            <v>74.983106250000006</v>
          </cell>
          <cell r="AA36">
            <v>76.857683906249989</v>
          </cell>
          <cell r="AB36">
            <v>78.779126003906228</v>
          </cell>
          <cell r="AC36">
            <v>80.748604154003871</v>
          </cell>
          <cell r="AD36">
            <v>82.767319257853956</v>
          </cell>
          <cell r="AE36">
            <v>84.836502239300302</v>
          </cell>
          <cell r="AF36">
            <v>86.957414795282801</v>
          </cell>
          <cell r="AG36">
            <v>89.131350165164861</v>
          </cell>
          <cell r="AH36">
            <v>91.359633919293984</v>
          </cell>
        </row>
        <row r="37">
          <cell r="A37" t="str">
            <v>MEG Freight (West Asia)</v>
          </cell>
          <cell r="B37">
            <v>0</v>
          </cell>
          <cell r="C37">
            <v>0</v>
          </cell>
          <cell r="D37" t="str">
            <v>$/ton</v>
          </cell>
          <cell r="E37">
            <v>40</v>
          </cell>
          <cell r="F37">
            <v>40.76</v>
          </cell>
          <cell r="G37">
            <v>41.68</v>
          </cell>
          <cell r="H37">
            <v>42.72</v>
          </cell>
          <cell r="I37">
            <v>43.8</v>
          </cell>
          <cell r="J37">
            <v>44.92</v>
          </cell>
          <cell r="K37">
            <v>46.04</v>
          </cell>
          <cell r="L37">
            <v>47.160000000000004</v>
          </cell>
          <cell r="M37">
            <v>48.36</v>
          </cell>
          <cell r="N37">
            <v>49.56</v>
          </cell>
          <cell r="O37">
            <v>50.8</v>
          </cell>
          <cell r="P37">
            <v>52.08</v>
          </cell>
          <cell r="Q37">
            <v>53.36</v>
          </cell>
          <cell r="R37">
            <v>54.720000000000006</v>
          </cell>
          <cell r="S37">
            <v>56.08</v>
          </cell>
          <cell r="T37">
            <v>57.480000000000004</v>
          </cell>
          <cell r="U37">
            <v>58.92</v>
          </cell>
          <cell r="V37">
            <v>60.4</v>
          </cell>
          <cell r="W37">
            <v>61.92</v>
          </cell>
          <cell r="X37">
            <v>63.440000000000005</v>
          </cell>
          <cell r="Y37">
            <v>65.025999999999996</v>
          </cell>
          <cell r="Z37">
            <v>66.651650000000004</v>
          </cell>
          <cell r="AA37">
            <v>68.31794124999999</v>
          </cell>
          <cell r="AB37">
            <v>70.025889781249987</v>
          </cell>
          <cell r="AC37">
            <v>71.776537025781224</v>
          </cell>
          <cell r="AD37">
            <v>73.570950451425745</v>
          </cell>
          <cell r="AE37">
            <v>75.410224212711384</v>
          </cell>
          <cell r="AF37">
            <v>77.29547981802915</v>
          </cell>
          <cell r="AG37">
            <v>79.227866813479878</v>
          </cell>
          <cell r="AH37">
            <v>81.208563483816874</v>
          </cell>
        </row>
        <row r="38">
          <cell r="A38" t="str">
            <v>MEG Freight (Iran)</v>
          </cell>
          <cell r="B38">
            <v>0</v>
          </cell>
          <cell r="C38">
            <v>0</v>
          </cell>
          <cell r="D38" t="str">
            <v>$/ton</v>
          </cell>
          <cell r="E38">
            <v>20</v>
          </cell>
          <cell r="F38">
            <v>20.38</v>
          </cell>
          <cell r="G38">
            <v>20.84</v>
          </cell>
          <cell r="H38">
            <v>21.36</v>
          </cell>
          <cell r="I38">
            <v>21.9</v>
          </cell>
          <cell r="J38">
            <v>22.46</v>
          </cell>
          <cell r="K38">
            <v>23.02</v>
          </cell>
          <cell r="L38">
            <v>23.580000000000002</v>
          </cell>
          <cell r="M38">
            <v>24.18</v>
          </cell>
          <cell r="N38">
            <v>24.78</v>
          </cell>
          <cell r="O38">
            <v>25.4</v>
          </cell>
          <cell r="P38">
            <v>26.04</v>
          </cell>
          <cell r="Q38">
            <v>26.68</v>
          </cell>
          <cell r="R38">
            <v>27.360000000000003</v>
          </cell>
          <cell r="S38">
            <v>28.04</v>
          </cell>
          <cell r="T38">
            <v>28.740000000000002</v>
          </cell>
          <cell r="U38">
            <v>29.46</v>
          </cell>
          <cell r="V38">
            <v>30.2</v>
          </cell>
          <cell r="W38">
            <v>30.96</v>
          </cell>
          <cell r="X38">
            <v>31.720000000000002</v>
          </cell>
          <cell r="Y38">
            <v>32.512999999999998</v>
          </cell>
          <cell r="Z38">
            <v>33.325825000000002</v>
          </cell>
          <cell r="AA38">
            <v>34.158970624999995</v>
          </cell>
          <cell r="AB38">
            <v>35.012944890624993</v>
          </cell>
          <cell r="AC38">
            <v>35.888268512890612</v>
          </cell>
          <cell r="AD38">
            <v>36.785475225712872</v>
          </cell>
          <cell r="AE38">
            <v>37.705112106355692</v>
          </cell>
          <cell r="AF38">
            <v>38.647739909014575</v>
          </cell>
          <cell r="AG38">
            <v>39.613933406739939</v>
          </cell>
          <cell r="AH38">
            <v>40.604281741908437</v>
          </cell>
        </row>
        <row r="39">
          <cell r="A39" t="str">
            <v>Styrene Freight (Western Europe)</v>
          </cell>
          <cell r="B39">
            <v>0</v>
          </cell>
          <cell r="C39">
            <v>0</v>
          </cell>
          <cell r="D39" t="str">
            <v>$/ton</v>
          </cell>
          <cell r="E39">
            <v>70</v>
          </cell>
          <cell r="F39">
            <v>71.33</v>
          </cell>
          <cell r="G39">
            <v>72.94</v>
          </cell>
          <cell r="H39">
            <v>74.760000000000005</v>
          </cell>
          <cell r="I39">
            <v>76.649999999999991</v>
          </cell>
          <cell r="J39">
            <v>78.61</v>
          </cell>
          <cell r="K39">
            <v>80.570000000000007</v>
          </cell>
          <cell r="L39">
            <v>82.53</v>
          </cell>
          <cell r="M39">
            <v>84.63000000000001</v>
          </cell>
          <cell r="N39">
            <v>86.73</v>
          </cell>
          <cell r="O39">
            <v>88.9</v>
          </cell>
          <cell r="P39">
            <v>91.14</v>
          </cell>
          <cell r="Q39">
            <v>93.38000000000001</v>
          </cell>
          <cell r="R39">
            <v>95.76</v>
          </cell>
          <cell r="S39">
            <v>98.14</v>
          </cell>
          <cell r="T39">
            <v>100.59</v>
          </cell>
          <cell r="U39">
            <v>103.11</v>
          </cell>
          <cell r="V39">
            <v>105.7</v>
          </cell>
          <cell r="W39">
            <v>108.36</v>
          </cell>
          <cell r="X39">
            <v>111.02000000000001</v>
          </cell>
          <cell r="Y39">
            <v>113.7955</v>
          </cell>
          <cell r="Z39">
            <v>116.6403875</v>
          </cell>
          <cell r="AA39">
            <v>119.55639718749998</v>
          </cell>
          <cell r="AB39">
            <v>122.54530711718746</v>
          </cell>
          <cell r="AC39">
            <v>125.60893979511714</v>
          </cell>
          <cell r="AD39">
            <v>128.74916328999504</v>
          </cell>
          <cell r="AE39">
            <v>131.9678923722449</v>
          </cell>
          <cell r="AF39">
            <v>135.26708968155103</v>
          </cell>
          <cell r="AG39">
            <v>138.64876692358979</v>
          </cell>
          <cell r="AH39">
            <v>142.11498609667953</v>
          </cell>
        </row>
        <row r="40">
          <cell r="A40" t="str">
            <v>Styrene Freight (East Asia)</v>
          </cell>
          <cell r="B40">
            <v>0</v>
          </cell>
          <cell r="C40">
            <v>0</v>
          </cell>
          <cell r="D40" t="str">
            <v>$/ton</v>
          </cell>
          <cell r="E40">
            <v>47</v>
          </cell>
          <cell r="F40">
            <v>47.892999999999994</v>
          </cell>
          <cell r="G40">
            <v>48.974000000000004</v>
          </cell>
          <cell r="H40">
            <v>50.196000000000005</v>
          </cell>
          <cell r="I40">
            <v>51.464999999999996</v>
          </cell>
          <cell r="J40">
            <v>52.780999999999999</v>
          </cell>
          <cell r="K40">
            <v>54.097000000000001</v>
          </cell>
          <cell r="L40">
            <v>55.413000000000004</v>
          </cell>
          <cell r="M40">
            <v>56.823</v>
          </cell>
          <cell r="N40">
            <v>58.233000000000004</v>
          </cell>
          <cell r="O40">
            <v>59.69</v>
          </cell>
          <cell r="P40">
            <v>61.194000000000003</v>
          </cell>
          <cell r="Q40">
            <v>62.698</v>
          </cell>
          <cell r="R40">
            <v>64.296000000000006</v>
          </cell>
          <cell r="S40">
            <v>65.893999999999991</v>
          </cell>
          <cell r="T40">
            <v>67.539000000000001</v>
          </cell>
          <cell r="U40">
            <v>69.231000000000009</v>
          </cell>
          <cell r="V40">
            <v>70.97</v>
          </cell>
          <cell r="W40">
            <v>72.756</v>
          </cell>
          <cell r="X40">
            <v>74.542000000000002</v>
          </cell>
          <cell r="Y40">
            <v>76.405550000000005</v>
          </cell>
          <cell r="Z40">
            <v>78.315688750000007</v>
          </cell>
          <cell r="AA40">
            <v>80.273580968749997</v>
          </cell>
          <cell r="AB40">
            <v>82.28042049296873</v>
          </cell>
          <cell r="AC40">
            <v>84.337431005292942</v>
          </cell>
          <cell r="AD40">
            <v>86.445866780425249</v>
          </cell>
          <cell r="AE40">
            <v>88.607013449935863</v>
          </cell>
          <cell r="AF40">
            <v>90.822188786184256</v>
          </cell>
          <cell r="AG40">
            <v>93.092743505838854</v>
          </cell>
          <cell r="AH40">
            <v>95.42006209348483</v>
          </cell>
        </row>
        <row r="41">
          <cell r="A41" t="str">
            <v>Styrene Freight (West Asia)</v>
          </cell>
          <cell r="B41">
            <v>0</v>
          </cell>
          <cell r="C41">
            <v>0</v>
          </cell>
          <cell r="D41" t="str">
            <v>$/ton</v>
          </cell>
          <cell r="E41">
            <v>42</v>
          </cell>
          <cell r="F41">
            <v>42.797999999999995</v>
          </cell>
          <cell r="G41">
            <v>43.764000000000003</v>
          </cell>
          <cell r="H41">
            <v>44.856000000000002</v>
          </cell>
          <cell r="I41">
            <v>45.99</v>
          </cell>
          <cell r="J41">
            <v>47.165999999999997</v>
          </cell>
          <cell r="K41">
            <v>48.341999999999999</v>
          </cell>
          <cell r="L41">
            <v>49.518000000000001</v>
          </cell>
          <cell r="M41">
            <v>50.778000000000006</v>
          </cell>
          <cell r="N41">
            <v>52.038000000000004</v>
          </cell>
          <cell r="O41">
            <v>53.34</v>
          </cell>
          <cell r="P41">
            <v>54.684000000000005</v>
          </cell>
          <cell r="Q41">
            <v>56.028000000000006</v>
          </cell>
          <cell r="R41">
            <v>57.456000000000003</v>
          </cell>
          <cell r="S41">
            <v>58.883999999999993</v>
          </cell>
          <cell r="T41">
            <v>60.353999999999999</v>
          </cell>
          <cell r="U41">
            <v>61.866000000000007</v>
          </cell>
          <cell r="V41">
            <v>63.42</v>
          </cell>
          <cell r="W41">
            <v>65.016000000000005</v>
          </cell>
          <cell r="X41">
            <v>66.612000000000009</v>
          </cell>
          <cell r="Y41">
            <v>68.277299999999997</v>
          </cell>
          <cell r="Z41">
            <v>69.984232500000005</v>
          </cell>
          <cell r="AA41">
            <v>71.733838312499998</v>
          </cell>
          <cell r="AB41">
            <v>73.527184270312475</v>
          </cell>
          <cell r="AC41">
            <v>75.36536387707028</v>
          </cell>
          <cell r="AD41">
            <v>77.249497973997023</v>
          </cell>
          <cell r="AE41">
            <v>79.180735423346945</v>
          </cell>
          <cell r="AF41">
            <v>81.160253808930619</v>
          </cell>
          <cell r="AG41">
            <v>83.189260154153871</v>
          </cell>
          <cell r="AH41">
            <v>85.268991658007721</v>
          </cell>
        </row>
        <row r="42">
          <cell r="A42" t="str">
            <v>Styrene Freight (Iran)</v>
          </cell>
          <cell r="B42">
            <v>0</v>
          </cell>
          <cell r="C42">
            <v>0</v>
          </cell>
          <cell r="D42" t="str">
            <v>$/ton</v>
          </cell>
          <cell r="E42">
            <v>21.5</v>
          </cell>
          <cell r="F42">
            <v>21.908499999999997</v>
          </cell>
          <cell r="G42">
            <v>22.403000000000002</v>
          </cell>
          <cell r="H42">
            <v>22.962</v>
          </cell>
          <cell r="I42">
            <v>23.5425</v>
          </cell>
          <cell r="J42">
            <v>24.144500000000001</v>
          </cell>
          <cell r="K42">
            <v>24.746500000000001</v>
          </cell>
          <cell r="L42">
            <v>25.348500000000001</v>
          </cell>
          <cell r="M42">
            <v>25.993500000000001</v>
          </cell>
          <cell r="N42">
            <v>26.638500000000001</v>
          </cell>
          <cell r="O42">
            <v>27.305</v>
          </cell>
          <cell r="P42">
            <v>27.993000000000002</v>
          </cell>
          <cell r="Q42">
            <v>28.681000000000001</v>
          </cell>
          <cell r="R42">
            <v>29.412000000000003</v>
          </cell>
          <cell r="S42">
            <v>30.142999999999997</v>
          </cell>
          <cell r="T42">
            <v>30.895500000000002</v>
          </cell>
          <cell r="U42">
            <v>31.669500000000003</v>
          </cell>
          <cell r="V42">
            <v>32.465000000000003</v>
          </cell>
          <cell r="W42">
            <v>33.282000000000004</v>
          </cell>
          <cell r="X42">
            <v>34.099000000000004</v>
          </cell>
          <cell r="Y42">
            <v>34.951475000000002</v>
          </cell>
          <cell r="Z42">
            <v>35.825261875000002</v>
          </cell>
          <cell r="AA42">
            <v>36.720893421874997</v>
          </cell>
          <cell r="AB42">
            <v>37.638915757421863</v>
          </cell>
          <cell r="AC42">
            <v>38.579888651357408</v>
          </cell>
          <cell r="AD42">
            <v>39.544385867641338</v>
          </cell>
          <cell r="AE42">
            <v>40.532995514332363</v>
          </cell>
          <cell r="AF42">
            <v>41.546320402190673</v>
          </cell>
          <cell r="AG42">
            <v>42.584978412245434</v>
          </cell>
          <cell r="AH42">
            <v>43.649602872551569</v>
          </cell>
        </row>
        <row r="43">
          <cell r="A43" t="str">
            <v>Packaging</v>
          </cell>
          <cell r="B43">
            <v>0</v>
          </cell>
          <cell r="C43">
            <v>0</v>
          </cell>
          <cell r="D43" t="str">
            <v>$/ton</v>
          </cell>
          <cell r="E43">
            <v>15</v>
          </cell>
          <cell r="F43">
            <v>15.284999999999998</v>
          </cell>
          <cell r="G43">
            <v>15.63</v>
          </cell>
          <cell r="H43">
            <v>16.02</v>
          </cell>
          <cell r="I43">
            <v>16.425000000000001</v>
          </cell>
          <cell r="J43">
            <v>16.844999999999999</v>
          </cell>
          <cell r="K43">
            <v>17.265000000000001</v>
          </cell>
          <cell r="L43">
            <v>17.685000000000002</v>
          </cell>
          <cell r="M43">
            <v>18.135000000000002</v>
          </cell>
          <cell r="N43">
            <v>18.585000000000001</v>
          </cell>
          <cell r="O43">
            <v>19.05</v>
          </cell>
          <cell r="P43">
            <v>19.53</v>
          </cell>
          <cell r="Q43">
            <v>20.010000000000002</v>
          </cell>
          <cell r="R43">
            <v>20.520000000000003</v>
          </cell>
          <cell r="S43">
            <v>21.029999999999998</v>
          </cell>
          <cell r="T43">
            <v>21.555</v>
          </cell>
          <cell r="U43">
            <v>22.095000000000002</v>
          </cell>
          <cell r="V43">
            <v>22.65</v>
          </cell>
          <cell r="W43">
            <v>23.22</v>
          </cell>
          <cell r="X43">
            <v>23.790000000000003</v>
          </cell>
          <cell r="Y43">
            <v>24.38475</v>
          </cell>
          <cell r="Z43">
            <v>24.99436875</v>
          </cell>
          <cell r="AA43">
            <v>25.619227968749996</v>
          </cell>
          <cell r="AB43">
            <v>26.259708667968741</v>
          </cell>
          <cell r="AC43">
            <v>26.916201384667957</v>
          </cell>
          <cell r="AD43">
            <v>27.589106419284654</v>
          </cell>
          <cell r="AE43">
            <v>28.278834079766767</v>
          </cell>
          <cell r="AF43">
            <v>28.985804931760935</v>
          </cell>
          <cell r="AG43">
            <v>29.710450055054956</v>
          </cell>
          <cell r="AH43">
            <v>30.453211306431328</v>
          </cell>
        </row>
        <row r="44">
          <cell r="A44" t="str">
            <v>Sales Support (LLDPE)</v>
          </cell>
          <cell r="B44">
            <v>0</v>
          </cell>
          <cell r="C44">
            <v>0</v>
          </cell>
          <cell r="D44" t="str">
            <v>$/ton</v>
          </cell>
          <cell r="E44">
            <v>28.337500000000002</v>
          </cell>
          <cell r="F44">
            <v>27.054449999999999</v>
          </cell>
          <cell r="G44">
            <v>32.823</v>
          </cell>
          <cell r="H44">
            <v>33.588600000000007</v>
          </cell>
          <cell r="I44">
            <v>34.4925</v>
          </cell>
          <cell r="J44">
            <v>34.9253</v>
          </cell>
          <cell r="K44">
            <v>35.335700000000003</v>
          </cell>
          <cell r="L44">
            <v>35.782650000000004</v>
          </cell>
          <cell r="M44">
            <v>36.209550000000007</v>
          </cell>
          <cell r="N44">
            <v>36.612450000000003</v>
          </cell>
          <cell r="O44">
            <v>37.147500000000001</v>
          </cell>
          <cell r="P44">
            <v>37.758000000000003</v>
          </cell>
          <cell r="Q44">
            <v>38.352499999999999</v>
          </cell>
          <cell r="R44">
            <v>38.988</v>
          </cell>
          <cell r="S44">
            <v>39.606499999999997</v>
          </cell>
          <cell r="T44">
            <v>40.236000000000004</v>
          </cell>
          <cell r="U44">
            <v>40.949400000000004</v>
          </cell>
          <cell r="V44">
            <v>41.600500000000004</v>
          </cell>
          <cell r="W44">
            <v>42.260400000000004</v>
          </cell>
          <cell r="X44">
            <v>42.901300000000006</v>
          </cell>
          <cell r="Y44">
            <v>43.571141726190483</v>
          </cell>
          <cell r="Z44">
            <v>44.251442061750502</v>
          </cell>
          <cell r="AA44">
            <v>44.942364302732962</v>
          </cell>
          <cell r="AB44">
            <v>45.644074294822332</v>
          </cell>
          <cell r="AC44">
            <v>46.356740473143482</v>
          </cell>
          <cell r="AD44">
            <v>47.080533902692096</v>
          </cell>
          <cell r="AE44">
            <v>47.815628319396204</v>
          </cell>
          <cell r="AF44">
            <v>48.562200171818994</v>
          </cell>
          <cell r="AG44">
            <v>49.320428663512679</v>
          </cell>
          <cell r="AH44">
            <v>50.090495796033636</v>
          </cell>
        </row>
        <row r="45">
          <cell r="A45" t="str">
            <v>Sales Support (HDPE)</v>
          </cell>
          <cell r="B45">
            <v>0</v>
          </cell>
          <cell r="C45">
            <v>0</v>
          </cell>
          <cell r="D45" t="str">
            <v>$/ton</v>
          </cell>
          <cell r="E45">
            <v>28.911500000000004</v>
          </cell>
          <cell r="F45">
            <v>25.627849999999999</v>
          </cell>
          <cell r="G45">
            <v>31.364200000000004</v>
          </cell>
          <cell r="H45">
            <v>32.146800000000006</v>
          </cell>
          <cell r="I45">
            <v>33.014250000000004</v>
          </cell>
          <cell r="J45">
            <v>33.40925</v>
          </cell>
          <cell r="K45">
            <v>33.781850000000006</v>
          </cell>
          <cell r="L45">
            <v>34.249950000000005</v>
          </cell>
          <cell r="M45">
            <v>34.577400000000004</v>
          </cell>
          <cell r="N45">
            <v>34.939800000000005</v>
          </cell>
          <cell r="O45">
            <v>35.496500000000005</v>
          </cell>
          <cell r="P45">
            <v>36.000300000000003</v>
          </cell>
          <cell r="Q45">
            <v>36.618300000000005</v>
          </cell>
          <cell r="R45">
            <v>37.141200000000005</v>
          </cell>
          <cell r="S45">
            <v>37.713799999999999</v>
          </cell>
          <cell r="T45">
            <v>38.296050000000001</v>
          </cell>
          <cell r="U45">
            <v>38.960850000000008</v>
          </cell>
          <cell r="V45">
            <v>39.562000000000005</v>
          </cell>
          <cell r="W45">
            <v>40.170600000000007</v>
          </cell>
          <cell r="X45">
            <v>40.760200000000005</v>
          </cell>
          <cell r="Y45">
            <v>41.37670784200386</v>
          </cell>
          <cell r="Z45">
            <v>42.002540513602568</v>
          </cell>
          <cell r="AA45">
            <v>42.637839055089621</v>
          </cell>
          <cell r="AB45">
            <v>43.2827466400269</v>
          </cell>
          <cell r="AC45">
            <v>43.937408607510925</v>
          </cell>
          <cell r="AD45">
            <v>44.601972494927026</v>
          </cell>
          <cell r="AE45">
            <v>45.276588071199029</v>
          </cell>
          <cell r="AF45">
            <v>45.961407370541821</v>
          </cell>
          <cell r="AG45">
            <v>46.656584726724383</v>
          </cell>
          <cell r="AH45">
            <v>47.362276807851131</v>
          </cell>
        </row>
        <row r="46">
          <cell r="A46" t="str">
            <v>Sales Support (MEG)</v>
          </cell>
          <cell r="B46">
            <v>0</v>
          </cell>
          <cell r="C46">
            <v>0</v>
          </cell>
          <cell r="D46" t="str">
            <v>$/ton</v>
          </cell>
          <cell r="E46">
            <v>12.949374899999999</v>
          </cell>
          <cell r="F46">
            <v>12.289139999999998</v>
          </cell>
          <cell r="G46">
            <v>14.25456</v>
          </cell>
          <cell r="H46">
            <v>13.200480000000001</v>
          </cell>
          <cell r="I46">
            <v>13.567049999999998</v>
          </cell>
          <cell r="J46">
            <v>13.711829999999999</v>
          </cell>
          <cell r="K46">
            <v>13.84653</v>
          </cell>
          <cell r="L46">
            <v>14.00652</v>
          </cell>
          <cell r="M46">
            <v>14.181570000000001</v>
          </cell>
          <cell r="N46">
            <v>14.310449999999999</v>
          </cell>
          <cell r="O46">
            <v>14.5161</v>
          </cell>
          <cell r="P46">
            <v>14.725619999999999</v>
          </cell>
          <cell r="Q46">
            <v>14.96748</v>
          </cell>
          <cell r="R46">
            <v>15.184800000000001</v>
          </cell>
          <cell r="S46">
            <v>15.478079999999999</v>
          </cell>
          <cell r="T46">
            <v>15.69204</v>
          </cell>
          <cell r="U46">
            <v>15.952590000000001</v>
          </cell>
          <cell r="V46">
            <v>16.217400000000001</v>
          </cell>
          <cell r="W46">
            <v>16.4862</v>
          </cell>
          <cell r="X46">
            <v>16.700579999999999</v>
          </cell>
          <cell r="Y46">
            <v>16.925214561971831</v>
          </cell>
          <cell r="Z46">
            <v>17.152870616995536</v>
          </cell>
          <cell r="AA46">
            <v>17.383588806280478</v>
          </cell>
          <cell r="AB46">
            <v>17.617410317688893</v>
          </cell>
          <cell r="AC46">
            <v>17.854376893088794</v>
          </cell>
          <cell r="AD46">
            <v>18.784209224817129</v>
          </cell>
          <cell r="AE46">
            <v>19.15461403590524</v>
          </cell>
          <cell r="AF46">
            <v>19.531798956782254</v>
          </cell>
          <cell r="AG46">
            <v>19.915871489930669</v>
          </cell>
          <cell r="AH46">
            <v>20.306940275388524</v>
          </cell>
        </row>
        <row r="47">
          <cell r="A47" t="str">
            <v>Sales Support (Styrene)</v>
          </cell>
          <cell r="B47">
            <v>0</v>
          </cell>
          <cell r="C47">
            <v>0</v>
          </cell>
          <cell r="D47" t="str">
            <v>$/ton</v>
          </cell>
          <cell r="E47">
            <v>14.783849999999999</v>
          </cell>
          <cell r="F47">
            <v>12.319709999999999</v>
          </cell>
          <cell r="G47">
            <v>17.161739999999998</v>
          </cell>
          <cell r="H47">
            <v>17.39772</v>
          </cell>
          <cell r="I47">
            <v>17.640449999999998</v>
          </cell>
          <cell r="J47">
            <v>17.788319999999999</v>
          </cell>
          <cell r="K47">
            <v>18.024660000000001</v>
          </cell>
          <cell r="L47">
            <v>18.286290000000001</v>
          </cell>
          <cell r="M47">
            <v>18.53397</v>
          </cell>
          <cell r="N47">
            <v>18.808020000000003</v>
          </cell>
          <cell r="O47">
            <v>19.126199999999997</v>
          </cell>
          <cell r="P47">
            <v>19.451879999999999</v>
          </cell>
          <cell r="Q47">
            <v>19.809899999999999</v>
          </cell>
          <cell r="R47">
            <v>20.191680000000002</v>
          </cell>
          <cell r="S47">
            <v>20.525279999999999</v>
          </cell>
          <cell r="T47">
            <v>20.908349999999999</v>
          </cell>
          <cell r="U47">
            <v>21.299579999999999</v>
          </cell>
          <cell r="V47">
            <v>21.698699999999999</v>
          </cell>
          <cell r="W47">
            <v>22.105439999999998</v>
          </cell>
          <cell r="X47">
            <v>22.50534</v>
          </cell>
          <cell r="Y47">
            <v>22.922587112394957</v>
          </cell>
          <cell r="Z47">
            <v>23.347569951190934</v>
          </cell>
          <cell r="AA47">
            <v>23.780431936105341</v>
          </cell>
          <cell r="AB47">
            <v>24.221319145845101</v>
          </cell>
          <cell r="AC47">
            <v>24.670380367404093</v>
          </cell>
          <cell r="AD47">
            <v>25.117452178491529</v>
          </cell>
          <cell r="AE47">
            <v>25.567342989755481</v>
          </cell>
          <cell r="AF47">
            <v>26.025292012521998</v>
          </cell>
          <cell r="AG47">
            <v>26.491443581307347</v>
          </cell>
          <cell r="AH47">
            <v>26.965944615873006</v>
          </cell>
        </row>
        <row r="48">
          <cell r="A48" t="str">
            <v>LLDPE price (Western Europe)</v>
          </cell>
          <cell r="B48">
            <v>0</v>
          </cell>
          <cell r="C48">
            <v>0</v>
          </cell>
          <cell r="D48" t="str">
            <v>$/ton</v>
          </cell>
          <cell r="E48">
            <v>623.77266671155905</v>
          </cell>
          <cell r="F48">
            <v>640.02978399268511</v>
          </cell>
          <cell r="G48">
            <v>627.34633444320423</v>
          </cell>
          <cell r="H48">
            <v>635.86551514896905</v>
          </cell>
          <cell r="I48">
            <v>633.51709875493214</v>
          </cell>
          <cell r="J48">
            <v>641.18641724338329</v>
          </cell>
          <cell r="K48">
            <v>649.86760728656941</v>
          </cell>
          <cell r="L48">
            <v>657.87986305880293</v>
          </cell>
          <cell r="M48">
            <v>687.70567510775834</v>
          </cell>
          <cell r="N48">
            <v>696.95216420479846</v>
          </cell>
          <cell r="O48">
            <v>709.64221079593221</v>
          </cell>
          <cell r="P48">
            <v>721.791848865926</v>
          </cell>
          <cell r="Q48">
            <v>734.0430353444757</v>
          </cell>
          <cell r="R48">
            <v>746.98656513890705</v>
          </cell>
          <cell r="S48">
            <v>759.04804488098137</v>
          </cell>
          <cell r="T48">
            <v>772.43386986249266</v>
          </cell>
          <cell r="U48">
            <v>785.98212635551852</v>
          </cell>
          <cell r="V48">
            <v>799.97670010011939</v>
          </cell>
          <cell r="W48">
            <v>814.29517281285587</v>
          </cell>
          <cell r="X48">
            <v>828.40877348461947</v>
          </cell>
          <cell r="Y48">
            <v>843.12916054936306</v>
          </cell>
          <cell r="Z48">
            <v>858.10104172724584</v>
          </cell>
          <cell r="AA48">
            <v>873.32841939239927</v>
          </cell>
          <cell r="AB48">
            <v>888.8153507186795</v>
          </cell>
          <cell r="AC48">
            <v>904.5659481423636</v>
          </cell>
          <cell r="AD48">
            <v>920.58437981796931</v>
          </cell>
          <cell r="AE48">
            <v>936.87487006664117</v>
          </cell>
          <cell r="AF48">
            <v>953.44169981653147</v>
          </cell>
          <cell r="AG48">
            <v>970.28920703457686</v>
          </cell>
          <cell r="AH48">
            <v>987.42178714904992</v>
          </cell>
        </row>
        <row r="49">
          <cell r="A49" t="str">
            <v>LLDPE price (East Asia)</v>
          </cell>
          <cell r="B49">
            <v>0</v>
          </cell>
          <cell r="C49">
            <v>0</v>
          </cell>
          <cell r="D49" t="str">
            <v>$/ton</v>
          </cell>
          <cell r="E49">
            <v>549.74749999999995</v>
          </cell>
          <cell r="F49">
            <v>524.85632999999996</v>
          </cell>
          <cell r="G49">
            <v>636.76620000000003</v>
          </cell>
          <cell r="H49">
            <v>651.61883999999998</v>
          </cell>
          <cell r="I49">
            <v>669.15449999999998</v>
          </cell>
          <cell r="J49">
            <v>677.55081999999993</v>
          </cell>
          <cell r="K49">
            <v>685.51258000000007</v>
          </cell>
          <cell r="L49">
            <v>694.18340999999998</v>
          </cell>
          <cell r="M49">
            <v>724.19100000000003</v>
          </cell>
          <cell r="N49">
            <v>732.24900000000002</v>
          </cell>
          <cell r="O49">
            <v>742.95</v>
          </cell>
          <cell r="P49">
            <v>755.16000000000008</v>
          </cell>
          <cell r="Q49">
            <v>767.05000000000007</v>
          </cell>
          <cell r="R49">
            <v>779.7600000000001</v>
          </cell>
          <cell r="S49">
            <v>792.13</v>
          </cell>
          <cell r="T49">
            <v>804.72</v>
          </cell>
          <cell r="U49">
            <v>818.98800000000006</v>
          </cell>
          <cell r="V49">
            <v>832.01</v>
          </cell>
          <cell r="W49">
            <v>845.20799999999997</v>
          </cell>
          <cell r="X49">
            <v>858.02600000000007</v>
          </cell>
          <cell r="Y49">
            <v>871.42283452380957</v>
          </cell>
          <cell r="Z49">
            <v>885.02884123500996</v>
          </cell>
          <cell r="AA49">
            <v>898.84728605465909</v>
          </cell>
          <cell r="AB49">
            <v>912.88148589644652</v>
          </cell>
          <cell r="AC49">
            <v>927.13480946286973</v>
          </cell>
          <cell r="AD49">
            <v>941.61067805384187</v>
          </cell>
          <cell r="AE49">
            <v>956.31256638792399</v>
          </cell>
          <cell r="AF49">
            <v>971.2440034363799</v>
          </cell>
          <cell r="AG49">
            <v>986.40857327025356</v>
          </cell>
          <cell r="AH49">
            <v>1001.8099159206726</v>
          </cell>
        </row>
        <row r="50">
          <cell r="A50" t="str">
            <v>LLDPE price (West Asia)</v>
          </cell>
          <cell r="B50">
            <v>0</v>
          </cell>
          <cell r="C50">
            <v>0</v>
          </cell>
          <cell r="D50" t="str">
            <v>$/ton</v>
          </cell>
          <cell r="E50">
            <v>549.74749999999995</v>
          </cell>
          <cell r="F50">
            <v>524.85632999999996</v>
          </cell>
          <cell r="G50">
            <v>636.76620000000003</v>
          </cell>
          <cell r="H50">
            <v>651.61883999999998</v>
          </cell>
          <cell r="I50">
            <v>669.15449999999998</v>
          </cell>
          <cell r="J50">
            <v>677.55081999999993</v>
          </cell>
          <cell r="K50">
            <v>685.51258000000007</v>
          </cell>
          <cell r="L50">
            <v>694.18340999999998</v>
          </cell>
          <cell r="M50">
            <v>724.19100000000003</v>
          </cell>
          <cell r="N50">
            <v>732.24900000000002</v>
          </cell>
          <cell r="O50">
            <v>742.95</v>
          </cell>
          <cell r="P50">
            <v>755.16000000000008</v>
          </cell>
          <cell r="Q50">
            <v>767.05000000000007</v>
          </cell>
          <cell r="R50">
            <v>779.7600000000001</v>
          </cell>
          <cell r="S50">
            <v>792.13</v>
          </cell>
          <cell r="T50">
            <v>804.72</v>
          </cell>
          <cell r="U50">
            <v>818.98800000000006</v>
          </cell>
          <cell r="V50">
            <v>832.01</v>
          </cell>
          <cell r="W50">
            <v>845.20799999999997</v>
          </cell>
          <cell r="X50">
            <v>858.02600000000007</v>
          </cell>
          <cell r="Y50">
            <v>871.42283452380957</v>
          </cell>
          <cell r="Z50">
            <v>885.02884123500996</v>
          </cell>
          <cell r="AA50">
            <v>898.84728605465909</v>
          </cell>
          <cell r="AB50">
            <v>912.88148589644652</v>
          </cell>
          <cell r="AC50">
            <v>927.13480946286973</v>
          </cell>
          <cell r="AD50">
            <v>941.61067805384187</v>
          </cell>
          <cell r="AE50">
            <v>956.31256638792399</v>
          </cell>
          <cell r="AF50">
            <v>971.2440034363799</v>
          </cell>
          <cell r="AG50">
            <v>986.40857327025356</v>
          </cell>
          <cell r="AH50">
            <v>1001.8099159206726</v>
          </cell>
        </row>
        <row r="51">
          <cell r="A51" t="str">
            <v>LLDPE price (Iran)</v>
          </cell>
          <cell r="B51">
            <v>0</v>
          </cell>
          <cell r="C51">
            <v>0</v>
          </cell>
          <cell r="D51" t="str">
            <v>$/ton</v>
          </cell>
          <cell r="E51">
            <v>549.74749999999995</v>
          </cell>
          <cell r="F51">
            <v>524.85632999999996</v>
          </cell>
          <cell r="G51">
            <v>636.76620000000003</v>
          </cell>
          <cell r="H51">
            <v>651.61883999999998</v>
          </cell>
          <cell r="I51">
            <v>669.15449999999998</v>
          </cell>
          <cell r="J51">
            <v>677.55081999999993</v>
          </cell>
          <cell r="K51">
            <v>685.51258000000007</v>
          </cell>
          <cell r="L51">
            <v>694.18340999999998</v>
          </cell>
          <cell r="M51">
            <v>724.19100000000003</v>
          </cell>
          <cell r="N51">
            <v>732.24900000000002</v>
          </cell>
          <cell r="O51">
            <v>742.95</v>
          </cell>
          <cell r="P51">
            <v>755.16000000000008</v>
          </cell>
          <cell r="Q51">
            <v>767.05000000000007</v>
          </cell>
          <cell r="R51">
            <v>779.7600000000001</v>
          </cell>
          <cell r="S51">
            <v>792.13</v>
          </cell>
          <cell r="T51">
            <v>804.72</v>
          </cell>
          <cell r="U51">
            <v>818.98800000000006</v>
          </cell>
          <cell r="V51">
            <v>832.01</v>
          </cell>
          <cell r="W51">
            <v>845.20799999999997</v>
          </cell>
          <cell r="X51">
            <v>858.02600000000007</v>
          </cell>
          <cell r="Y51">
            <v>871.42283452380957</v>
          </cell>
          <cell r="Z51">
            <v>885.02884123500996</v>
          </cell>
          <cell r="AA51">
            <v>898.84728605465909</v>
          </cell>
          <cell r="AB51">
            <v>912.88148589644652</v>
          </cell>
          <cell r="AC51">
            <v>927.13480946286973</v>
          </cell>
          <cell r="AD51">
            <v>941.61067805384187</v>
          </cell>
          <cell r="AE51">
            <v>956.31256638792399</v>
          </cell>
          <cell r="AF51">
            <v>971.2440034363799</v>
          </cell>
          <cell r="AG51">
            <v>986.40857327025356</v>
          </cell>
          <cell r="AH51">
            <v>1001.8099159206726</v>
          </cell>
        </row>
        <row r="52">
          <cell r="A52" t="str">
            <v>HDPE price (Western Europe)</v>
          </cell>
          <cell r="B52">
            <v>0</v>
          </cell>
          <cell r="C52">
            <v>0</v>
          </cell>
          <cell r="D52" t="str">
            <v>$/ton</v>
          </cell>
          <cell r="E52">
            <v>710.47582374822866</v>
          </cell>
          <cell r="F52">
            <v>646.76540813299584</v>
          </cell>
          <cell r="G52">
            <v>633.96608778763573</v>
          </cell>
          <cell r="H52">
            <v>642.58258064594872</v>
          </cell>
          <cell r="I52">
            <v>640.22330870601218</v>
          </cell>
          <cell r="J52">
            <v>647.9824670444159</v>
          </cell>
          <cell r="K52">
            <v>656.763798109915</v>
          </cell>
          <cell r="L52">
            <v>664.86968801856585</v>
          </cell>
          <cell r="M52">
            <v>695.02131343273174</v>
          </cell>
          <cell r="N52">
            <v>704.37531204646177</v>
          </cell>
          <cell r="O52">
            <v>717.20787474650251</v>
          </cell>
          <cell r="P52">
            <v>729.49520593423961</v>
          </cell>
          <cell r="Q52">
            <v>741.8853159858279</v>
          </cell>
          <cell r="R52">
            <v>754.97566687474807</v>
          </cell>
          <cell r="S52">
            <v>767.17537561769859</v>
          </cell>
          <cell r="T52">
            <v>780.71328773578159</v>
          </cell>
          <cell r="U52">
            <v>794.41588044057153</v>
          </cell>
          <cell r="V52">
            <v>808.56988840630311</v>
          </cell>
          <cell r="W52">
            <v>823.05167924347916</v>
          </cell>
          <cell r="X52">
            <v>837.32680459758592</v>
          </cell>
          <cell r="Y52">
            <v>852.21570455409187</v>
          </cell>
          <cell r="Z52">
            <v>867.35928280131304</v>
          </cell>
          <cell r="AA52">
            <v>882.76160188080587</v>
          </cell>
          <cell r="AB52">
            <v>898.42678027076079</v>
          </cell>
          <cell r="AC52">
            <v>914.35899287017992</v>
          </cell>
          <cell r="AD52">
            <v>930.56247147658655</v>
          </cell>
          <cell r="AE52">
            <v>947.04150525671332</v>
          </cell>
          <cell r="AF52">
            <v>963.80044120960645</v>
          </cell>
          <cell r="AG52">
            <v>980.84368462155533</v>
          </cell>
          <cell r="AH52">
            <v>998.17569951223538</v>
          </cell>
        </row>
        <row r="53">
          <cell r="A53" t="str">
            <v>HDPE price (East Asia)</v>
          </cell>
          <cell r="B53">
            <v>0</v>
          </cell>
          <cell r="C53">
            <v>0</v>
          </cell>
          <cell r="D53" t="str">
            <v>$/ton</v>
          </cell>
          <cell r="E53">
            <v>560.88310000000001</v>
          </cell>
          <cell r="F53">
            <v>497.1802899999999</v>
          </cell>
          <cell r="G53">
            <v>608.46547999999996</v>
          </cell>
          <cell r="H53">
            <v>623.64792</v>
          </cell>
          <cell r="I53">
            <v>640.47645</v>
          </cell>
          <cell r="J53">
            <v>648.1394499999999</v>
          </cell>
          <cell r="K53">
            <v>655.36788999999999</v>
          </cell>
          <cell r="L53">
            <v>664.44902999999999</v>
          </cell>
          <cell r="M53">
            <v>691.548</v>
          </cell>
          <cell r="N53">
            <v>698.79600000000005</v>
          </cell>
          <cell r="O53">
            <v>709.93000000000006</v>
          </cell>
          <cell r="P53">
            <v>720.00599999999997</v>
          </cell>
          <cell r="Q53">
            <v>732.36599999999999</v>
          </cell>
          <cell r="R53">
            <v>742.82400000000007</v>
          </cell>
          <cell r="S53">
            <v>754.27599999999995</v>
          </cell>
          <cell r="T53">
            <v>765.92100000000005</v>
          </cell>
          <cell r="U53">
            <v>779.2170000000001</v>
          </cell>
          <cell r="V53">
            <v>791.24</v>
          </cell>
          <cell r="W53">
            <v>803.41200000000003</v>
          </cell>
          <cell r="X53">
            <v>815.20400000000006</v>
          </cell>
          <cell r="Y53">
            <v>827.53415684007712</v>
          </cell>
          <cell r="Z53">
            <v>840.05081027205131</v>
          </cell>
          <cell r="AA53">
            <v>852.75678110179228</v>
          </cell>
          <cell r="AB53">
            <v>865.65493280053795</v>
          </cell>
          <cell r="AC53">
            <v>878.74817215021847</v>
          </cell>
          <cell r="AD53">
            <v>892.0394498985404</v>
          </cell>
          <cell r="AE53">
            <v>905.53176142398058</v>
          </cell>
          <cell r="AF53">
            <v>919.22814741083641</v>
          </cell>
          <cell r="AG53">
            <v>933.13169453448756</v>
          </cell>
          <cell r="AH53">
            <v>947.24553615702268</v>
          </cell>
        </row>
        <row r="54">
          <cell r="A54" t="str">
            <v>HDPE price (West Asia)</v>
          </cell>
          <cell r="B54">
            <v>0</v>
          </cell>
          <cell r="C54">
            <v>0</v>
          </cell>
          <cell r="D54" t="str">
            <v>$/ton</v>
          </cell>
          <cell r="E54">
            <v>560.88310000000001</v>
          </cell>
          <cell r="F54">
            <v>497.1802899999999</v>
          </cell>
          <cell r="G54">
            <v>608.46547999999996</v>
          </cell>
          <cell r="H54">
            <v>623.64792</v>
          </cell>
          <cell r="I54">
            <v>640.47645</v>
          </cell>
          <cell r="J54">
            <v>648.1394499999999</v>
          </cell>
          <cell r="K54">
            <v>655.36788999999999</v>
          </cell>
          <cell r="L54">
            <v>664.44902999999999</v>
          </cell>
          <cell r="M54">
            <v>691.548</v>
          </cell>
          <cell r="N54">
            <v>698.79600000000005</v>
          </cell>
          <cell r="O54">
            <v>709.93000000000006</v>
          </cell>
          <cell r="P54">
            <v>720.00599999999997</v>
          </cell>
          <cell r="Q54">
            <v>732.36599999999999</v>
          </cell>
          <cell r="R54">
            <v>742.82400000000007</v>
          </cell>
          <cell r="S54">
            <v>754.27599999999995</v>
          </cell>
          <cell r="T54">
            <v>765.92100000000005</v>
          </cell>
          <cell r="U54">
            <v>779.2170000000001</v>
          </cell>
          <cell r="V54">
            <v>791.24</v>
          </cell>
          <cell r="W54">
            <v>803.41200000000003</v>
          </cell>
          <cell r="X54">
            <v>815.20400000000006</v>
          </cell>
          <cell r="Y54">
            <v>827.53415684007712</v>
          </cell>
          <cell r="Z54">
            <v>840.05081027205131</v>
          </cell>
          <cell r="AA54">
            <v>852.75678110179228</v>
          </cell>
          <cell r="AB54">
            <v>865.65493280053795</v>
          </cell>
          <cell r="AC54">
            <v>878.74817215021847</v>
          </cell>
          <cell r="AD54">
            <v>892.0394498985404</v>
          </cell>
          <cell r="AE54">
            <v>905.53176142398058</v>
          </cell>
          <cell r="AF54">
            <v>919.22814741083641</v>
          </cell>
          <cell r="AG54">
            <v>933.13169453448756</v>
          </cell>
          <cell r="AH54">
            <v>947.24553615702268</v>
          </cell>
        </row>
        <row r="55">
          <cell r="A55" t="str">
            <v>HDPE price (Iran)</v>
          </cell>
          <cell r="B55">
            <v>0</v>
          </cell>
          <cell r="C55">
            <v>0</v>
          </cell>
          <cell r="D55" t="str">
            <v>$/ton</v>
          </cell>
          <cell r="E55">
            <v>560.88310000000001</v>
          </cell>
          <cell r="F55">
            <v>497.1802899999999</v>
          </cell>
          <cell r="G55">
            <v>608.46547999999996</v>
          </cell>
          <cell r="H55">
            <v>623.64792</v>
          </cell>
          <cell r="I55">
            <v>640.47645</v>
          </cell>
          <cell r="J55">
            <v>648.1394499999999</v>
          </cell>
          <cell r="K55">
            <v>655.36788999999999</v>
          </cell>
          <cell r="L55">
            <v>664.44902999999999</v>
          </cell>
          <cell r="M55">
            <v>691.548</v>
          </cell>
          <cell r="N55">
            <v>698.79600000000005</v>
          </cell>
          <cell r="O55">
            <v>709.93000000000006</v>
          </cell>
          <cell r="P55">
            <v>720.00599999999997</v>
          </cell>
          <cell r="Q55">
            <v>732.36599999999999</v>
          </cell>
          <cell r="R55">
            <v>742.82400000000007</v>
          </cell>
          <cell r="S55">
            <v>754.27599999999995</v>
          </cell>
          <cell r="T55">
            <v>765.92100000000005</v>
          </cell>
          <cell r="U55">
            <v>779.2170000000001</v>
          </cell>
          <cell r="V55">
            <v>791.24</v>
          </cell>
          <cell r="W55">
            <v>803.41200000000003</v>
          </cell>
          <cell r="X55">
            <v>815.20400000000006</v>
          </cell>
          <cell r="Y55">
            <v>827.53415684007712</v>
          </cell>
          <cell r="Z55">
            <v>840.05081027205131</v>
          </cell>
          <cell r="AA55">
            <v>852.75678110179228</v>
          </cell>
          <cell r="AB55">
            <v>865.65493280053795</v>
          </cell>
          <cell r="AC55">
            <v>878.74817215021847</v>
          </cell>
          <cell r="AD55">
            <v>892.0394498985404</v>
          </cell>
          <cell r="AE55">
            <v>905.53176142398058</v>
          </cell>
          <cell r="AF55">
            <v>919.22814741083641</v>
          </cell>
          <cell r="AG55">
            <v>933.13169453448756</v>
          </cell>
          <cell r="AH55">
            <v>947.24553615702268</v>
          </cell>
        </row>
        <row r="56">
          <cell r="A56" t="str">
            <v>MEG price (Western Europe)</v>
          </cell>
          <cell r="B56">
            <v>0</v>
          </cell>
          <cell r="C56">
            <v>0</v>
          </cell>
          <cell r="D56" t="str">
            <v>$/ton</v>
          </cell>
          <cell r="E56">
            <v>484.16326052190362</v>
          </cell>
          <cell r="F56">
            <v>479.73806619966626</v>
          </cell>
          <cell r="G56">
            <v>466.09303650331174</v>
          </cell>
          <cell r="H56">
            <v>473.50223528434793</v>
          </cell>
          <cell r="I56">
            <v>472.95603625930096</v>
          </cell>
          <cell r="J56">
            <v>479.99094124938068</v>
          </cell>
          <cell r="K56">
            <v>487.30418643045442</v>
          </cell>
          <cell r="L56">
            <v>494.24702588464498</v>
          </cell>
          <cell r="M56">
            <v>517.54757332743452</v>
          </cell>
          <cell r="N56">
            <v>525.44695523748794</v>
          </cell>
          <cell r="O56">
            <v>535.71741555355686</v>
          </cell>
          <cell r="P56">
            <v>545.77190434657768</v>
          </cell>
          <cell r="Q56">
            <v>555.88661259770072</v>
          </cell>
          <cell r="R56">
            <v>566.59910882585132</v>
          </cell>
          <cell r="S56">
            <v>576.80097776295861</v>
          </cell>
          <cell r="T56">
            <v>587.87144234722132</v>
          </cell>
          <cell r="U56">
            <v>599.13571767130463</v>
          </cell>
          <cell r="V56">
            <v>610.7590788611634</v>
          </cell>
          <cell r="W56">
            <v>622.67076125130927</v>
          </cell>
          <cell r="X56">
            <v>634.46736870155826</v>
          </cell>
          <cell r="Y56">
            <v>646.75324600086162</v>
          </cell>
          <cell r="Z56">
            <v>659.25687505969177</v>
          </cell>
          <cell r="AA56">
            <v>671.9814647927127</v>
          </cell>
          <cell r="AB56">
            <v>684.93024846547235</v>
          </cell>
          <cell r="AC56">
            <v>698.10648290637471</v>
          </cell>
          <cell r="AD56">
            <v>711.5134476640311</v>
          </cell>
          <cell r="AE56">
            <v>725.15444410775399</v>
          </cell>
          <cell r="AF56">
            <v>739.03279446887291</v>
          </cell>
          <cell r="AG56">
            <v>753.15184082048063</v>
          </cell>
          <cell r="AH56">
            <v>767.51494399312548</v>
          </cell>
        </row>
        <row r="57">
          <cell r="A57" t="str">
            <v>MEG price (East Asia)</v>
          </cell>
          <cell r="B57">
            <v>0</v>
          </cell>
          <cell r="C57">
            <v>0</v>
          </cell>
          <cell r="D57" t="str">
            <v>$/ton</v>
          </cell>
          <cell r="E57">
            <v>418.69645509999998</v>
          </cell>
          <cell r="F57">
            <v>397.34885999999995</v>
          </cell>
          <cell r="G57">
            <v>460.89744000000002</v>
          </cell>
          <cell r="H57">
            <v>426.81551999999999</v>
          </cell>
          <cell r="I57">
            <v>438.66795000000002</v>
          </cell>
          <cell r="J57">
            <v>443.34916999999996</v>
          </cell>
          <cell r="K57">
            <v>447.70446999999996</v>
          </cell>
          <cell r="L57">
            <v>452.87747999999999</v>
          </cell>
          <cell r="M57">
            <v>472.71900000000005</v>
          </cell>
          <cell r="N57">
            <v>477.01500000000004</v>
          </cell>
          <cell r="O57">
            <v>483.87</v>
          </cell>
          <cell r="P57">
            <v>490.85400000000004</v>
          </cell>
          <cell r="Q57">
            <v>498.91600000000005</v>
          </cell>
          <cell r="R57">
            <v>506.16</v>
          </cell>
          <cell r="S57">
            <v>515.93599999999992</v>
          </cell>
          <cell r="T57">
            <v>523.06799999999998</v>
          </cell>
          <cell r="U57">
            <v>531.75300000000004</v>
          </cell>
          <cell r="V57">
            <v>540.58000000000004</v>
          </cell>
          <cell r="W57">
            <v>549.54</v>
          </cell>
          <cell r="X57">
            <v>556.68600000000004</v>
          </cell>
          <cell r="Y57">
            <v>564.17381873239435</v>
          </cell>
          <cell r="Z57">
            <v>571.76235389985129</v>
          </cell>
          <cell r="AA57">
            <v>579.45296020934916</v>
          </cell>
          <cell r="AB57">
            <v>587.24701058962989</v>
          </cell>
          <cell r="AC57">
            <v>595.14589643629313</v>
          </cell>
          <cell r="AD57">
            <v>626.14030749390429</v>
          </cell>
          <cell r="AE57">
            <v>638.48713453017479</v>
          </cell>
          <cell r="AF57">
            <v>651.05996522607506</v>
          </cell>
          <cell r="AG57">
            <v>663.86238299768911</v>
          </cell>
          <cell r="AH57">
            <v>676.89800917961747</v>
          </cell>
        </row>
        <row r="58">
          <cell r="A58" t="str">
            <v>MEG price (West Asia)</v>
          </cell>
          <cell r="B58">
            <v>0</v>
          </cell>
          <cell r="C58">
            <v>0</v>
          </cell>
          <cell r="D58" t="str">
            <v>$/ton</v>
          </cell>
          <cell r="E58">
            <v>418.69645509999998</v>
          </cell>
          <cell r="F58">
            <v>397.34885999999995</v>
          </cell>
          <cell r="G58">
            <v>460.89744000000002</v>
          </cell>
          <cell r="H58">
            <v>426.81551999999999</v>
          </cell>
          <cell r="I58">
            <v>438.66795000000002</v>
          </cell>
          <cell r="J58">
            <v>443.34916999999996</v>
          </cell>
          <cell r="K58">
            <v>447.70446999999996</v>
          </cell>
          <cell r="L58">
            <v>452.87747999999999</v>
          </cell>
          <cell r="M58">
            <v>472.71900000000005</v>
          </cell>
          <cell r="N58">
            <v>477.01500000000004</v>
          </cell>
          <cell r="O58">
            <v>483.87</v>
          </cell>
          <cell r="P58">
            <v>490.85400000000004</v>
          </cell>
          <cell r="Q58">
            <v>498.91600000000005</v>
          </cell>
          <cell r="R58">
            <v>506.16</v>
          </cell>
          <cell r="S58">
            <v>515.93599999999992</v>
          </cell>
          <cell r="T58">
            <v>523.06799999999998</v>
          </cell>
          <cell r="U58">
            <v>531.75300000000004</v>
          </cell>
          <cell r="V58">
            <v>540.58000000000004</v>
          </cell>
          <cell r="W58">
            <v>549.54</v>
          </cell>
          <cell r="X58">
            <v>556.68600000000004</v>
          </cell>
          <cell r="Y58">
            <v>564.17381873239435</v>
          </cell>
          <cell r="Z58">
            <v>571.76235389985129</v>
          </cell>
          <cell r="AA58">
            <v>579.45296020934916</v>
          </cell>
          <cell r="AB58">
            <v>587.24701058962989</v>
          </cell>
          <cell r="AC58">
            <v>595.14589643629313</v>
          </cell>
          <cell r="AD58">
            <v>626.14030749390429</v>
          </cell>
          <cell r="AE58">
            <v>638.48713453017479</v>
          </cell>
          <cell r="AF58">
            <v>651.05996522607506</v>
          </cell>
          <cell r="AG58">
            <v>663.86238299768911</v>
          </cell>
          <cell r="AH58">
            <v>676.89800917961747</v>
          </cell>
        </row>
        <row r="59">
          <cell r="A59" t="str">
            <v>MEG price (Iran)</v>
          </cell>
          <cell r="B59">
            <v>0</v>
          </cell>
          <cell r="C59">
            <v>0</v>
          </cell>
          <cell r="D59" t="str">
            <v>$/ton</v>
          </cell>
          <cell r="E59">
            <v>418.69645509999998</v>
          </cell>
          <cell r="F59">
            <v>397.34885999999995</v>
          </cell>
          <cell r="G59">
            <v>460.89744000000002</v>
          </cell>
          <cell r="H59">
            <v>426.81551999999999</v>
          </cell>
          <cell r="I59">
            <v>438.66795000000002</v>
          </cell>
          <cell r="J59">
            <v>443.34916999999996</v>
          </cell>
          <cell r="K59">
            <v>447.70446999999996</v>
          </cell>
          <cell r="L59">
            <v>452.87747999999999</v>
          </cell>
          <cell r="M59">
            <v>472.71900000000005</v>
          </cell>
          <cell r="N59">
            <v>477.01500000000004</v>
          </cell>
          <cell r="O59">
            <v>483.87</v>
          </cell>
          <cell r="P59">
            <v>490.85400000000004</v>
          </cell>
          <cell r="Q59">
            <v>498.91600000000005</v>
          </cell>
          <cell r="R59">
            <v>506.16</v>
          </cell>
          <cell r="S59">
            <v>515.93599999999992</v>
          </cell>
          <cell r="T59">
            <v>523.06799999999998</v>
          </cell>
          <cell r="U59">
            <v>531.75300000000004</v>
          </cell>
          <cell r="V59">
            <v>540.58000000000004</v>
          </cell>
          <cell r="W59">
            <v>549.54</v>
          </cell>
          <cell r="X59">
            <v>556.68600000000004</v>
          </cell>
          <cell r="Y59">
            <v>564.17381873239435</v>
          </cell>
          <cell r="Z59">
            <v>571.76235389985129</v>
          </cell>
          <cell r="AA59">
            <v>579.45296020934916</v>
          </cell>
          <cell r="AB59">
            <v>587.24701058962989</v>
          </cell>
          <cell r="AC59">
            <v>595.14589643629313</v>
          </cell>
          <cell r="AD59">
            <v>626.14030749390429</v>
          </cell>
          <cell r="AE59">
            <v>638.48713453017479</v>
          </cell>
          <cell r="AF59">
            <v>651.05996522607506</v>
          </cell>
          <cell r="AG59">
            <v>663.86238299768911</v>
          </cell>
          <cell r="AH59">
            <v>676.89800917961747</v>
          </cell>
        </row>
        <row r="60">
          <cell r="A60" t="str">
            <v>Styrene price (Western Europe)</v>
          </cell>
          <cell r="B60">
            <v>0</v>
          </cell>
          <cell r="C60">
            <v>0</v>
          </cell>
          <cell r="D60" t="str">
            <v>$/ton</v>
          </cell>
          <cell r="E60">
            <v>587.97210304479756</v>
          </cell>
          <cell r="F60">
            <v>554.49500410845587</v>
          </cell>
          <cell r="G60">
            <v>537.03919011458345</v>
          </cell>
          <cell r="H60">
            <v>548.30309709354185</v>
          </cell>
          <cell r="I60">
            <v>563.74464231134345</v>
          </cell>
          <cell r="J60">
            <v>574.20603240267815</v>
          </cell>
          <cell r="K60">
            <v>582.59132056376382</v>
          </cell>
          <cell r="L60">
            <v>591.08804561476029</v>
          </cell>
          <cell r="M60">
            <v>618.6454608282877</v>
          </cell>
          <cell r="N60">
            <v>627.87278725387137</v>
          </cell>
          <cell r="O60">
            <v>640.42210345864532</v>
          </cell>
          <cell r="P60">
            <v>653.08803443777288</v>
          </cell>
          <cell r="Q60">
            <v>665.71677006608832</v>
          </cell>
          <cell r="R60">
            <v>679.15612927043594</v>
          </cell>
          <cell r="S60">
            <v>692.04581721398461</v>
          </cell>
          <cell r="T60">
            <v>705.8073287701153</v>
          </cell>
          <cell r="U60">
            <v>720.50817130864368</v>
          </cell>
          <cell r="V60">
            <v>735.2020851405598</v>
          </cell>
          <cell r="W60">
            <v>750.26009180149686</v>
          </cell>
          <cell r="X60">
            <v>765.19585133178259</v>
          </cell>
          <cell r="Y60">
            <v>780.75723280308512</v>
          </cell>
          <cell r="Z60">
            <v>796.61843594087031</v>
          </cell>
          <cell r="AA60">
            <v>812.78472596504275</v>
          </cell>
          <cell r="AB60">
            <v>829.26144396796076</v>
          </cell>
          <cell r="AC60">
            <v>846.05400741729659</v>
          </cell>
          <cell r="AD60">
            <v>863.18392945912819</v>
          </cell>
          <cell r="AE60">
            <v>880.65791389606761</v>
          </cell>
          <cell r="AF60">
            <v>898.48279572056185</v>
          </cell>
          <cell r="AG60">
            <v>916.66554362612135</v>
          </cell>
          <cell r="AH60">
            <v>935.21326256504722</v>
          </cell>
        </row>
        <row r="61">
          <cell r="A61" t="str">
            <v>Styrene price (East Asia)</v>
          </cell>
          <cell r="B61">
            <v>0</v>
          </cell>
          <cell r="C61">
            <v>0</v>
          </cell>
          <cell r="D61" t="str">
            <v>$/ton</v>
          </cell>
          <cell r="E61">
            <v>478.01114999999999</v>
          </cell>
          <cell r="F61">
            <v>398.33729</v>
          </cell>
          <cell r="G61">
            <v>554.89625999999998</v>
          </cell>
          <cell r="H61">
            <v>562.52627999999993</v>
          </cell>
          <cell r="I61">
            <v>570.37455</v>
          </cell>
          <cell r="J61">
            <v>575.15567999999996</v>
          </cell>
          <cell r="K61">
            <v>582.79733999999996</v>
          </cell>
          <cell r="L61">
            <v>591.25671</v>
          </cell>
          <cell r="M61">
            <v>617.79900000000009</v>
          </cell>
          <cell r="N61">
            <v>626.93400000000008</v>
          </cell>
          <cell r="O61">
            <v>637.54</v>
          </cell>
          <cell r="P61">
            <v>648.39600000000007</v>
          </cell>
          <cell r="Q61">
            <v>660.33</v>
          </cell>
          <cell r="R61">
            <v>673.05600000000004</v>
          </cell>
          <cell r="S61">
            <v>684.17599999999993</v>
          </cell>
          <cell r="T61">
            <v>696.94500000000005</v>
          </cell>
          <cell r="U61">
            <v>709.98599999999999</v>
          </cell>
          <cell r="V61">
            <v>723.29</v>
          </cell>
          <cell r="W61">
            <v>736.84800000000007</v>
          </cell>
          <cell r="X61">
            <v>750.178</v>
          </cell>
          <cell r="Y61">
            <v>764.0862370798319</v>
          </cell>
          <cell r="Z61">
            <v>778.25233170636454</v>
          </cell>
          <cell r="AA61">
            <v>792.6810645368447</v>
          </cell>
          <cell r="AB61">
            <v>807.37730486150338</v>
          </cell>
          <cell r="AC61">
            <v>822.34601224680307</v>
          </cell>
          <cell r="AD61">
            <v>837.24840594971772</v>
          </cell>
          <cell r="AE61">
            <v>852.24476632518281</v>
          </cell>
          <cell r="AF61">
            <v>867.50973375073329</v>
          </cell>
          <cell r="AG61">
            <v>883.04811937691159</v>
          </cell>
          <cell r="AH61">
            <v>898.86482052910026</v>
          </cell>
        </row>
        <row r="62">
          <cell r="A62" t="str">
            <v>Styrene price (West Asia)</v>
          </cell>
          <cell r="B62">
            <v>0</v>
          </cell>
          <cell r="C62">
            <v>0</v>
          </cell>
          <cell r="D62" t="str">
            <v>$/ton</v>
          </cell>
          <cell r="E62">
            <v>478.01114999999999</v>
          </cell>
          <cell r="F62">
            <v>398.33729</v>
          </cell>
          <cell r="G62">
            <v>554.89625999999998</v>
          </cell>
          <cell r="H62">
            <v>562.52627999999993</v>
          </cell>
          <cell r="I62">
            <v>570.37455</v>
          </cell>
          <cell r="J62">
            <v>575.15567999999996</v>
          </cell>
          <cell r="K62">
            <v>582.79733999999996</v>
          </cell>
          <cell r="L62">
            <v>591.25671</v>
          </cell>
          <cell r="M62">
            <v>617.79900000000009</v>
          </cell>
          <cell r="N62">
            <v>626.93400000000008</v>
          </cell>
          <cell r="O62">
            <v>637.54</v>
          </cell>
          <cell r="P62">
            <v>648.39600000000007</v>
          </cell>
          <cell r="Q62">
            <v>660.33</v>
          </cell>
          <cell r="R62">
            <v>673.05600000000004</v>
          </cell>
          <cell r="S62">
            <v>684.17599999999993</v>
          </cell>
          <cell r="T62">
            <v>696.94500000000005</v>
          </cell>
          <cell r="U62">
            <v>709.98599999999999</v>
          </cell>
          <cell r="V62">
            <v>723.29</v>
          </cell>
          <cell r="W62">
            <v>736.84800000000007</v>
          </cell>
          <cell r="X62">
            <v>750.178</v>
          </cell>
          <cell r="Y62">
            <v>764.0862370798319</v>
          </cell>
          <cell r="Z62">
            <v>778.25233170636454</v>
          </cell>
          <cell r="AA62">
            <v>792.6810645368447</v>
          </cell>
          <cell r="AB62">
            <v>807.37730486150338</v>
          </cell>
          <cell r="AC62">
            <v>822.34601224680307</v>
          </cell>
          <cell r="AD62">
            <v>837.24840594971772</v>
          </cell>
          <cell r="AE62">
            <v>852.24476632518281</v>
          </cell>
          <cell r="AF62">
            <v>867.50973375073329</v>
          </cell>
          <cell r="AG62">
            <v>883.04811937691159</v>
          </cell>
          <cell r="AH62">
            <v>898.86482052910026</v>
          </cell>
        </row>
        <row r="63">
          <cell r="A63" t="str">
            <v>Styrene price (Iran)</v>
          </cell>
          <cell r="B63">
            <v>0</v>
          </cell>
          <cell r="C63">
            <v>0</v>
          </cell>
          <cell r="D63" t="str">
            <v>$/ton</v>
          </cell>
          <cell r="E63">
            <v>478.01114999999999</v>
          </cell>
          <cell r="F63">
            <v>398.33729</v>
          </cell>
          <cell r="G63">
            <v>554.89625999999998</v>
          </cell>
          <cell r="H63">
            <v>562.52627999999993</v>
          </cell>
          <cell r="I63">
            <v>570.37455</v>
          </cell>
          <cell r="J63">
            <v>575.15567999999996</v>
          </cell>
          <cell r="K63">
            <v>582.79733999999996</v>
          </cell>
          <cell r="L63">
            <v>591.25671</v>
          </cell>
          <cell r="M63">
            <v>617.79900000000009</v>
          </cell>
          <cell r="N63">
            <v>626.93400000000008</v>
          </cell>
          <cell r="O63">
            <v>637.54</v>
          </cell>
          <cell r="P63">
            <v>648.39600000000007</v>
          </cell>
          <cell r="Q63">
            <v>660.33</v>
          </cell>
          <cell r="R63">
            <v>673.05600000000004</v>
          </cell>
          <cell r="S63">
            <v>684.17599999999993</v>
          </cell>
          <cell r="T63">
            <v>696.94500000000005</v>
          </cell>
          <cell r="U63">
            <v>709.98599999999999</v>
          </cell>
          <cell r="V63">
            <v>723.29</v>
          </cell>
          <cell r="W63">
            <v>736.84800000000007</v>
          </cell>
          <cell r="X63">
            <v>750.178</v>
          </cell>
          <cell r="Y63">
            <v>764.0862370798319</v>
          </cell>
          <cell r="Z63">
            <v>778.25233170636454</v>
          </cell>
          <cell r="AA63">
            <v>792.6810645368447</v>
          </cell>
          <cell r="AB63">
            <v>807.37730486150338</v>
          </cell>
          <cell r="AC63">
            <v>822.34601224680307</v>
          </cell>
          <cell r="AD63">
            <v>837.24840594971772</v>
          </cell>
          <cell r="AE63">
            <v>852.24476632518281</v>
          </cell>
          <cell r="AF63">
            <v>867.50973375073329</v>
          </cell>
          <cell r="AG63">
            <v>883.04811937691159</v>
          </cell>
          <cell r="AH63">
            <v>898.86482052910026</v>
          </cell>
        </row>
        <row r="64">
          <cell r="A64" t="str">
            <v>Benzene</v>
          </cell>
          <cell r="B64">
            <v>0</v>
          </cell>
          <cell r="C64">
            <v>0</v>
          </cell>
          <cell r="D64" t="str">
            <v>$/ton</v>
          </cell>
          <cell r="E64">
            <v>316.587470472456</v>
          </cell>
          <cell r="F64">
            <v>294.96116730371529</v>
          </cell>
          <cell r="G64">
            <v>278.86411396856647</v>
          </cell>
          <cell r="H64">
            <v>286.90276591460321</v>
          </cell>
          <cell r="I64">
            <v>306.08905690504832</v>
          </cell>
          <cell r="J64">
            <v>313.18128138622689</v>
          </cell>
          <cell r="K64">
            <v>317.38858108555405</v>
          </cell>
          <cell r="L64">
            <v>322.0445481202018</v>
          </cell>
          <cell r="M64">
            <v>326.62485810968576</v>
          </cell>
          <cell r="N64">
            <v>331.27163583777474</v>
          </cell>
          <cell r="O64">
            <v>338.62073746862728</v>
          </cell>
          <cell r="P64">
            <v>346.19968041255549</v>
          </cell>
          <cell r="Q64">
            <v>353.74166101049497</v>
          </cell>
          <cell r="R64">
            <v>361.7761461211291</v>
          </cell>
          <cell r="S64">
            <v>369.48671156452934</v>
          </cell>
          <cell r="T64">
            <v>377.70313882900223</v>
          </cell>
          <cell r="U64">
            <v>386.94872869641864</v>
          </cell>
          <cell r="V64">
            <v>395.90583672046421</v>
          </cell>
          <cell r="W64">
            <v>405.09766940999737</v>
          </cell>
          <cell r="X64">
            <v>414.26213592314485</v>
          </cell>
          <cell r="Y64">
            <v>423.82090473153897</v>
          </cell>
          <cell r="Z64">
            <v>433.60023451620657</v>
          </cell>
          <cell r="AA64">
            <v>443.60521454598853</v>
          </cell>
          <cell r="AB64">
            <v>453.84105152055054</v>
          </cell>
          <cell r="AC64">
            <v>464.31307228000571</v>
          </cell>
          <cell r="AD64">
            <v>475.02672657705966</v>
          </cell>
          <cell r="AE64">
            <v>485.98758991312076</v>
          </cell>
          <cell r="AF64">
            <v>497.20136643985109</v>
          </cell>
          <cell r="AG64">
            <v>508.67389192766905</v>
          </cell>
          <cell r="AH64">
            <v>520.41113680274668</v>
          </cell>
        </row>
        <row r="65">
          <cell r="A65" t="str">
            <v>Land Cost (unit)</v>
          </cell>
          <cell r="B65">
            <v>0</v>
          </cell>
          <cell r="C65">
            <v>0</v>
          </cell>
          <cell r="D65" t="str">
            <v>$/m2</v>
          </cell>
          <cell r="E65">
            <v>0</v>
          </cell>
          <cell r="F65">
            <v>0</v>
          </cell>
          <cell r="G65">
            <v>0</v>
          </cell>
          <cell r="H65">
            <v>0</v>
          </cell>
          <cell r="I65">
            <v>0</v>
          </cell>
          <cell r="J65">
            <v>2</v>
          </cell>
          <cell r="K65">
            <v>2</v>
          </cell>
          <cell r="L65">
            <v>2</v>
          </cell>
          <cell r="M65">
            <v>2</v>
          </cell>
          <cell r="N65">
            <v>2</v>
          </cell>
          <cell r="O65">
            <v>2</v>
          </cell>
          <cell r="P65">
            <v>2</v>
          </cell>
          <cell r="Q65">
            <v>2</v>
          </cell>
          <cell r="R65">
            <v>2</v>
          </cell>
          <cell r="S65">
            <v>2</v>
          </cell>
          <cell r="T65">
            <v>2</v>
          </cell>
          <cell r="U65">
            <v>2</v>
          </cell>
          <cell r="V65">
            <v>2</v>
          </cell>
          <cell r="W65">
            <v>2</v>
          </cell>
          <cell r="X65">
            <v>2</v>
          </cell>
          <cell r="Y65">
            <v>2</v>
          </cell>
          <cell r="Z65">
            <v>2</v>
          </cell>
          <cell r="AA65">
            <v>2</v>
          </cell>
          <cell r="AB65">
            <v>2</v>
          </cell>
          <cell r="AC65">
            <v>2</v>
          </cell>
          <cell r="AD65">
            <v>2</v>
          </cell>
          <cell r="AE65">
            <v>2</v>
          </cell>
          <cell r="AF65">
            <v>2</v>
          </cell>
          <cell r="AG65">
            <v>2</v>
          </cell>
          <cell r="AH65">
            <v>2</v>
          </cell>
        </row>
        <row r="66">
          <cell r="A66" t="str">
            <v>Land Cost</v>
          </cell>
          <cell r="B66">
            <v>0</v>
          </cell>
          <cell r="C66">
            <v>0</v>
          </cell>
          <cell r="D66" t="str">
            <v>$ million</v>
          </cell>
          <cell r="E66">
            <v>0</v>
          </cell>
          <cell r="F66">
            <v>0</v>
          </cell>
          <cell r="G66">
            <v>0</v>
          </cell>
          <cell r="H66">
            <v>0</v>
          </cell>
          <cell r="I66">
            <v>0</v>
          </cell>
          <cell r="J66">
            <v>1.7</v>
          </cell>
          <cell r="K66">
            <v>1.7</v>
          </cell>
          <cell r="L66">
            <v>1.7</v>
          </cell>
          <cell r="M66">
            <v>1.7</v>
          </cell>
          <cell r="N66">
            <v>1.7</v>
          </cell>
          <cell r="O66">
            <v>1.7</v>
          </cell>
          <cell r="P66">
            <v>1.7</v>
          </cell>
          <cell r="Q66">
            <v>1.7</v>
          </cell>
          <cell r="R66">
            <v>1.7</v>
          </cell>
          <cell r="S66">
            <v>1.7</v>
          </cell>
          <cell r="T66">
            <v>1.7</v>
          </cell>
          <cell r="U66">
            <v>1.7</v>
          </cell>
          <cell r="V66">
            <v>1.7</v>
          </cell>
          <cell r="W66">
            <v>1.7</v>
          </cell>
          <cell r="X66">
            <v>1.7</v>
          </cell>
          <cell r="Y66">
            <v>1.7</v>
          </cell>
          <cell r="Z66">
            <v>1.7</v>
          </cell>
          <cell r="AA66">
            <v>1.7</v>
          </cell>
          <cell r="AB66">
            <v>1.7</v>
          </cell>
          <cell r="AC66">
            <v>1.7</v>
          </cell>
          <cell r="AD66">
            <v>1.7</v>
          </cell>
          <cell r="AE66">
            <v>1.7</v>
          </cell>
          <cell r="AF66">
            <v>1.7</v>
          </cell>
          <cell r="AG66">
            <v>1.7</v>
          </cell>
          <cell r="AH66">
            <v>1.7</v>
          </cell>
        </row>
        <row r="67">
          <cell r="A67" t="str">
            <v>Handling Cost (Polymers)</v>
          </cell>
          <cell r="B67">
            <v>0</v>
          </cell>
          <cell r="C67">
            <v>0</v>
          </cell>
          <cell r="D67" t="str">
            <v>$/ton</v>
          </cell>
          <cell r="E67">
            <v>5</v>
          </cell>
          <cell r="F67">
            <v>5.0949999999999998</v>
          </cell>
          <cell r="G67">
            <v>5.21</v>
          </cell>
          <cell r="H67">
            <v>5.34</v>
          </cell>
          <cell r="I67">
            <v>5.4749999999999996</v>
          </cell>
          <cell r="J67">
            <v>5.6150000000000002</v>
          </cell>
          <cell r="K67">
            <v>5.7549999999999999</v>
          </cell>
          <cell r="L67">
            <v>5.8950000000000005</v>
          </cell>
          <cell r="M67">
            <v>6.0449999999999999</v>
          </cell>
          <cell r="N67">
            <v>6.1950000000000003</v>
          </cell>
          <cell r="O67">
            <v>6.35</v>
          </cell>
          <cell r="P67">
            <v>6.51</v>
          </cell>
          <cell r="Q67">
            <v>6.67</v>
          </cell>
          <cell r="R67">
            <v>6.8400000000000007</v>
          </cell>
          <cell r="S67">
            <v>7.01</v>
          </cell>
          <cell r="T67">
            <v>7.1850000000000005</v>
          </cell>
          <cell r="U67">
            <v>7.3650000000000002</v>
          </cell>
          <cell r="V67">
            <v>7.55</v>
          </cell>
          <cell r="W67">
            <v>7.74</v>
          </cell>
          <cell r="X67">
            <v>7.9300000000000006</v>
          </cell>
          <cell r="Y67">
            <v>8.1282499999999995</v>
          </cell>
          <cell r="Z67">
            <v>8.3314562500000005</v>
          </cell>
          <cell r="AA67">
            <v>8.5397426562499987</v>
          </cell>
          <cell r="AB67">
            <v>8.7532362226562483</v>
          </cell>
          <cell r="AC67">
            <v>8.972067128222653</v>
          </cell>
          <cell r="AD67">
            <v>9.1963688064282181</v>
          </cell>
          <cell r="AE67">
            <v>9.426278026588923</v>
          </cell>
          <cell r="AF67">
            <v>9.6619349772536438</v>
          </cell>
          <cell r="AG67">
            <v>9.9034833516849847</v>
          </cell>
          <cell r="AH67">
            <v>10.151070435477109</v>
          </cell>
        </row>
        <row r="68">
          <cell r="A68" t="str">
            <v>Handling Cost (Bulk Liquid)</v>
          </cell>
          <cell r="B68">
            <v>0</v>
          </cell>
          <cell r="C68">
            <v>0</v>
          </cell>
          <cell r="D68" t="str">
            <v>$/ton</v>
          </cell>
          <cell r="E68">
            <v>3</v>
          </cell>
          <cell r="F68">
            <v>3.0569999999999995</v>
          </cell>
          <cell r="G68">
            <v>3.1260000000000003</v>
          </cell>
          <cell r="H68">
            <v>3.2040000000000002</v>
          </cell>
          <cell r="I68">
            <v>3.2850000000000001</v>
          </cell>
          <cell r="J68">
            <v>3.3689999999999998</v>
          </cell>
          <cell r="K68">
            <v>3.4530000000000003</v>
          </cell>
          <cell r="L68">
            <v>3.5369999999999999</v>
          </cell>
          <cell r="M68">
            <v>3.6270000000000002</v>
          </cell>
          <cell r="N68">
            <v>3.7170000000000005</v>
          </cell>
          <cell r="O68">
            <v>3.81</v>
          </cell>
          <cell r="P68">
            <v>3.9060000000000001</v>
          </cell>
          <cell r="Q68">
            <v>4.0020000000000007</v>
          </cell>
          <cell r="R68">
            <v>4.1040000000000001</v>
          </cell>
          <cell r="S68">
            <v>4.2059999999999995</v>
          </cell>
          <cell r="T68">
            <v>4.3109999999999999</v>
          </cell>
          <cell r="U68">
            <v>4.4190000000000005</v>
          </cell>
          <cell r="V68">
            <v>4.53</v>
          </cell>
          <cell r="W68">
            <v>4.6440000000000001</v>
          </cell>
          <cell r="X68">
            <v>4.758</v>
          </cell>
          <cell r="Y68">
            <v>4.8769499999999999</v>
          </cell>
          <cell r="Z68">
            <v>4.9988737499999996</v>
          </cell>
          <cell r="AA68">
            <v>5.1238455937499996</v>
          </cell>
          <cell r="AB68">
            <v>5.2519417335937488</v>
          </cell>
          <cell r="AC68">
            <v>5.3832402769335914</v>
          </cell>
          <cell r="AD68">
            <v>5.5178212838569305</v>
          </cell>
          <cell r="AE68">
            <v>5.6557668159533536</v>
          </cell>
          <cell r="AF68">
            <v>5.7971609863521865</v>
          </cell>
          <cell r="AG68">
            <v>5.9420900110109915</v>
          </cell>
          <cell r="AH68">
            <v>6.0906422612862663</v>
          </cell>
        </row>
        <row r="69">
          <cell r="A69">
            <v>0</v>
          </cell>
          <cell r="B69">
            <v>0</v>
          </cell>
          <cell r="C69">
            <v>0</v>
          </cell>
          <cell r="D69">
            <v>0</v>
          </cell>
        </row>
        <row r="70">
          <cell r="A70">
            <v>0</v>
          </cell>
          <cell r="B70">
            <v>0</v>
          </cell>
          <cell r="C70">
            <v>0</v>
          </cell>
          <cell r="D70">
            <v>0</v>
          </cell>
        </row>
        <row r="71">
          <cell r="A71">
            <v>0</v>
          </cell>
          <cell r="B71">
            <v>0</v>
          </cell>
          <cell r="C71">
            <v>0</v>
          </cell>
          <cell r="D71">
            <v>0</v>
          </cell>
        </row>
        <row r="72">
          <cell r="A72">
            <v>0</v>
          </cell>
          <cell r="B72">
            <v>0</v>
          </cell>
          <cell r="C72">
            <v>0</v>
          </cell>
          <cell r="D72">
            <v>0</v>
          </cell>
        </row>
        <row r="73">
          <cell r="A73">
            <v>0</v>
          </cell>
          <cell r="B73">
            <v>0</v>
          </cell>
          <cell r="C73">
            <v>0</v>
          </cell>
          <cell r="D73">
            <v>0</v>
          </cell>
        </row>
        <row r="74">
          <cell r="A74" t="str">
            <v>Year</v>
          </cell>
          <cell r="B74">
            <v>0</v>
          </cell>
          <cell r="C74">
            <v>0</v>
          </cell>
          <cell r="D74">
            <v>2000</v>
          </cell>
          <cell r="E74">
            <v>2001</v>
          </cell>
          <cell r="F74">
            <v>2002</v>
          </cell>
          <cell r="G74">
            <v>2003</v>
          </cell>
          <cell r="H74">
            <v>2004</v>
          </cell>
          <cell r="I74">
            <v>2005</v>
          </cell>
          <cell r="J74">
            <v>2006</v>
          </cell>
          <cell r="K74">
            <v>2007</v>
          </cell>
          <cell r="L74">
            <v>2008</v>
          </cell>
          <cell r="M74">
            <v>2009</v>
          </cell>
          <cell r="N74">
            <v>2010</v>
          </cell>
          <cell r="O74">
            <v>2011</v>
          </cell>
          <cell r="P74">
            <v>2012</v>
          </cell>
          <cell r="Q74">
            <v>2013</v>
          </cell>
          <cell r="R74">
            <v>2014</v>
          </cell>
          <cell r="S74">
            <v>2015</v>
          </cell>
          <cell r="T74">
            <v>2016</v>
          </cell>
          <cell r="U74">
            <v>2017</v>
          </cell>
          <cell r="V74">
            <v>2018</v>
          </cell>
          <cell r="W74">
            <v>2019</v>
          </cell>
          <cell r="X74">
            <v>2020</v>
          </cell>
          <cell r="Y74">
            <v>2021</v>
          </cell>
          <cell r="Z74">
            <v>2022</v>
          </cell>
          <cell r="AA74">
            <v>2023</v>
          </cell>
          <cell r="AB74">
            <v>2024</v>
          </cell>
          <cell r="AC74">
            <v>2025</v>
          </cell>
          <cell r="AD74">
            <v>2026</v>
          </cell>
          <cell r="AE74">
            <v>2027</v>
          </cell>
          <cell r="AF74">
            <v>2028</v>
          </cell>
          <cell r="AG74">
            <v>2029</v>
          </cell>
          <cell r="AH74">
            <v>2030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ms"/>
      <sheetName val="Time series"/>
      <sheetName val="Historic prices"/>
      <sheetName val="Gr.form vs C2-50"/>
      <sheetName val="Historic prices (3)"/>
      <sheetName val="Res nieuwe form"/>
      <sheetName val="Gr.Cash costs (3)"/>
      <sheetName val="Gr.Cash costs (2)"/>
      <sheetName val="Gr.Cash costs"/>
      <sheetName val="Gr.Prijzen"/>
      <sheetName val="ICM"/>
    </sheetNames>
    <sheetDataSet>
      <sheetData sheetId="0">
        <row r="1">
          <cell r="C1">
            <v>150</v>
          </cell>
        </row>
      </sheetData>
      <sheetData sheetId="1"/>
      <sheetData sheetId="2" refreshError="1"/>
      <sheetData sheetId="3" refreshError="1"/>
      <sheetData sheetId="4" refreshError="1"/>
      <sheetData sheetId="5"/>
      <sheetData sheetId="6" refreshError="1"/>
      <sheetData sheetId="7" refreshError="1"/>
      <sheetData sheetId="8" refreshError="1"/>
      <sheetData sheetId="9" refreshError="1"/>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
      <sheetName val="input"/>
      <sheetName val="Report"/>
      <sheetName val="Gas Calculation"/>
      <sheetName val="Gas Cost"/>
      <sheetName val="GT Performance"/>
      <sheetName val="UB Performance"/>
      <sheetName val="STG Performance"/>
      <sheetName val="HRSG Performance"/>
      <sheetName val="Cost Calculation"/>
      <sheetName val="GT Compressore Effi"/>
      <sheetName val="CPCV"/>
      <sheetName val="Z value"/>
      <sheetName val="Sheet2"/>
    </sheetNames>
    <sheetDataSet>
      <sheetData sheetId="0">
        <row r="5">
          <cell r="G5">
            <v>6.049679027494852</v>
          </cell>
        </row>
        <row r="15">
          <cell r="G15">
            <v>50.185217913864484</v>
          </cell>
        </row>
        <row r="18">
          <cell r="G18">
            <v>0.71901691501000686</v>
          </cell>
        </row>
        <row r="19">
          <cell r="G19">
            <v>8.6798612526190677</v>
          </cell>
        </row>
        <row r="23">
          <cell r="G23">
            <v>207.80444353563033</v>
          </cell>
        </row>
        <row r="25">
          <cell r="G25">
            <v>278.26921512096624</v>
          </cell>
        </row>
        <row r="26">
          <cell r="G26">
            <v>26.522781611109789</v>
          </cell>
        </row>
        <row r="29">
          <cell r="G29">
            <v>83.32932966266732</v>
          </cell>
        </row>
        <row r="33">
          <cell r="G33">
            <v>107.8296555122278</v>
          </cell>
        </row>
        <row r="37">
          <cell r="G37">
            <v>63.198306988830446</v>
          </cell>
        </row>
        <row r="38">
          <cell r="G38">
            <v>8.2058804041947457</v>
          </cell>
        </row>
        <row r="41">
          <cell r="G41">
            <v>30.286872915626134</v>
          </cell>
        </row>
        <row r="43">
          <cell r="G43">
            <v>25.110965969918517</v>
          </cell>
        </row>
        <row r="46">
          <cell r="G46">
            <v>5.3487578656621304</v>
          </cell>
        </row>
        <row r="50">
          <cell r="G50">
            <v>979.48262602159332</v>
          </cell>
        </row>
        <row r="51">
          <cell r="G51">
            <v>1.7051292845264021</v>
          </cell>
        </row>
        <row r="53">
          <cell r="G53">
            <v>11.015625</v>
          </cell>
        </row>
        <row r="54">
          <cell r="G54">
            <v>11.015625</v>
          </cell>
        </row>
        <row r="59">
          <cell r="G59">
            <v>5.0330226560076579</v>
          </cell>
        </row>
        <row r="60">
          <cell r="G60">
            <v>0.43017213402371945</v>
          </cell>
        </row>
        <row r="62">
          <cell r="G62">
            <v>84.811322922681654</v>
          </cell>
        </row>
        <row r="63">
          <cell r="G63">
            <v>577.20553898532353</v>
          </cell>
        </row>
        <row r="66">
          <cell r="G66">
            <v>183.640625</v>
          </cell>
        </row>
        <row r="67">
          <cell r="G67">
            <v>499.9375</v>
          </cell>
        </row>
        <row r="68">
          <cell r="G68">
            <v>0</v>
          </cell>
        </row>
        <row r="70">
          <cell r="G70">
            <v>308.5625</v>
          </cell>
        </row>
        <row r="71">
          <cell r="G71">
            <v>171.125</v>
          </cell>
        </row>
        <row r="74">
          <cell r="G74">
            <v>21.8671875</v>
          </cell>
        </row>
        <row r="75">
          <cell r="G75">
            <v>135.3125</v>
          </cell>
        </row>
        <row r="76">
          <cell r="G76">
            <v>2256.5</v>
          </cell>
        </row>
        <row r="78">
          <cell r="G78">
            <v>0</v>
          </cell>
        </row>
        <row r="79">
          <cell r="G79">
            <v>0</v>
          </cell>
        </row>
        <row r="81">
          <cell r="G81">
            <v>10.675937457722618</v>
          </cell>
        </row>
        <row r="82">
          <cell r="G82">
            <v>15.700060417227711</v>
          </cell>
        </row>
        <row r="83">
          <cell r="G83">
            <v>891863.93166587455</v>
          </cell>
        </row>
        <row r="85">
          <cell r="G85">
            <v>99.375</v>
          </cell>
        </row>
        <row r="86">
          <cell r="G86">
            <v>1279.12109375</v>
          </cell>
        </row>
        <row r="87">
          <cell r="G87">
            <v>0</v>
          </cell>
        </row>
        <row r="89">
          <cell r="G89">
            <v>0</v>
          </cell>
        </row>
        <row r="90">
          <cell r="G90">
            <v>0</v>
          </cell>
        </row>
        <row r="93">
          <cell r="G93">
            <v>1999.75</v>
          </cell>
        </row>
        <row r="94">
          <cell r="G94">
            <v>2087.5</v>
          </cell>
        </row>
        <row r="97">
          <cell r="G97">
            <v>15.443359375</v>
          </cell>
        </row>
        <row r="98">
          <cell r="G98">
            <v>0</v>
          </cell>
        </row>
        <row r="99">
          <cell r="G99">
            <v>50.62109375</v>
          </cell>
        </row>
        <row r="103">
          <cell r="G103">
            <v>0</v>
          </cell>
        </row>
        <row r="107">
          <cell r="G107">
            <v>0</v>
          </cell>
        </row>
        <row r="110">
          <cell r="G110">
            <v>8.30078125E-3</v>
          </cell>
        </row>
        <row r="114">
          <cell r="G114">
            <v>1474.25</v>
          </cell>
        </row>
        <row r="118">
          <cell r="G118">
            <v>63.223397135788417</v>
          </cell>
        </row>
        <row r="121">
          <cell r="G121">
            <v>-1.5565628185868836E-2</v>
          </cell>
        </row>
        <row r="127">
          <cell r="G127">
            <v>1983.125</v>
          </cell>
        </row>
        <row r="130">
          <cell r="G130">
            <v>171.14102172851563</v>
          </cell>
        </row>
        <row r="134">
          <cell r="G134">
            <v>558.26762900164056</v>
          </cell>
        </row>
        <row r="138">
          <cell r="G138">
            <v>507.81661025106865</v>
          </cell>
        </row>
        <row r="141">
          <cell r="G141">
            <v>54.722898361482862</v>
          </cell>
        </row>
        <row r="145">
          <cell r="G145">
            <v>100.70039023660273</v>
          </cell>
        </row>
        <row r="149">
          <cell r="G149">
            <v>602.02715722892526</v>
          </cell>
        </row>
        <row r="152">
          <cell r="G152">
            <v>226.6534886287813</v>
          </cell>
        </row>
        <row r="156">
          <cell r="G156">
            <v>116.81407322073028</v>
          </cell>
        </row>
        <row r="163">
          <cell r="G163">
            <v>0</v>
          </cell>
        </row>
        <row r="167">
          <cell r="G167">
            <v>-7425.6728515625</v>
          </cell>
        </row>
        <row r="171">
          <cell r="G171">
            <v>311.78695678710938</v>
          </cell>
        </row>
        <row r="175">
          <cell r="G175">
            <v>1.750413179397583</v>
          </cell>
        </row>
        <row r="179">
          <cell r="G179">
            <v>705.379150390625</v>
          </cell>
        </row>
        <row r="186">
          <cell r="G186">
            <v>1746.6201171874998</v>
          </cell>
        </row>
        <row r="190">
          <cell r="G190">
            <v>622.453125</v>
          </cell>
        </row>
        <row r="193">
          <cell r="G193">
            <v>588.109375</v>
          </cell>
        </row>
        <row r="197">
          <cell r="G197">
            <v>108.78467358330775</v>
          </cell>
        </row>
        <row r="203">
          <cell r="G203">
            <v>12.443411354902778</v>
          </cell>
        </row>
        <row r="207">
          <cell r="G207">
            <v>43.134241766782829</v>
          </cell>
        </row>
        <row r="210">
          <cell r="G210">
            <v>0.56465283155201196</v>
          </cell>
        </row>
        <row r="211">
          <cell r="G211">
            <v>61.303378845539186</v>
          </cell>
        </row>
        <row r="214">
          <cell r="G214">
            <v>0.53616774111434595</v>
          </cell>
        </row>
        <row r="218">
          <cell r="G218">
            <v>9.4097075762079232</v>
          </cell>
        </row>
        <row r="219">
          <cell r="G219">
            <v>9.3071263999340186</v>
          </cell>
        </row>
        <row r="221">
          <cell r="G221">
            <v>6.0705947689712056E-3</v>
          </cell>
        </row>
        <row r="222">
          <cell r="G222">
            <v>7.358800261950983E-3</v>
          </cell>
        </row>
        <row r="225">
          <cell r="G225">
            <v>78.883932824385894</v>
          </cell>
        </row>
        <row r="229">
          <cell r="G229">
            <v>8.6597980266409493</v>
          </cell>
        </row>
        <row r="230">
          <cell r="G230">
            <v>9.5807316667867006</v>
          </cell>
        </row>
        <row r="235">
          <cell r="G235">
            <v>106.86949474824046</v>
          </cell>
        </row>
        <row r="240">
          <cell r="G240">
            <v>0.51852252342384741</v>
          </cell>
        </row>
        <row r="243">
          <cell r="G243">
            <v>0.46167251540624804</v>
          </cell>
        </row>
        <row r="247">
          <cell r="G247">
            <v>0.57456899696627739</v>
          </cell>
        </row>
        <row r="248">
          <cell r="G248">
            <v>9.5088304527534557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row r="4">
          <cell r="F4">
            <v>5.9030351638793945</v>
          </cell>
        </row>
        <row r="6">
          <cell r="F6">
            <v>23.586503982543945</v>
          </cell>
        </row>
        <row r="8">
          <cell r="F8">
            <v>19.495491027832031</v>
          </cell>
        </row>
        <row r="9">
          <cell r="F9">
            <v>20.964153289794922</v>
          </cell>
        </row>
        <row r="10">
          <cell r="F10">
            <v>36.799888610839844</v>
          </cell>
        </row>
        <row r="11">
          <cell r="F11">
            <v>377.2100830078125</v>
          </cell>
        </row>
        <row r="12">
          <cell r="F12">
            <v>4.6651096343994141</v>
          </cell>
        </row>
        <row r="13">
          <cell r="F13">
            <v>185.12338256835938</v>
          </cell>
        </row>
        <row r="14">
          <cell r="F14">
            <v>50.589202880859375</v>
          </cell>
        </row>
        <row r="16">
          <cell r="F16">
            <v>12.672587394714355</v>
          </cell>
        </row>
        <row r="17">
          <cell r="F17">
            <v>1.0044407844543457</v>
          </cell>
        </row>
        <row r="18">
          <cell r="F18">
            <v>8.4537839889526367</v>
          </cell>
        </row>
        <row r="19">
          <cell r="F19">
            <v>5.738680362701416</v>
          </cell>
        </row>
        <row r="20">
          <cell r="F20">
            <v>106.94502258300781</v>
          </cell>
        </row>
        <row r="21">
          <cell r="F21">
            <v>488.11746215820313</v>
          </cell>
        </row>
        <row r="22">
          <cell r="F22">
            <v>192.1973876953125</v>
          </cell>
        </row>
        <row r="23">
          <cell r="F23">
            <v>16.343908309936523</v>
          </cell>
        </row>
        <row r="24">
          <cell r="F24">
            <v>285.645263671875</v>
          </cell>
        </row>
        <row r="25">
          <cell r="F25">
            <v>27.780071258544922</v>
          </cell>
        </row>
        <row r="26">
          <cell r="F26">
            <v>17.54139518737793</v>
          </cell>
        </row>
        <row r="27">
          <cell r="F27">
            <v>123.22551727294922</v>
          </cell>
        </row>
        <row r="28">
          <cell r="F28">
            <v>135.520263671875</v>
          </cell>
        </row>
        <row r="29">
          <cell r="F29">
            <v>4.1246641427278519E-2</v>
          </cell>
        </row>
        <row r="30">
          <cell r="F30">
            <v>108.45578765869141</v>
          </cell>
        </row>
        <row r="31">
          <cell r="F31">
            <v>4.8699812889099121</v>
          </cell>
        </row>
        <row r="32">
          <cell r="F32">
            <v>108.94107055664063</v>
          </cell>
        </row>
        <row r="33">
          <cell r="F33">
            <v>0</v>
          </cell>
        </row>
        <row r="34">
          <cell r="F34">
            <v>0</v>
          </cell>
        </row>
        <row r="35">
          <cell r="F35">
            <v>65.135719299316406</v>
          </cell>
        </row>
        <row r="36">
          <cell r="F36">
            <v>82.543472290039063</v>
          </cell>
        </row>
        <row r="37">
          <cell r="F37">
            <v>7.9718904495239258</v>
          </cell>
        </row>
        <row r="38">
          <cell r="F38">
            <v>23.892322540283203</v>
          </cell>
        </row>
        <row r="39">
          <cell r="F39">
            <v>56.457405090332031</v>
          </cell>
        </row>
        <row r="40">
          <cell r="F40">
            <v>24.179828643798828</v>
          </cell>
        </row>
        <row r="41">
          <cell r="F41">
            <v>140.09980773925781</v>
          </cell>
        </row>
        <row r="42">
          <cell r="F42">
            <v>-2.7468752861022949</v>
          </cell>
        </row>
        <row r="43">
          <cell r="F43">
            <v>24.93293571472168</v>
          </cell>
        </row>
        <row r="44">
          <cell r="F44">
            <v>1.4989699125289917</v>
          </cell>
        </row>
        <row r="45">
          <cell r="F45">
            <v>4.6685895919799805</v>
          </cell>
        </row>
        <row r="46">
          <cell r="F46">
            <v>56.732147216796875</v>
          </cell>
        </row>
        <row r="47">
          <cell r="F47">
            <v>5.941932201385498</v>
          </cell>
        </row>
        <row r="48">
          <cell r="F48" t="str">
            <v/>
          </cell>
        </row>
        <row r="49">
          <cell r="F49">
            <v>650.099365234375</v>
          </cell>
        </row>
        <row r="50">
          <cell r="F50">
            <v>2.4776816368103027</v>
          </cell>
        </row>
        <row r="51">
          <cell r="F51">
            <v>4.7312183380126953</v>
          </cell>
        </row>
        <row r="52">
          <cell r="F52">
            <v>310.796875</v>
          </cell>
        </row>
        <row r="53">
          <cell r="F53">
            <v>236.3125</v>
          </cell>
        </row>
        <row r="54">
          <cell r="F54">
            <v>0</v>
          </cell>
        </row>
        <row r="55">
          <cell r="F55">
            <v>0</v>
          </cell>
        </row>
        <row r="56">
          <cell r="F56">
            <v>106.39232140600733</v>
          </cell>
        </row>
        <row r="57">
          <cell r="F57">
            <v>0</v>
          </cell>
        </row>
        <row r="58">
          <cell r="F58">
            <v>4.3135035661110637</v>
          </cell>
        </row>
        <row r="59">
          <cell r="F59">
            <v>16.884293820169511</v>
          </cell>
        </row>
        <row r="60">
          <cell r="F60">
            <v>52.0234375</v>
          </cell>
        </row>
        <row r="61">
          <cell r="F61">
            <v>-5.5967881469105496</v>
          </cell>
        </row>
        <row r="62">
          <cell r="F62">
            <v>15.636707744745486</v>
          </cell>
        </row>
        <row r="63">
          <cell r="F63">
            <v>55.6875</v>
          </cell>
        </row>
        <row r="64">
          <cell r="F64">
            <v>45.59375</v>
          </cell>
        </row>
        <row r="65">
          <cell r="F65">
            <v>18.390625</v>
          </cell>
        </row>
        <row r="66">
          <cell r="F66">
            <v>0.25</v>
          </cell>
        </row>
        <row r="67">
          <cell r="F67">
            <v>0</v>
          </cell>
        </row>
        <row r="68">
          <cell r="F68">
            <v>2381.5</v>
          </cell>
        </row>
        <row r="69">
          <cell r="F69">
            <v>69.78125</v>
          </cell>
        </row>
        <row r="70">
          <cell r="F70">
            <v>94.4375</v>
          </cell>
        </row>
        <row r="71">
          <cell r="F71">
            <v>143.75</v>
          </cell>
        </row>
        <row r="72">
          <cell r="F72">
            <v>122.3125</v>
          </cell>
        </row>
        <row r="73">
          <cell r="F73">
            <v>8.96875</v>
          </cell>
        </row>
        <row r="74">
          <cell r="F74">
            <v>28.09375</v>
          </cell>
        </row>
        <row r="75">
          <cell r="F75">
            <v>571.5</v>
          </cell>
        </row>
        <row r="76">
          <cell r="F76">
            <v>912.75</v>
          </cell>
        </row>
        <row r="77">
          <cell r="F77">
            <v>0</v>
          </cell>
        </row>
        <row r="78">
          <cell r="F78">
            <v>0</v>
          </cell>
        </row>
        <row r="79">
          <cell r="F79">
            <v>37.617973576066021</v>
          </cell>
        </row>
        <row r="80">
          <cell r="F80">
            <v>9.1885692313785903</v>
          </cell>
        </row>
        <row r="81">
          <cell r="F81">
            <v>13.536252332070791</v>
          </cell>
        </row>
        <row r="82">
          <cell r="F82">
            <v>796.25</v>
          </cell>
        </row>
        <row r="83">
          <cell r="F83">
            <v>-7.2764545446062255E-3</v>
          </cell>
        </row>
        <row r="84">
          <cell r="F84">
            <v>34.625</v>
          </cell>
        </row>
        <row r="85">
          <cell r="F85">
            <v>248.7265625</v>
          </cell>
        </row>
        <row r="86">
          <cell r="F86">
            <v>0</v>
          </cell>
        </row>
        <row r="87">
          <cell r="F87">
            <v>0</v>
          </cell>
        </row>
        <row r="88">
          <cell r="F88">
            <v>320.1875</v>
          </cell>
        </row>
        <row r="89">
          <cell r="F89">
            <v>72.859375</v>
          </cell>
        </row>
        <row r="90">
          <cell r="F90">
            <v>53731.535902688513</v>
          </cell>
        </row>
        <row r="91">
          <cell r="F91">
            <v>55485.947280687666</v>
          </cell>
        </row>
        <row r="92">
          <cell r="F92">
            <v>706.75</v>
          </cell>
        </row>
        <row r="93">
          <cell r="F93">
            <v>745</v>
          </cell>
        </row>
        <row r="94">
          <cell r="F94">
            <v>80.067317985528135</v>
          </cell>
        </row>
        <row r="95">
          <cell r="F95">
            <v>175.375</v>
          </cell>
        </row>
        <row r="96">
          <cell r="F96">
            <v>0</v>
          </cell>
        </row>
        <row r="97">
          <cell r="F97">
            <v>0</v>
          </cell>
        </row>
        <row r="98">
          <cell r="F98">
            <v>4.62890625</v>
          </cell>
        </row>
        <row r="99">
          <cell r="F99">
            <v>0</v>
          </cell>
        </row>
        <row r="100">
          <cell r="F100">
            <v>0</v>
          </cell>
        </row>
        <row r="101">
          <cell r="F101">
            <v>119.625</v>
          </cell>
        </row>
        <row r="102">
          <cell r="F102">
            <v>0</v>
          </cell>
        </row>
        <row r="103">
          <cell r="F103">
            <v>0.6334228515625</v>
          </cell>
        </row>
        <row r="104">
          <cell r="F104">
            <v>119.671875</v>
          </cell>
        </row>
        <row r="105">
          <cell r="F105">
            <v>0</v>
          </cell>
        </row>
        <row r="106">
          <cell r="F106">
            <v>0</v>
          </cell>
        </row>
        <row r="107">
          <cell r="F107">
            <v>88.47482881652256</v>
          </cell>
        </row>
        <row r="108">
          <cell r="F108">
            <v>9.2734375</v>
          </cell>
        </row>
        <row r="109">
          <cell r="F109">
            <v>1.708984375E-3</v>
          </cell>
        </row>
        <row r="110">
          <cell r="F110">
            <v>7.875</v>
          </cell>
        </row>
        <row r="111">
          <cell r="F111">
            <v>67.736225902880989</v>
          </cell>
        </row>
        <row r="112">
          <cell r="F112">
            <v>500.875</v>
          </cell>
        </row>
        <row r="113">
          <cell r="F113">
            <v>412.25</v>
          </cell>
        </row>
        <row r="114">
          <cell r="F114">
            <v>7.875</v>
          </cell>
        </row>
        <row r="115">
          <cell r="F115">
            <v>0</v>
          </cell>
        </row>
        <row r="116">
          <cell r="F116">
            <v>21.578125</v>
          </cell>
        </row>
        <row r="117">
          <cell r="F117">
            <v>86.980354609812238</v>
          </cell>
        </row>
        <row r="118">
          <cell r="F118">
            <v>500.75</v>
          </cell>
        </row>
        <row r="119">
          <cell r="F119">
            <v>34.40625</v>
          </cell>
        </row>
        <row r="120">
          <cell r="F120">
            <v>0</v>
          </cell>
        </row>
        <row r="121">
          <cell r="F121">
            <v>796.25</v>
          </cell>
        </row>
        <row r="122">
          <cell r="F122">
            <v>80.067317985528135</v>
          </cell>
        </row>
        <row r="123">
          <cell r="F123">
            <v>743.125</v>
          </cell>
        </row>
        <row r="124">
          <cell r="F124">
            <v>20.5390625</v>
          </cell>
        </row>
        <row r="125">
          <cell r="F125">
            <v>1.7096620006446872</v>
          </cell>
        </row>
        <row r="126">
          <cell r="F126">
            <v>672.5</v>
          </cell>
        </row>
        <row r="128">
          <cell r="F128">
            <v>17.464780616269934</v>
          </cell>
        </row>
        <row r="129">
          <cell r="F129">
            <v>497.6662125902086</v>
          </cell>
        </row>
        <row r="130">
          <cell r="F130">
            <v>522.30545621870317</v>
          </cell>
        </row>
        <row r="131">
          <cell r="F131">
            <v>19.898229630052686</v>
          </cell>
        </row>
        <row r="132">
          <cell r="F132">
            <v>23.01161350586931</v>
          </cell>
        </row>
        <row r="133">
          <cell r="F133">
            <v>495.07773117418463</v>
          </cell>
        </row>
        <row r="134">
          <cell r="F134">
            <v>508.74219505748079</v>
          </cell>
        </row>
        <row r="135">
          <cell r="F135">
            <v>17.452667438994133</v>
          </cell>
        </row>
        <row r="136">
          <cell r="F136">
            <v>17.561142020074342</v>
          </cell>
        </row>
        <row r="137">
          <cell r="F137">
            <v>47.35081548290367</v>
          </cell>
        </row>
        <row r="138">
          <cell r="F138">
            <v>47.379829946091363</v>
          </cell>
        </row>
        <row r="139">
          <cell r="F139">
            <v>14.607285307530368</v>
          </cell>
        </row>
        <row r="140">
          <cell r="F140">
            <v>16.220196464885067</v>
          </cell>
        </row>
        <row r="141">
          <cell r="F141">
            <v>86.295774588956732</v>
          </cell>
        </row>
        <row r="142">
          <cell r="F142">
            <v>97.896478464997728</v>
          </cell>
        </row>
        <row r="143">
          <cell r="F143">
            <v>17.037736060788923</v>
          </cell>
        </row>
        <row r="144">
          <cell r="F144">
            <v>25.775012746057456</v>
          </cell>
        </row>
        <row r="145">
          <cell r="F145">
            <v>634.70891136293653</v>
          </cell>
        </row>
        <row r="146">
          <cell r="F146">
            <v>0</v>
          </cell>
        </row>
        <row r="147">
          <cell r="F147">
            <v>601.6774270548816</v>
          </cell>
        </row>
        <row r="148">
          <cell r="F148">
            <v>16.090856659994639</v>
          </cell>
        </row>
        <row r="149">
          <cell r="F149">
            <v>26.693156300391919</v>
          </cell>
        </row>
        <row r="150">
          <cell r="F150">
            <v>167.33322367141059</v>
          </cell>
        </row>
        <row r="151">
          <cell r="F151">
            <v>189.75268677594627</v>
          </cell>
        </row>
        <row r="152">
          <cell r="F152">
            <v>117.31818059743114</v>
          </cell>
        </row>
        <row r="153">
          <cell r="F153">
            <v>504.4573149824102</v>
          </cell>
        </row>
        <row r="154">
          <cell r="F154">
            <v>119.77182002913368</v>
          </cell>
        </row>
        <row r="155">
          <cell r="F155">
            <v>494.612420717058</v>
          </cell>
        </row>
        <row r="156">
          <cell r="F156">
            <v>503.31900283303537</v>
          </cell>
        </row>
        <row r="157">
          <cell r="F157">
            <v>48.087251942690969</v>
          </cell>
        </row>
        <row r="158">
          <cell r="F158">
            <v>493.3318872656082</v>
          </cell>
        </row>
        <row r="159">
          <cell r="F159">
            <v>0</v>
          </cell>
        </row>
        <row r="160">
          <cell r="F160">
            <v>32730.5</v>
          </cell>
        </row>
        <row r="161">
          <cell r="F161">
            <v>39688</v>
          </cell>
        </row>
        <row r="184">
          <cell r="F184">
            <v>0</v>
          </cell>
        </row>
        <row r="185">
          <cell r="F185">
            <v>0</v>
          </cell>
        </row>
        <row r="186">
          <cell r="F186">
            <v>126.21875</v>
          </cell>
        </row>
        <row r="187">
          <cell r="F187">
            <v>165.921875</v>
          </cell>
        </row>
        <row r="191">
          <cell r="F191">
            <v>0.15382501482963562</v>
          </cell>
        </row>
        <row r="192">
          <cell r="F192">
            <v>2.549100399017334</v>
          </cell>
        </row>
        <row r="193">
          <cell r="F193">
            <v>112.22634887695313</v>
          </cell>
        </row>
        <row r="194">
          <cell r="F194">
            <v>115.85955047607422</v>
          </cell>
        </row>
        <row r="195">
          <cell r="F195">
            <v>18.826396942138672</v>
          </cell>
        </row>
        <row r="196">
          <cell r="F196">
            <v>18.388042449951172</v>
          </cell>
        </row>
        <row r="197">
          <cell r="F197">
            <v>11.650185585021973</v>
          </cell>
        </row>
        <row r="198">
          <cell r="F198">
            <v>11.283935546875</v>
          </cell>
        </row>
        <row r="199">
          <cell r="F199" t="str">
            <v/>
          </cell>
        </row>
        <row r="200">
          <cell r="F200">
            <v>36.647899627685547</v>
          </cell>
        </row>
        <row r="201">
          <cell r="F201">
            <v>36.418991088867188</v>
          </cell>
        </row>
        <row r="202">
          <cell r="F202" t="str">
            <v/>
          </cell>
        </row>
        <row r="203">
          <cell r="F203">
            <v>0</v>
          </cell>
        </row>
        <row r="204">
          <cell r="F204">
            <v>7.3707825504243374E-3</v>
          </cell>
        </row>
        <row r="205">
          <cell r="F205">
            <v>72.517509460449219</v>
          </cell>
        </row>
        <row r="206">
          <cell r="F206">
            <v>119.12283325195313</v>
          </cell>
        </row>
        <row r="207">
          <cell r="F207">
            <v>0.99908441305160522</v>
          </cell>
        </row>
        <row r="208">
          <cell r="F208">
            <v>0.6031680703163147</v>
          </cell>
        </row>
        <row r="209">
          <cell r="F209">
            <v>0.62935495376586914</v>
          </cell>
        </row>
        <row r="210">
          <cell r="F210">
            <v>7.8598179817199707</v>
          </cell>
        </row>
        <row r="211">
          <cell r="F211">
            <v>9.8262147903442383</v>
          </cell>
        </row>
        <row r="212">
          <cell r="F212">
            <v>9.5390748977661133</v>
          </cell>
        </row>
        <row r="213">
          <cell r="F213">
            <v>9.3589706420898438</v>
          </cell>
        </row>
        <row r="214">
          <cell r="F214">
            <v>8.6435014382004738E-3</v>
          </cell>
        </row>
        <row r="215">
          <cell r="F215">
            <v>2.0326878875494003E-3</v>
          </cell>
        </row>
        <row r="216">
          <cell r="F216">
            <v>1.0602939873933792E-2</v>
          </cell>
        </row>
        <row r="217">
          <cell r="F217">
            <v>9.2615475878119469E-3</v>
          </cell>
        </row>
        <row r="218">
          <cell r="F218">
            <v>31.543285369873047</v>
          </cell>
        </row>
        <row r="219">
          <cell r="F219">
            <v>31.199926376342773</v>
          </cell>
        </row>
        <row r="220">
          <cell r="F220">
            <v>39.692348480224609</v>
          </cell>
        </row>
        <row r="221">
          <cell r="F221">
            <v>35.274459838867188</v>
          </cell>
        </row>
        <row r="222">
          <cell r="F222">
            <v>7.6015195846557617</v>
          </cell>
        </row>
        <row r="223">
          <cell r="F223">
            <v>8.0033884048461914</v>
          </cell>
        </row>
        <row r="224">
          <cell r="F224">
            <v>9.8166007995605469</v>
          </cell>
        </row>
        <row r="225">
          <cell r="F225">
            <v>9.7352018356323242</v>
          </cell>
        </row>
        <row r="227">
          <cell r="F227" t="str">
            <v/>
          </cell>
        </row>
        <row r="229">
          <cell r="F229">
            <v>106.83514404296875</v>
          </cell>
        </row>
        <row r="230">
          <cell r="F230">
            <v>8.296629786491394E-2</v>
          </cell>
        </row>
        <row r="231">
          <cell r="F231">
            <v>9.7422513961791992</v>
          </cell>
        </row>
        <row r="232">
          <cell r="F232" t="str">
            <v/>
          </cell>
        </row>
        <row r="233">
          <cell r="F233">
            <v>9.1562513262033463E-3</v>
          </cell>
        </row>
        <row r="234">
          <cell r="F234">
            <v>0.50249505043029785</v>
          </cell>
        </row>
        <row r="235">
          <cell r="F235">
            <v>9.6525201797485352</v>
          </cell>
        </row>
        <row r="236">
          <cell r="F236">
            <v>7.0855650901794434</v>
          </cell>
        </row>
        <row r="237">
          <cell r="F237">
            <v>0.9996795654296875</v>
          </cell>
        </row>
        <row r="238">
          <cell r="F238">
            <v>0</v>
          </cell>
        </row>
        <row r="239">
          <cell r="F239">
            <v>0.99940484762191772</v>
          </cell>
        </row>
        <row r="240">
          <cell r="F240">
            <v>7.0291624069213867</v>
          </cell>
        </row>
        <row r="241">
          <cell r="F241">
            <v>0.64226526021957397</v>
          </cell>
        </row>
        <row r="242">
          <cell r="F242">
            <v>9.674952507019043</v>
          </cell>
        </row>
        <row r="243">
          <cell r="F243">
            <v>18147.517578125</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Nitric Acid"/>
      <sheetName val="Project Cost"/>
      <sheetName val="IRR"/>
      <sheetName val="bal sheet"/>
      <sheetName val="Depreciation"/>
    </sheetNames>
    <sheetDataSet>
      <sheetData sheetId="0"/>
      <sheetData sheetId="1">
        <row r="166">
          <cell r="C166">
            <v>2161.988996302438</v>
          </cell>
          <cell r="D166">
            <v>2161.988996302438</v>
          </cell>
          <cell r="E166">
            <v>2161.988996302438</v>
          </cell>
          <cell r="F166">
            <v>2161.988996302438</v>
          </cell>
          <cell r="G166">
            <v>2161.988996302438</v>
          </cell>
          <cell r="H166">
            <v>2161.988996302438</v>
          </cell>
          <cell r="I166">
            <v>2161.988996302438</v>
          </cell>
          <cell r="J166">
            <v>2161.988996302438</v>
          </cell>
          <cell r="K166">
            <v>2161.988996302438</v>
          </cell>
          <cell r="L166">
            <v>2161.988996302438</v>
          </cell>
          <cell r="M166">
            <v>2161.988996302438</v>
          </cell>
          <cell r="N166">
            <v>2161.988996302438</v>
          </cell>
          <cell r="O166">
            <v>2161.988996302438</v>
          </cell>
          <cell r="P166">
            <v>2161.988996302438</v>
          </cell>
          <cell r="Q166">
            <v>2161.988996302438</v>
          </cell>
        </row>
        <row r="167">
          <cell r="C167">
            <v>526.87379347884962</v>
          </cell>
          <cell r="D167">
            <v>1581.3113927071222</v>
          </cell>
          <cell r="E167">
            <v>2936.0664870659893</v>
          </cell>
          <cell r="F167">
            <v>3338.35823018664</v>
          </cell>
          <cell r="G167">
            <v>3801.8580605343068</v>
          </cell>
          <cell r="H167">
            <v>4297.3866180427431</v>
          </cell>
          <cell r="I167">
            <v>4827.223519545917</v>
          </cell>
          <cell r="J167">
            <v>5363.827322774745</v>
          </cell>
          <cell r="K167">
            <v>5747.4155537751149</v>
          </cell>
          <cell r="L167">
            <v>5673.7493176342041</v>
          </cell>
          <cell r="M167">
            <v>5597.1860776277035</v>
          </cell>
          <cell r="N167">
            <v>5517.6045728005784</v>
          </cell>
          <cell r="O167">
            <v>5434.8781868271844</v>
          </cell>
          <cell r="P167">
            <v>5348.8747014730698</v>
          </cell>
          <cell r="Q167">
            <v>5259.4560383667276</v>
          </cell>
        </row>
        <row r="169">
          <cell r="C169">
            <v>434.818404282225</v>
          </cell>
          <cell r="D169">
            <v>1305.0246661733338</v>
          </cell>
          <cell r="E169">
            <v>2423.0769504458194</v>
          </cell>
          <cell r="F169">
            <v>2755.0802802084299</v>
          </cell>
          <cell r="G169">
            <v>3137.5974201977524</v>
          </cell>
          <cell r="H169">
            <v>3546.5472281383149</v>
          </cell>
          <cell r="I169">
            <v>3983.8110262108544</v>
          </cell>
          <cell r="J169">
            <v>4426.6594129395417</v>
          </cell>
          <cell r="K169">
            <v>4743.2271082195266</v>
          </cell>
          <cell r="L169">
            <v>4682.4318368571558</v>
          </cell>
          <cell r="M169">
            <v>3355.1593633896655</v>
          </cell>
          <cell r="N169">
            <v>3157.1201332277628</v>
          </cell>
          <cell r="O169">
            <v>3056.3977387700547</v>
          </cell>
          <cell r="P169">
            <v>2960.4232826807211</v>
          </cell>
          <cell r="Q169">
            <v>2868.0905234110028</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NPV@12%2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8B5D7-3C16-44A9-A4F4-2A7ED35310AB}">
  <dimension ref="A1:BO34"/>
  <sheetViews>
    <sheetView showGridLines="0" topLeftCell="A20" workbookViewId="0">
      <selection activeCell="C27" sqref="C27"/>
    </sheetView>
  </sheetViews>
  <sheetFormatPr defaultColWidth="9.140625" defaultRowHeight="15"/>
  <cols>
    <col min="1" max="1" width="9.140625" style="3"/>
    <col min="2" max="2" width="29.5703125" style="3" customWidth="1"/>
    <col min="3" max="3" width="17" style="3" customWidth="1"/>
    <col min="4" max="4" width="18.28515625" style="3" bestFit="1" customWidth="1"/>
    <col min="5" max="5" width="16.42578125" style="3" bestFit="1" customWidth="1"/>
    <col min="6" max="6" width="37.5703125" style="3" bestFit="1" customWidth="1"/>
    <col min="7" max="7" width="30.28515625" style="3" customWidth="1"/>
    <col min="8" max="8" width="30" style="3" customWidth="1"/>
    <col min="9" max="9" width="35.5703125" style="3" bestFit="1" customWidth="1"/>
    <col min="10" max="10" width="27.42578125" style="3" bestFit="1" customWidth="1"/>
    <col min="11" max="16384" width="9.140625" style="3"/>
  </cols>
  <sheetData>
    <row r="1" spans="2:12">
      <c r="B1" s="167" t="s">
        <v>252</v>
      </c>
      <c r="C1" s="167" t="s">
        <v>176</v>
      </c>
      <c r="D1" s="167" t="s">
        <v>251</v>
      </c>
      <c r="E1" s="167" t="s">
        <v>250</v>
      </c>
      <c r="F1" s="167" t="s">
        <v>249</v>
      </c>
      <c r="H1" s="3">
        <f>G6*0.001</f>
        <v>175</v>
      </c>
    </row>
    <row r="2" spans="2:12">
      <c r="B2" s="810" t="s">
        <v>188</v>
      </c>
      <c r="C2" s="810"/>
      <c r="D2" s="810"/>
      <c r="E2" s="810"/>
      <c r="F2" s="810"/>
      <c r="H2" s="162" t="s">
        <v>188</v>
      </c>
      <c r="I2" s="162" t="s">
        <v>248</v>
      </c>
      <c r="J2" s="3">
        <v>216</v>
      </c>
      <c r="K2" s="3">
        <v>274</v>
      </c>
    </row>
    <row r="3" spans="2:12">
      <c r="B3" s="160" t="s">
        <v>190</v>
      </c>
      <c r="C3" s="160" t="s">
        <v>72</v>
      </c>
      <c r="D3" s="160" t="s">
        <v>247</v>
      </c>
      <c r="E3" s="160" t="s">
        <v>234</v>
      </c>
      <c r="F3" s="160" t="s">
        <v>238</v>
      </c>
      <c r="H3" s="160" t="s">
        <v>246</v>
      </c>
      <c r="I3" s="160" t="s">
        <v>245</v>
      </c>
      <c r="K3" s="3">
        <f>J2/K2</f>
        <v>0.78832116788321172</v>
      </c>
      <c r="L3" s="141">
        <f>K3*300</f>
        <v>236.49635036496352</v>
      </c>
    </row>
    <row r="4" spans="2:12">
      <c r="B4" s="810" t="s">
        <v>244</v>
      </c>
      <c r="C4" s="810"/>
      <c r="D4" s="810"/>
      <c r="E4" s="810"/>
      <c r="F4" s="810"/>
      <c r="H4" s="160" t="s">
        <v>221</v>
      </c>
      <c r="I4" s="160" t="s">
        <v>243</v>
      </c>
      <c r="J4" s="3">
        <v>148</v>
      </c>
      <c r="K4" s="3">
        <v>550</v>
      </c>
    </row>
    <row r="5" spans="2:12">
      <c r="B5" s="160" t="s">
        <v>242</v>
      </c>
      <c r="C5" s="160" t="s">
        <v>72</v>
      </c>
      <c r="D5" s="160" t="s">
        <v>241</v>
      </c>
      <c r="E5" s="160" t="s">
        <v>234</v>
      </c>
      <c r="F5" s="160" t="s">
        <v>233</v>
      </c>
      <c r="H5" s="166" t="s">
        <v>240</v>
      </c>
      <c r="I5" s="165" t="s">
        <v>223</v>
      </c>
      <c r="J5" s="3">
        <v>59</v>
      </c>
      <c r="K5" s="3">
        <v>274</v>
      </c>
    </row>
    <row r="6" spans="2:12">
      <c r="B6" s="160" t="s">
        <v>190</v>
      </c>
      <c r="C6" s="160" t="s">
        <v>72</v>
      </c>
      <c r="D6" s="160" t="s">
        <v>239</v>
      </c>
      <c r="E6" s="160" t="s">
        <v>234</v>
      </c>
      <c r="F6" s="160" t="s">
        <v>238</v>
      </c>
      <c r="G6" s="3">
        <v>175000</v>
      </c>
      <c r="H6" s="3">
        <f>529*330</f>
        <v>174570</v>
      </c>
      <c r="I6" s="3">
        <f>150*330</f>
        <v>49500</v>
      </c>
      <c r="K6" s="3">
        <f>J5/K5</f>
        <v>0.21532846715328466</v>
      </c>
      <c r="L6" s="141">
        <f>K6*300</f>
        <v>64.598540145985396</v>
      </c>
    </row>
    <row r="7" spans="2:12">
      <c r="B7" s="810" t="s">
        <v>237</v>
      </c>
      <c r="C7" s="810"/>
      <c r="D7" s="810"/>
      <c r="E7" s="810"/>
      <c r="F7" s="810"/>
      <c r="H7" s="3">
        <f>100*330</f>
        <v>33000</v>
      </c>
      <c r="I7" s="3">
        <f>I6-G6</f>
        <v>-125500</v>
      </c>
    </row>
    <row r="8" spans="2:12">
      <c r="B8" s="164" t="s">
        <v>236</v>
      </c>
      <c r="C8" s="160" t="s">
        <v>72</v>
      </c>
      <c r="D8" s="160" t="s">
        <v>235</v>
      </c>
      <c r="E8" s="160" t="s">
        <v>234</v>
      </c>
      <c r="F8" s="160" t="s">
        <v>233</v>
      </c>
      <c r="H8" s="162" t="s">
        <v>232</v>
      </c>
      <c r="I8" s="162" t="s">
        <v>231</v>
      </c>
      <c r="J8" s="162" t="s">
        <v>230</v>
      </c>
    </row>
    <row r="9" spans="2:12">
      <c r="B9" s="160" t="s">
        <v>229</v>
      </c>
      <c r="C9" s="160" t="s">
        <v>72</v>
      </c>
      <c r="D9" s="160" t="s">
        <v>228</v>
      </c>
      <c r="E9" s="160" t="s">
        <v>227</v>
      </c>
      <c r="F9" s="160" t="s">
        <v>226</v>
      </c>
      <c r="H9" s="160" t="s">
        <v>225</v>
      </c>
      <c r="I9" s="160" t="s">
        <v>224</v>
      </c>
      <c r="J9" s="160" t="s">
        <v>223</v>
      </c>
    </row>
    <row r="10" spans="2:12" ht="34.5" customHeight="1">
      <c r="B10" s="808" t="s">
        <v>222</v>
      </c>
      <c r="C10" s="808"/>
      <c r="D10" s="808"/>
      <c r="E10" s="808"/>
      <c r="F10" s="808"/>
      <c r="G10" s="3">
        <f>300*330</f>
        <v>99000</v>
      </c>
      <c r="H10" s="160" t="s">
        <v>255</v>
      </c>
      <c r="I10" s="160" t="s">
        <v>256</v>
      </c>
      <c r="J10" s="160" t="s">
        <v>257</v>
      </c>
      <c r="K10" s="169"/>
    </row>
    <row r="11" spans="2:12" ht="57" customHeight="1">
      <c r="B11" s="163" t="s">
        <v>220</v>
      </c>
      <c r="C11" s="806" t="s">
        <v>219</v>
      </c>
      <c r="D11" s="806"/>
      <c r="E11" s="806"/>
      <c r="F11" s="806"/>
      <c r="H11" s="809" t="s">
        <v>218</v>
      </c>
      <c r="I11" s="809"/>
      <c r="J11" s="809"/>
    </row>
    <row r="12" spans="2:12" ht="31.5" customHeight="1">
      <c r="B12" s="163" t="s">
        <v>217</v>
      </c>
      <c r="C12" s="806" t="s">
        <v>216</v>
      </c>
      <c r="D12" s="806"/>
      <c r="E12" s="806"/>
      <c r="F12" s="806"/>
      <c r="H12" s="160" t="s">
        <v>215</v>
      </c>
      <c r="I12" s="160" t="s">
        <v>214</v>
      </c>
      <c r="J12" s="160" t="s">
        <v>213</v>
      </c>
    </row>
    <row r="13" spans="2:12">
      <c r="J13" s="141"/>
    </row>
    <row r="14" spans="2:12">
      <c r="E14" s="74">
        <v>1361769867</v>
      </c>
      <c r="F14" s="3">
        <f>E14/10^7</f>
        <v>136.17698669999999</v>
      </c>
      <c r="H14" s="162" t="s">
        <v>212</v>
      </c>
      <c r="I14" s="162" t="s">
        <v>211</v>
      </c>
      <c r="J14" s="162" t="s">
        <v>210</v>
      </c>
    </row>
    <row r="15" spans="2:12">
      <c r="B15" s="807" t="s">
        <v>209</v>
      </c>
      <c r="C15" s="807"/>
      <c r="F15" s="3">
        <f>14.02*10^5</f>
        <v>1402000</v>
      </c>
      <c r="H15" s="160" t="s">
        <v>208</v>
      </c>
      <c r="I15" s="160" t="s">
        <v>207</v>
      </c>
      <c r="J15" s="160" t="s">
        <v>206</v>
      </c>
    </row>
    <row r="16" spans="2:12">
      <c r="B16" s="160" t="s">
        <v>205</v>
      </c>
      <c r="C16" s="161">
        <v>0.28399999999999997</v>
      </c>
      <c r="E16" s="3">
        <f>F14/33</f>
        <v>4.1265753545454542</v>
      </c>
      <c r="F16" s="74">
        <f>E16*175</f>
        <v>722.15068704545445</v>
      </c>
    </row>
    <row r="17" spans="1:67">
      <c r="B17" s="160" t="s">
        <v>204</v>
      </c>
      <c r="C17" s="160" t="s">
        <v>203</v>
      </c>
      <c r="E17" s="74">
        <v>945654735</v>
      </c>
    </row>
    <row r="18" spans="1:67">
      <c r="B18" s="160" t="s">
        <v>202</v>
      </c>
      <c r="C18" s="160" t="s">
        <v>201</v>
      </c>
      <c r="E18" s="126">
        <f>E17/E14</f>
        <v>0.69443065081421718</v>
      </c>
    </row>
    <row r="19" spans="1:67">
      <c r="B19" s="160" t="s">
        <v>200</v>
      </c>
      <c r="C19" s="160" t="s">
        <v>199</v>
      </c>
    </row>
    <row r="20" spans="1:67">
      <c r="B20" s="160" t="s">
        <v>198</v>
      </c>
      <c r="C20" s="160" t="s">
        <v>197</v>
      </c>
    </row>
    <row r="21" spans="1:67">
      <c r="B21" s="160" t="s">
        <v>65</v>
      </c>
      <c r="C21" s="160" t="s">
        <v>196</v>
      </c>
      <c r="E21" s="3" t="s">
        <v>263</v>
      </c>
      <c r="F21" s="168" t="s">
        <v>264</v>
      </c>
      <c r="G21" s="168" t="s">
        <v>265</v>
      </c>
      <c r="H21" s="168" t="s">
        <v>266</v>
      </c>
      <c r="I21" s="168" t="s">
        <v>300</v>
      </c>
    </row>
    <row r="22" spans="1:67" s="1" customFormat="1" ht="12.75">
      <c r="A22" s="88"/>
      <c r="D22" s="1">
        <f>F23*100000</f>
        <v>27.999999999999996</v>
      </c>
      <c r="E22" s="150">
        <v>88626.4</v>
      </c>
      <c r="F22" s="88" t="s">
        <v>310</v>
      </c>
      <c r="G22" s="149">
        <f>F23*E22</f>
        <v>24.815391999999996</v>
      </c>
      <c r="H22" s="409">
        <f>G22*76</f>
        <v>1885.9697919999996</v>
      </c>
      <c r="I22" s="149">
        <f>H22*100000</f>
        <v>188596979.19999996</v>
      </c>
      <c r="J22" s="149">
        <f>I22/10^7</f>
        <v>18.859697919999995</v>
      </c>
      <c r="K22" s="149"/>
      <c r="L22" s="149"/>
      <c r="M22" s="149"/>
      <c r="N22" s="149"/>
      <c r="O22" s="149"/>
      <c r="P22" s="149"/>
      <c r="Q22" s="149"/>
      <c r="R22" s="149"/>
      <c r="S22" s="149"/>
      <c r="T22" s="149"/>
      <c r="U22" s="149"/>
      <c r="V22" s="149"/>
      <c r="W22" s="149"/>
      <c r="X22" s="149"/>
      <c r="Y22" s="149"/>
      <c r="Z22" s="149"/>
      <c r="AA22" s="149"/>
      <c r="AB22" s="149"/>
      <c r="AC22" s="149"/>
      <c r="AD22" s="149"/>
      <c r="AE22" s="149"/>
      <c r="AF22" s="149"/>
      <c r="AG22" s="149"/>
      <c r="AH22" s="149"/>
      <c r="AI22" s="149"/>
      <c r="AJ22" s="149"/>
      <c r="AK22" s="149"/>
      <c r="AL22" s="149"/>
      <c r="AM22" s="149"/>
      <c r="AN22" s="149"/>
      <c r="AO22" s="149"/>
      <c r="AP22" s="149"/>
      <c r="AQ22" s="149"/>
      <c r="AR22" s="149"/>
      <c r="AS22" s="149"/>
      <c r="AT22" s="149"/>
      <c r="AU22" s="149"/>
      <c r="AV22" s="149"/>
      <c r="AW22" s="149"/>
      <c r="AX22" s="149"/>
      <c r="AY22" s="149"/>
      <c r="AZ22" s="149"/>
      <c r="BA22" s="149"/>
      <c r="BB22" s="149"/>
      <c r="BC22" s="149"/>
      <c r="BD22" s="149"/>
      <c r="BE22" s="149"/>
      <c r="BF22" s="149"/>
      <c r="BG22" s="149"/>
      <c r="BH22" s="149"/>
      <c r="BI22" s="149"/>
      <c r="BJ22" s="149"/>
      <c r="BK22" s="149"/>
      <c r="BL22" s="149"/>
      <c r="BM22" s="149"/>
      <c r="BN22" s="149"/>
      <c r="BO22" s="149"/>
    </row>
    <row r="23" spans="1:67" s="1" customFormat="1" ht="12.75">
      <c r="E23" s="1">
        <v>28</v>
      </c>
      <c r="F23" s="88">
        <f>E23/100000</f>
        <v>2.7999999999999998E-4</v>
      </c>
      <c r="G23" s="88"/>
      <c r="H23" s="88"/>
      <c r="I23" s="171">
        <f>I22/10^7</f>
        <v>18.859697919999995</v>
      </c>
      <c r="J23" s="88"/>
      <c r="K23" s="88"/>
      <c r="L23" s="88"/>
      <c r="M23" s="88"/>
      <c r="N23" s="88"/>
      <c r="O23" s="88"/>
      <c r="P23" s="88"/>
      <c r="Q23" s="88"/>
      <c r="R23" s="88"/>
      <c r="S23" s="88"/>
      <c r="T23" s="88"/>
      <c r="U23" s="88"/>
      <c r="V23" s="89"/>
      <c r="BO23" s="90"/>
    </row>
    <row r="27" spans="1:67" ht="15.75">
      <c r="A27" s="417" t="s">
        <v>352</v>
      </c>
      <c r="B27"/>
      <c r="D27" s="417" t="s">
        <v>355</v>
      </c>
      <c r="E27"/>
      <c r="F27" s="3">
        <f>0.28/1000</f>
        <v>2.8000000000000003E-4</v>
      </c>
    </row>
    <row r="28" spans="1:67" ht="16.5" thickBot="1">
      <c r="A28" s="417" t="s">
        <v>353</v>
      </c>
      <c r="B28"/>
      <c r="D28" s="417" t="s">
        <v>356</v>
      </c>
      <c r="E28"/>
    </row>
    <row r="29" spans="1:67" ht="15.75" thickBot="1">
      <c r="A29" s="418" t="s">
        <v>272</v>
      </c>
      <c r="B29" s="419">
        <v>28412</v>
      </c>
      <c r="D29" s="422" t="s">
        <v>272</v>
      </c>
      <c r="E29" s="423">
        <v>25699</v>
      </c>
    </row>
    <row r="30" spans="1:67" ht="15.75" thickBot="1">
      <c r="A30" s="420" t="s">
        <v>273</v>
      </c>
      <c r="B30" s="421">
        <v>29925</v>
      </c>
      <c r="D30" s="424" t="s">
        <v>273</v>
      </c>
      <c r="E30" s="425">
        <v>26033</v>
      </c>
    </row>
    <row r="31" spans="1:67" ht="15.75" thickBot="1">
      <c r="A31" s="420" t="s">
        <v>274</v>
      </c>
      <c r="B31" s="421">
        <v>29764</v>
      </c>
      <c r="D31" s="424" t="s">
        <v>274</v>
      </c>
      <c r="E31" s="425">
        <v>28157</v>
      </c>
    </row>
    <row r="32" spans="1:67" ht="15.75" thickBot="1">
      <c r="A32" s="420" t="s">
        <v>275</v>
      </c>
      <c r="B32" s="421">
        <v>28868</v>
      </c>
      <c r="D32" s="424" t="s">
        <v>275</v>
      </c>
      <c r="E32" s="425">
        <v>26258</v>
      </c>
    </row>
    <row r="33" spans="1:5" ht="15.75" thickBot="1">
      <c r="A33" s="420" t="s">
        <v>354</v>
      </c>
      <c r="B33" s="421">
        <v>49740</v>
      </c>
      <c r="D33" s="424" t="s">
        <v>354</v>
      </c>
      <c r="E33" s="425">
        <v>43871</v>
      </c>
    </row>
    <row r="34" spans="1:5">
      <c r="B34" s="141">
        <f>AVERAGE(B29:B32)</f>
        <v>29242.25</v>
      </c>
      <c r="E34" s="141">
        <f>AVERAGE(E29:E32)</f>
        <v>26536.75</v>
      </c>
    </row>
  </sheetData>
  <mergeCells count="8">
    <mergeCell ref="C12:F12"/>
    <mergeCell ref="B15:C15"/>
    <mergeCell ref="B10:F10"/>
    <mergeCell ref="H11:J11"/>
    <mergeCell ref="B2:F2"/>
    <mergeCell ref="B4:F4"/>
    <mergeCell ref="B7:F7"/>
    <mergeCell ref="C11:F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14CCC-9BDC-40C7-B775-F84C2D30AE6B}">
  <dimension ref="G1:U56"/>
  <sheetViews>
    <sheetView showGridLines="0" zoomScale="90" zoomScaleNormal="90" workbookViewId="0">
      <selection activeCell="Y56" sqref="Y56"/>
    </sheetView>
  </sheetViews>
  <sheetFormatPr defaultRowHeight="15"/>
  <sheetData>
    <row r="1" spans="7:21">
      <c r="G1" t="s">
        <v>312</v>
      </c>
    </row>
    <row r="5" spans="7:21">
      <c r="U5" s="363" t="s">
        <v>313</v>
      </c>
    </row>
    <row r="16" spans="7:21">
      <c r="U16" s="363" t="s">
        <v>314</v>
      </c>
    </row>
    <row r="31" spans="21:21">
      <c r="U31" s="363" t="s">
        <v>315</v>
      </c>
    </row>
    <row r="32" spans="21:21">
      <c r="U32" t="s">
        <v>316</v>
      </c>
    </row>
    <row r="33" spans="21:21">
      <c r="U33" t="s">
        <v>317</v>
      </c>
    </row>
    <row r="34" spans="21:21">
      <c r="U34" t="s">
        <v>318</v>
      </c>
    </row>
    <row r="36" spans="21:21">
      <c r="U36" t="s">
        <v>319</v>
      </c>
    </row>
    <row r="39" spans="21:21">
      <c r="U39" t="s">
        <v>320</v>
      </c>
    </row>
    <row r="43" spans="21:21">
      <c r="U43" t="s">
        <v>321</v>
      </c>
    </row>
    <row r="47" spans="21:21">
      <c r="U47" t="s">
        <v>322</v>
      </c>
    </row>
    <row r="48" spans="21:21">
      <c r="U48" t="s">
        <v>323</v>
      </c>
    </row>
    <row r="49" spans="21:21">
      <c r="U49" t="s">
        <v>324</v>
      </c>
    </row>
    <row r="52" spans="21:21">
      <c r="U52" t="s">
        <v>325</v>
      </c>
    </row>
    <row r="53" spans="21:21">
      <c r="U53" t="s">
        <v>326</v>
      </c>
    </row>
    <row r="56" spans="21:21">
      <c r="U56" t="s">
        <v>327</v>
      </c>
    </row>
  </sheetData>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4A094-DC8D-417B-931D-931C856E2699}">
  <dimension ref="A1:AY91"/>
  <sheetViews>
    <sheetView showGridLines="0" zoomScale="90" zoomScaleNormal="90" workbookViewId="0">
      <selection activeCell="G13" sqref="G13"/>
    </sheetView>
  </sheetViews>
  <sheetFormatPr defaultColWidth="9.140625" defaultRowHeight="12.75"/>
  <cols>
    <col min="1" max="1" width="34.85546875" style="320" bestFit="1" customWidth="1"/>
    <col min="2" max="2" width="50.85546875" style="320" customWidth="1"/>
    <col min="3" max="3" width="43.42578125" style="320" bestFit="1" customWidth="1"/>
    <col min="4" max="4" width="26.85546875" style="320" bestFit="1" customWidth="1"/>
    <col min="5" max="5" width="20" style="320" bestFit="1" customWidth="1"/>
    <col min="6" max="6" width="25.7109375" style="320" customWidth="1"/>
    <col min="7" max="7" width="30.7109375" style="321" bestFit="1" customWidth="1"/>
    <col min="8" max="8" width="17.42578125" style="321" bestFit="1" customWidth="1"/>
    <col min="9" max="9" width="25.85546875" style="321" bestFit="1" customWidth="1"/>
    <col min="10" max="13" width="9.140625" style="321"/>
    <col min="14" max="14" width="16.42578125" style="321" bestFit="1" customWidth="1"/>
    <col min="15" max="16384" width="9.140625" style="321"/>
  </cols>
  <sheetData>
    <row r="1" spans="1:50">
      <c r="A1" s="813" t="s">
        <v>252</v>
      </c>
      <c r="B1" s="813"/>
      <c r="C1" s="813"/>
      <c r="D1" s="813"/>
      <c r="E1" s="813"/>
      <c r="F1" s="813"/>
    </row>
    <row r="2" spans="1:50" ht="38.25" customHeight="1">
      <c r="A2" s="241" t="s">
        <v>261</v>
      </c>
      <c r="B2" s="155" t="s">
        <v>259</v>
      </c>
      <c r="C2" s="155" t="s">
        <v>253</v>
      </c>
      <c r="D2" s="155" t="s">
        <v>258</v>
      </c>
      <c r="E2" s="155" t="s">
        <v>71</v>
      </c>
      <c r="F2" s="155" t="s">
        <v>262</v>
      </c>
    </row>
    <row r="3" spans="1:50" ht="38.25" customHeight="1">
      <c r="A3" s="820" t="s">
        <v>188</v>
      </c>
      <c r="B3" s="831">
        <v>82500</v>
      </c>
      <c r="C3" s="258" t="s">
        <v>190</v>
      </c>
      <c r="D3" s="258">
        <v>0.28749999999999998</v>
      </c>
      <c r="E3" s="258" t="s">
        <v>72</v>
      </c>
      <c r="F3" s="14">
        <f>D3*B3</f>
        <v>23718.749999999996</v>
      </c>
      <c r="G3" s="328"/>
    </row>
    <row r="4" spans="1:50" ht="38.25" customHeight="1">
      <c r="A4" s="820"/>
      <c r="B4" s="831"/>
      <c r="C4" s="258" t="s">
        <v>260</v>
      </c>
      <c r="D4" s="258">
        <v>2.7999999999999998E-4</v>
      </c>
      <c r="E4" s="258" t="s">
        <v>254</v>
      </c>
      <c r="F4" s="14">
        <f>D4*B3</f>
        <v>23.099999999999998</v>
      </c>
    </row>
    <row r="5" spans="1:50" ht="38.25" customHeight="1">
      <c r="A5" s="820" t="s">
        <v>232</v>
      </c>
      <c r="B5" s="831">
        <v>100000</v>
      </c>
      <c r="C5" s="258" t="s">
        <v>242</v>
      </c>
      <c r="D5" s="258">
        <v>0.747</v>
      </c>
      <c r="E5" s="258" t="s">
        <v>72</v>
      </c>
      <c r="F5" s="405">
        <f>D5*B5</f>
        <v>74700</v>
      </c>
    </row>
    <row r="6" spans="1:50" ht="38.25" customHeight="1">
      <c r="A6" s="819"/>
      <c r="B6" s="832"/>
      <c r="C6" s="260" t="s">
        <v>190</v>
      </c>
      <c r="D6" s="260">
        <v>0.21299999999999999</v>
      </c>
      <c r="E6" s="260" t="s">
        <v>72</v>
      </c>
      <c r="F6" s="406">
        <f>D6*B5</f>
        <v>21300</v>
      </c>
    </row>
    <row r="7" spans="1:50">
      <c r="A7" s="817" t="s">
        <v>455</v>
      </c>
      <c r="B7" s="817"/>
      <c r="C7" s="817"/>
      <c r="D7" s="817"/>
      <c r="E7" s="817"/>
      <c r="F7" s="817"/>
    </row>
    <row r="8" spans="1:50" s="323" customFormat="1">
      <c r="A8" s="271" t="s">
        <v>133</v>
      </c>
      <c r="B8" s="271" t="s">
        <v>134</v>
      </c>
      <c r="C8" s="142" t="s">
        <v>71</v>
      </c>
      <c r="D8" s="142" t="s">
        <v>311</v>
      </c>
      <c r="E8" s="271" t="s">
        <v>135</v>
      </c>
      <c r="F8" s="272" t="s">
        <v>1</v>
      </c>
      <c r="G8" s="273" t="s">
        <v>275</v>
      </c>
      <c r="H8" s="322"/>
      <c r="I8" s="275"/>
      <c r="J8" s="273" t="s">
        <v>272</v>
      </c>
      <c r="K8" s="273" t="s">
        <v>273</v>
      </c>
      <c r="L8" s="273" t="s">
        <v>274</v>
      </c>
      <c r="M8" s="273" t="s">
        <v>275</v>
      </c>
      <c r="N8" s="274" t="s">
        <v>276</v>
      </c>
      <c r="O8" s="322"/>
      <c r="P8" s="322"/>
      <c r="Q8" s="322"/>
      <c r="R8" s="322"/>
      <c r="S8" s="322"/>
      <c r="T8" s="322"/>
      <c r="U8" s="322"/>
      <c r="V8" s="322"/>
      <c r="W8" s="322"/>
      <c r="X8" s="322"/>
      <c r="Y8" s="322"/>
      <c r="Z8" s="322"/>
      <c r="AA8" s="322"/>
      <c r="AB8" s="322"/>
      <c r="AC8" s="322"/>
      <c r="AD8" s="322"/>
      <c r="AE8" s="322"/>
      <c r="AF8" s="322"/>
      <c r="AG8" s="322"/>
      <c r="AH8" s="322"/>
      <c r="AI8" s="322"/>
      <c r="AJ8" s="322"/>
      <c r="AK8" s="322"/>
      <c r="AL8" s="322"/>
      <c r="AM8" s="322"/>
      <c r="AN8" s="322"/>
      <c r="AO8" s="322"/>
      <c r="AP8" s="322"/>
      <c r="AQ8" s="322"/>
      <c r="AR8" s="322"/>
      <c r="AS8" s="322"/>
      <c r="AT8" s="322"/>
      <c r="AU8" s="322"/>
      <c r="AV8" s="322"/>
      <c r="AW8" s="322"/>
      <c r="AX8" s="322"/>
    </row>
    <row r="9" spans="1:50" s="323" customFormat="1" hidden="1">
      <c r="A9" s="818" t="s">
        <v>136</v>
      </c>
      <c r="B9" s="276" t="s">
        <v>137</v>
      </c>
      <c r="C9" s="276" t="s">
        <v>69</v>
      </c>
      <c r="D9" s="276"/>
      <c r="E9" s="276" t="s">
        <v>268</v>
      </c>
      <c r="F9" s="28" t="s">
        <v>0</v>
      </c>
      <c r="G9" s="28">
        <v>49198.016422217115</v>
      </c>
      <c r="H9" s="322"/>
      <c r="I9" s="278"/>
      <c r="J9" s="1"/>
      <c r="K9" s="278"/>
      <c r="L9" s="278"/>
      <c r="M9" s="90"/>
      <c r="N9" s="90"/>
      <c r="O9" s="322"/>
      <c r="P9" s="322"/>
      <c r="Q9" s="322"/>
      <c r="R9" s="322"/>
      <c r="S9" s="322"/>
      <c r="T9" s="322"/>
      <c r="U9" s="322"/>
      <c r="V9" s="322"/>
      <c r="W9" s="322"/>
      <c r="X9" s="322"/>
      <c r="Y9" s="322"/>
      <c r="Z9" s="322"/>
      <c r="AA9" s="322"/>
      <c r="AB9" s="322"/>
      <c r="AC9" s="322"/>
      <c r="AD9" s="322"/>
      <c r="AE9" s="322"/>
      <c r="AF9" s="322"/>
      <c r="AG9" s="322"/>
      <c r="AH9" s="322"/>
      <c r="AI9" s="322"/>
      <c r="AJ9" s="322"/>
      <c r="AK9" s="322"/>
      <c r="AL9" s="322"/>
      <c r="AM9" s="322"/>
      <c r="AN9" s="322"/>
      <c r="AO9" s="322"/>
      <c r="AP9" s="322"/>
      <c r="AQ9" s="322"/>
      <c r="AR9" s="322"/>
      <c r="AS9" s="322"/>
      <c r="AT9" s="322"/>
      <c r="AU9" s="322"/>
      <c r="AV9" s="322"/>
      <c r="AW9" s="322"/>
      <c r="AX9" s="322"/>
    </row>
    <row r="10" spans="1:50" s="323" customFormat="1" hidden="1">
      <c r="A10" s="819"/>
      <c r="B10" s="72" t="s">
        <v>138</v>
      </c>
      <c r="C10" s="72" t="s">
        <v>139</v>
      </c>
      <c r="D10" s="72"/>
      <c r="E10" s="72" t="s">
        <v>268</v>
      </c>
      <c r="F10" s="279" t="s">
        <v>189</v>
      </c>
      <c r="G10" s="280">
        <v>938.53</v>
      </c>
      <c r="H10" s="322"/>
      <c r="I10" s="90"/>
      <c r="J10" s="90"/>
      <c r="K10" s="90"/>
      <c r="L10" s="90"/>
      <c r="M10" s="90"/>
      <c r="N10" s="90"/>
      <c r="O10" s="322"/>
      <c r="P10" s="322"/>
      <c r="Q10" s="322"/>
      <c r="R10" s="322"/>
      <c r="S10" s="322"/>
      <c r="T10" s="322"/>
      <c r="U10" s="322"/>
      <c r="V10" s="322"/>
      <c r="W10" s="322"/>
      <c r="X10" s="322"/>
      <c r="Y10" s="322"/>
      <c r="Z10" s="322"/>
      <c r="AA10" s="322"/>
      <c r="AB10" s="322"/>
      <c r="AC10" s="322"/>
      <c r="AD10" s="322"/>
      <c r="AE10" s="322"/>
      <c r="AF10" s="322"/>
      <c r="AG10" s="322"/>
      <c r="AH10" s="322"/>
      <c r="AI10" s="322"/>
      <c r="AJ10" s="322"/>
      <c r="AK10" s="322"/>
      <c r="AL10" s="322"/>
      <c r="AM10" s="322"/>
      <c r="AN10" s="322"/>
      <c r="AO10" s="322"/>
      <c r="AP10" s="322"/>
      <c r="AQ10" s="322"/>
      <c r="AR10" s="322"/>
      <c r="AS10" s="322"/>
      <c r="AT10" s="322"/>
      <c r="AU10" s="322"/>
      <c r="AV10" s="322"/>
      <c r="AW10" s="322"/>
      <c r="AX10" s="322"/>
    </row>
    <row r="11" spans="1:50" s="323" customFormat="1">
      <c r="A11" s="818" t="s">
        <v>140</v>
      </c>
      <c r="B11" s="281" t="s">
        <v>138</v>
      </c>
      <c r="C11" s="282" t="s">
        <v>278</v>
      </c>
      <c r="D11" s="276"/>
      <c r="E11" s="281" t="s">
        <v>277</v>
      </c>
      <c r="F11" s="283" t="s">
        <v>190</v>
      </c>
      <c r="G11" s="284">
        <v>26536.75</v>
      </c>
      <c r="H11" s="322"/>
      <c r="I11" s="322"/>
      <c r="J11" s="322"/>
      <c r="K11" s="322"/>
      <c r="L11" s="322"/>
      <c r="M11" s="322"/>
      <c r="N11" s="322"/>
      <c r="O11" s="322"/>
      <c r="P11" s="322"/>
      <c r="Q11" s="322"/>
      <c r="R11" s="322"/>
      <c r="S11" s="322"/>
      <c r="T11" s="322"/>
      <c r="U11" s="322"/>
      <c r="V11" s="322"/>
      <c r="W11" s="322"/>
      <c r="X11" s="322"/>
      <c r="Y11" s="322"/>
      <c r="Z11" s="322"/>
      <c r="AA11" s="322"/>
      <c r="AB11" s="322"/>
      <c r="AC11" s="322"/>
      <c r="AD11" s="322"/>
      <c r="AE11" s="322"/>
      <c r="AF11" s="322"/>
      <c r="AG11" s="322"/>
      <c r="AH11" s="322"/>
      <c r="AI11" s="322"/>
      <c r="AJ11" s="322"/>
      <c r="AK11" s="322"/>
      <c r="AL11" s="322"/>
      <c r="AM11" s="322"/>
      <c r="AN11" s="322"/>
      <c r="AO11" s="322"/>
      <c r="AP11" s="322"/>
      <c r="AQ11" s="322"/>
      <c r="AR11" s="322"/>
      <c r="AS11" s="322"/>
      <c r="AT11" s="322"/>
      <c r="AU11" s="322"/>
      <c r="AV11" s="322"/>
      <c r="AW11" s="322"/>
      <c r="AX11" s="322"/>
    </row>
    <row r="12" spans="1:50" s="323" customFormat="1">
      <c r="A12" s="820"/>
      <c r="B12" s="258" t="s">
        <v>141</v>
      </c>
      <c r="C12" s="285" t="s">
        <v>278</v>
      </c>
      <c r="D12" s="91"/>
      <c r="E12" s="258" t="s">
        <v>291</v>
      </c>
      <c r="F12" s="286" t="s">
        <v>188</v>
      </c>
      <c r="G12" s="378">
        <f>Opex!$C$19</f>
        <v>11715.153394272726</v>
      </c>
      <c r="H12" s="379" t="s">
        <v>330</v>
      </c>
      <c r="I12" s="322"/>
      <c r="J12" s="322"/>
      <c r="K12" s="322"/>
      <c r="L12" s="322"/>
      <c r="M12" s="322"/>
      <c r="N12" s="322"/>
      <c r="O12" s="322"/>
      <c r="P12" s="322"/>
      <c r="Q12" s="322"/>
      <c r="R12" s="322"/>
      <c r="S12" s="322"/>
      <c r="T12" s="322"/>
      <c r="U12" s="322"/>
      <c r="V12" s="322"/>
      <c r="W12" s="322"/>
      <c r="X12" s="322"/>
      <c r="Y12" s="322"/>
      <c r="Z12" s="322"/>
      <c r="AA12" s="322"/>
      <c r="AB12" s="322"/>
      <c r="AC12" s="322"/>
      <c r="AD12" s="322"/>
      <c r="AE12" s="322"/>
      <c r="AF12" s="322"/>
      <c r="AG12" s="322"/>
      <c r="AH12" s="322"/>
      <c r="AI12" s="322"/>
      <c r="AJ12" s="322"/>
      <c r="AK12" s="322"/>
      <c r="AL12" s="322"/>
      <c r="AM12" s="322"/>
      <c r="AN12" s="322"/>
      <c r="AO12" s="322"/>
      <c r="AP12" s="322"/>
      <c r="AQ12" s="322"/>
      <c r="AR12" s="322"/>
      <c r="AS12" s="322"/>
      <c r="AT12" s="322"/>
      <c r="AU12" s="322"/>
      <c r="AV12" s="322"/>
      <c r="AW12" s="322"/>
      <c r="AX12" s="322"/>
    </row>
    <row r="13" spans="1:50" s="323" customFormat="1">
      <c r="A13" s="819"/>
      <c r="B13" s="260" t="s">
        <v>138</v>
      </c>
      <c r="C13" s="288" t="s">
        <v>278</v>
      </c>
      <c r="D13" s="72"/>
      <c r="E13" s="260" t="s">
        <v>279</v>
      </c>
      <c r="F13" s="289" t="s">
        <v>190</v>
      </c>
      <c r="G13" s="290">
        <v>29242.25</v>
      </c>
      <c r="H13" s="322"/>
      <c r="I13" s="322"/>
      <c r="J13" s="322"/>
      <c r="K13" s="322"/>
      <c r="L13" s="322"/>
      <c r="M13" s="322"/>
      <c r="N13" s="322"/>
      <c r="O13" s="322"/>
      <c r="P13" s="322"/>
      <c r="Q13" s="322"/>
      <c r="R13" s="322"/>
      <c r="S13" s="322"/>
      <c r="T13" s="322"/>
      <c r="U13" s="322"/>
      <c r="V13" s="322"/>
      <c r="W13" s="322"/>
      <c r="X13" s="322"/>
      <c r="Y13" s="322"/>
      <c r="Z13" s="322"/>
      <c r="AA13" s="322"/>
      <c r="AB13" s="322"/>
      <c r="AC13" s="322"/>
      <c r="AD13" s="322"/>
      <c r="AE13" s="322"/>
      <c r="AF13" s="322"/>
      <c r="AG13" s="322"/>
      <c r="AH13" s="322"/>
      <c r="AI13" s="322"/>
      <c r="AJ13" s="322"/>
      <c r="AK13" s="322"/>
      <c r="AL13" s="322"/>
      <c r="AM13" s="322"/>
      <c r="AN13" s="322"/>
      <c r="AO13" s="322"/>
      <c r="AP13" s="322"/>
      <c r="AQ13" s="322"/>
      <c r="AR13" s="322"/>
      <c r="AS13" s="322"/>
      <c r="AT13" s="322"/>
      <c r="AU13" s="322"/>
      <c r="AV13" s="322"/>
      <c r="AW13" s="322"/>
      <c r="AX13" s="322"/>
    </row>
    <row r="14" spans="1:50" s="323" customFormat="1">
      <c r="A14" s="292" t="s">
        <v>191</v>
      </c>
      <c r="B14" s="276" t="s">
        <v>141</v>
      </c>
      <c r="C14" s="276" t="s">
        <v>142</v>
      </c>
      <c r="D14" s="276"/>
      <c r="E14" s="281" t="s">
        <v>192</v>
      </c>
      <c r="F14" s="283" t="s">
        <v>188</v>
      </c>
      <c r="G14" s="293">
        <f t="shared" ref="G14" si="0">100000</f>
        <v>100000</v>
      </c>
      <c r="H14" s="322"/>
      <c r="I14" s="322"/>
      <c r="J14" s="322"/>
      <c r="K14" s="322"/>
      <c r="L14" s="322"/>
      <c r="M14" s="322"/>
      <c r="N14" s="322"/>
      <c r="O14" s="322"/>
      <c r="P14" s="322"/>
      <c r="Q14" s="322"/>
      <c r="R14" s="322"/>
      <c r="S14" s="322"/>
      <c r="T14" s="322"/>
      <c r="U14" s="322"/>
      <c r="V14" s="322"/>
      <c r="W14" s="322"/>
      <c r="X14" s="322"/>
      <c r="Y14" s="322"/>
      <c r="Z14" s="322"/>
      <c r="AA14" s="322"/>
      <c r="AB14" s="322"/>
      <c r="AC14" s="322"/>
      <c r="AD14" s="322"/>
      <c r="AE14" s="322"/>
      <c r="AF14" s="322"/>
      <c r="AG14" s="322"/>
      <c r="AH14" s="322"/>
      <c r="AI14" s="322"/>
      <c r="AJ14" s="322"/>
      <c r="AK14" s="322"/>
      <c r="AL14" s="322"/>
      <c r="AM14" s="322"/>
      <c r="AN14" s="322"/>
      <c r="AO14" s="322"/>
      <c r="AP14" s="322"/>
      <c r="AQ14" s="322"/>
      <c r="AR14" s="322"/>
      <c r="AS14" s="322"/>
      <c r="AT14" s="322"/>
      <c r="AU14" s="322"/>
      <c r="AV14" s="322"/>
      <c r="AW14" s="322"/>
      <c r="AX14" s="322"/>
    </row>
    <row r="15" spans="1:50" s="323" customFormat="1" ht="15" customHeight="1">
      <c r="A15" s="821" t="s">
        <v>195</v>
      </c>
      <c r="B15" s="294" t="s">
        <v>138</v>
      </c>
      <c r="C15" s="294" t="s">
        <v>142</v>
      </c>
      <c r="D15" s="367">
        <v>4.7500000000000001E-2</v>
      </c>
      <c r="E15" s="823" t="s">
        <v>308</v>
      </c>
      <c r="F15" s="295" t="s">
        <v>68</v>
      </c>
      <c r="G15" s="364">
        <f>$D$15*B3</f>
        <v>3918.75</v>
      </c>
      <c r="H15" s="322"/>
      <c r="I15" s="296" t="s">
        <v>143</v>
      </c>
      <c r="J15" s="297">
        <v>7.1103664336427554</v>
      </c>
      <c r="K15" s="297">
        <v>6.225133333333333</v>
      </c>
      <c r="L15" s="297">
        <v>4.7416666666666663</v>
      </c>
      <c r="M15" s="297">
        <v>6.2450000000000001</v>
      </c>
      <c r="N15" s="298">
        <f>AVERAGE(J15:M15)</f>
        <v>6.0805416084106891</v>
      </c>
    </row>
    <row r="16" spans="1:50" s="323" customFormat="1">
      <c r="A16" s="822"/>
      <c r="B16" s="27" t="s">
        <v>138</v>
      </c>
      <c r="C16" s="27" t="s">
        <v>142</v>
      </c>
      <c r="D16" s="361">
        <v>132.69999999999999</v>
      </c>
      <c r="E16" s="824"/>
      <c r="F16" s="299" t="s">
        <v>66</v>
      </c>
      <c r="G16" s="365">
        <f>$D$16*B3</f>
        <v>10947749.999999998</v>
      </c>
      <c r="H16" s="322"/>
      <c r="I16" s="301" t="s">
        <v>144</v>
      </c>
      <c r="J16" s="302">
        <v>2414.5963234323031</v>
      </c>
      <c r="K16" s="302">
        <v>2454.8231266731923</v>
      </c>
      <c r="L16" s="302">
        <v>1923.7383333333335</v>
      </c>
      <c r="M16" s="302">
        <v>2675.5816666666669</v>
      </c>
      <c r="N16" s="303">
        <f t="shared" ref="N16:N22" si="1">AVERAGE(J16:M16)</f>
        <v>2367.1848625263738</v>
      </c>
    </row>
    <row r="17" spans="1:51" s="323" customFormat="1">
      <c r="A17" s="822"/>
      <c r="B17" s="27"/>
      <c r="C17" s="27"/>
      <c r="D17" s="368" t="s">
        <v>328</v>
      </c>
      <c r="E17" s="824"/>
      <c r="F17" s="299"/>
      <c r="G17" s="300"/>
      <c r="H17" s="322"/>
      <c r="I17" s="301" t="s">
        <v>145</v>
      </c>
      <c r="J17" s="302">
        <v>65.232804273504271</v>
      </c>
      <c r="K17" s="302">
        <v>71.333333333333343</v>
      </c>
      <c r="L17" s="302">
        <v>73.896666666666661</v>
      </c>
      <c r="M17" s="302">
        <v>91.792500000000004</v>
      </c>
      <c r="N17" s="303">
        <f t="shared" si="1"/>
        <v>75.563826068376073</v>
      </c>
    </row>
    <row r="18" spans="1:51" s="323" customFormat="1" ht="24.75" customHeight="1">
      <c r="A18" s="822"/>
      <c r="B18" s="55" t="s">
        <v>138</v>
      </c>
      <c r="C18" s="55" t="s">
        <v>146</v>
      </c>
      <c r="D18" s="362">
        <v>8.3400000000000002E-3</v>
      </c>
      <c r="E18" s="824"/>
      <c r="F18" s="299" t="s">
        <v>65</v>
      </c>
      <c r="G18" s="365">
        <f>$D$18*B3</f>
        <v>688.05000000000007</v>
      </c>
      <c r="H18" s="322"/>
      <c r="I18" s="301" t="s">
        <v>74</v>
      </c>
      <c r="J18" s="304">
        <v>3.0199051282051284</v>
      </c>
      <c r="K18" s="304">
        <v>2.69</v>
      </c>
      <c r="L18" s="304">
        <v>2.1983333333333328</v>
      </c>
      <c r="M18" s="304">
        <v>2.9858333333333338</v>
      </c>
      <c r="N18" s="305">
        <f t="shared" si="1"/>
        <v>2.7235179487179488</v>
      </c>
    </row>
    <row r="19" spans="1:51" s="323" customFormat="1">
      <c r="A19" s="822"/>
      <c r="B19" s="27"/>
      <c r="C19" s="27"/>
      <c r="D19" s="361"/>
      <c r="E19" s="824"/>
      <c r="F19" s="299"/>
      <c r="G19" s="365"/>
      <c r="H19" s="322"/>
      <c r="I19" s="306" t="s">
        <v>81</v>
      </c>
      <c r="J19" s="302">
        <v>3</v>
      </c>
      <c r="K19" s="302">
        <v>3</v>
      </c>
      <c r="L19" s="302">
        <v>3</v>
      </c>
      <c r="M19" s="302">
        <v>3</v>
      </c>
      <c r="N19" s="303">
        <f t="shared" si="1"/>
        <v>3</v>
      </c>
    </row>
    <row r="20" spans="1:51" s="323" customFormat="1" ht="12" customHeight="1">
      <c r="A20" s="822"/>
      <c r="B20" s="27" t="s">
        <v>138</v>
      </c>
      <c r="C20" s="27"/>
      <c r="D20" s="27"/>
      <c r="E20" s="824"/>
      <c r="F20" s="299"/>
      <c r="G20" s="365"/>
      <c r="H20" s="322"/>
      <c r="I20" s="306" t="s">
        <v>82</v>
      </c>
      <c r="J20" s="302">
        <v>2.4499999999999997</v>
      </c>
      <c r="K20" s="302">
        <v>2.4499999999999997</v>
      </c>
      <c r="L20" s="302">
        <v>2.4499999999999997</v>
      </c>
      <c r="M20" s="302">
        <v>2.4499999999999997</v>
      </c>
      <c r="N20" s="303">
        <f t="shared" si="1"/>
        <v>2.4499999999999997</v>
      </c>
    </row>
    <row r="21" spans="1:51" s="323" customFormat="1">
      <c r="A21" s="822"/>
      <c r="B21" s="27" t="s">
        <v>138</v>
      </c>
      <c r="C21" s="27" t="s">
        <v>72</v>
      </c>
      <c r="D21" s="361">
        <v>1.07</v>
      </c>
      <c r="E21" s="824"/>
      <c r="F21" s="307" t="s">
        <v>148</v>
      </c>
      <c r="G21" s="365">
        <f>$D$21*B3</f>
        <v>88275</v>
      </c>
      <c r="H21" s="322"/>
      <c r="I21" s="306" t="s">
        <v>83</v>
      </c>
      <c r="J21" s="302">
        <v>752</v>
      </c>
      <c r="K21" s="302">
        <v>752</v>
      </c>
      <c r="L21" s="302">
        <v>752</v>
      </c>
      <c r="M21" s="302">
        <v>752</v>
      </c>
      <c r="N21" s="303">
        <f t="shared" si="1"/>
        <v>752</v>
      </c>
    </row>
    <row r="22" spans="1:51" s="323" customFormat="1">
      <c r="A22" s="822"/>
      <c r="B22" s="27" t="s">
        <v>138</v>
      </c>
      <c r="C22" s="27" t="s">
        <v>149</v>
      </c>
      <c r="D22" s="361"/>
      <c r="E22" s="824"/>
      <c r="F22" s="308" t="s">
        <v>150</v>
      </c>
      <c r="G22" s="366">
        <f>G15*$N$16+G18*$N$15+G16*$N$19+$N$20*G20+G21*$N$21</f>
        <v>108506639.39667889</v>
      </c>
      <c r="H22" s="322"/>
      <c r="I22" s="309" t="s">
        <v>75</v>
      </c>
      <c r="J22" s="310">
        <v>48.9246032051282</v>
      </c>
      <c r="K22" s="310">
        <v>53.499999999999993</v>
      </c>
      <c r="L22" s="310">
        <v>55.422500000000007</v>
      </c>
      <c r="M22" s="310">
        <v>68.844374999999999</v>
      </c>
      <c r="N22" s="311">
        <f t="shared" si="1"/>
        <v>56.672869551282048</v>
      </c>
    </row>
    <row r="23" spans="1:51" s="323" customFormat="1" ht="29.45" customHeight="1">
      <c r="A23" s="821" t="s">
        <v>290</v>
      </c>
      <c r="B23" s="294" t="s">
        <v>138</v>
      </c>
      <c r="C23" s="294" t="s">
        <v>142</v>
      </c>
      <c r="D23" s="367">
        <v>0.02</v>
      </c>
      <c r="E23" s="826" t="s">
        <v>308</v>
      </c>
      <c r="F23" s="295" t="s">
        <v>68</v>
      </c>
      <c r="G23" s="364">
        <f>D23*$B$5</f>
        <v>2000</v>
      </c>
      <c r="H23" s="322"/>
      <c r="I23" s="829" t="s">
        <v>338</v>
      </c>
      <c r="J23" s="829"/>
      <c r="K23" s="829"/>
      <c r="L23" s="829"/>
      <c r="M23" s="829"/>
      <c r="N23" s="829"/>
    </row>
    <row r="24" spans="1:51" s="323" customFormat="1">
      <c r="A24" s="822"/>
      <c r="B24" s="27" t="s">
        <v>138</v>
      </c>
      <c r="C24" s="27" t="s">
        <v>142</v>
      </c>
      <c r="D24" s="361">
        <v>15</v>
      </c>
      <c r="E24" s="827"/>
      <c r="F24" s="299" t="s">
        <v>66</v>
      </c>
      <c r="G24" s="365">
        <f>D24*$B$5</f>
        <v>1500000</v>
      </c>
      <c r="H24" s="322"/>
      <c r="I24" s="329"/>
      <c r="J24" s="330"/>
      <c r="K24" s="330"/>
      <c r="L24" s="330"/>
      <c r="M24" s="330"/>
      <c r="N24" s="330"/>
    </row>
    <row r="25" spans="1:51" s="323" customFormat="1">
      <c r="A25" s="822"/>
      <c r="B25" s="27"/>
      <c r="C25" s="27"/>
      <c r="D25" s="361"/>
      <c r="E25" s="827"/>
      <c r="F25" s="299"/>
      <c r="G25" s="365"/>
      <c r="H25" s="322"/>
      <c r="I25" s="329"/>
      <c r="J25" s="330"/>
      <c r="K25" s="330"/>
      <c r="L25" s="330"/>
      <c r="M25" s="330"/>
      <c r="N25" s="330"/>
    </row>
    <row r="26" spans="1:51" s="323" customFormat="1">
      <c r="A26" s="822"/>
      <c r="B26" s="55" t="s">
        <v>138</v>
      </c>
      <c r="C26" s="55" t="s">
        <v>146</v>
      </c>
      <c r="D26" s="362">
        <v>6.0000000000000001E-3</v>
      </c>
      <c r="E26" s="827"/>
      <c r="F26" s="299" t="s">
        <v>65</v>
      </c>
      <c r="G26" s="365">
        <f>D26*$B$5</f>
        <v>600</v>
      </c>
      <c r="H26" s="398" t="s">
        <v>337</v>
      </c>
      <c r="I26" s="329"/>
      <c r="J26" s="330"/>
      <c r="K26" s="330"/>
      <c r="L26" s="330"/>
      <c r="M26" s="330"/>
      <c r="N26" s="330"/>
    </row>
    <row r="27" spans="1:51" s="323" customFormat="1">
      <c r="A27" s="822"/>
      <c r="B27" s="27" t="s">
        <v>138</v>
      </c>
      <c r="C27" s="27" t="s">
        <v>147</v>
      </c>
      <c r="D27" s="361">
        <v>0.28399999999999997</v>
      </c>
      <c r="E27" s="827"/>
      <c r="F27" s="299" t="s">
        <v>309</v>
      </c>
      <c r="G27" s="365">
        <f>D27*$B$5</f>
        <v>28399.999999999996</v>
      </c>
      <c r="H27" s="322"/>
      <c r="I27" s="329"/>
      <c r="J27" s="330"/>
      <c r="K27" s="330"/>
      <c r="L27" s="330"/>
      <c r="M27" s="330"/>
      <c r="N27" s="330"/>
    </row>
    <row r="28" spans="1:51" s="323" customFormat="1">
      <c r="A28" s="822"/>
      <c r="B28" s="27" t="s">
        <v>138</v>
      </c>
      <c r="C28" s="27"/>
      <c r="D28" s="27"/>
      <c r="E28" s="827"/>
      <c r="F28" s="299"/>
      <c r="G28" s="365"/>
      <c r="H28" s="322"/>
      <c r="I28" s="329"/>
      <c r="J28" s="330"/>
      <c r="K28" s="330"/>
      <c r="L28" s="330"/>
      <c r="M28" s="330"/>
      <c r="N28" s="330"/>
    </row>
    <row r="29" spans="1:51">
      <c r="A29" s="822"/>
      <c r="B29" s="27"/>
      <c r="C29" s="27"/>
      <c r="D29" s="359"/>
      <c r="E29" s="827"/>
      <c r="F29" s="307"/>
      <c r="G29" s="365"/>
      <c r="H29" s="322"/>
    </row>
    <row r="30" spans="1:51" s="323" customFormat="1">
      <c r="A30" s="825"/>
      <c r="B30" s="312" t="s">
        <v>138</v>
      </c>
      <c r="C30" s="312" t="s">
        <v>149</v>
      </c>
      <c r="D30" s="312"/>
      <c r="E30" s="828"/>
      <c r="F30" s="313" t="s">
        <v>150</v>
      </c>
      <c r="G30" s="369">
        <f>G23*$N$16+G26*$N$15+G24*$N$19+G27*$N$22</f>
        <v>10847527.545274206</v>
      </c>
      <c r="H30" s="322"/>
      <c r="I30" s="329"/>
      <c r="J30" s="330"/>
      <c r="K30" s="330"/>
      <c r="L30" s="330"/>
      <c r="M30" s="330"/>
      <c r="N30" s="330"/>
    </row>
    <row r="31" spans="1:51" s="323" customFormat="1" ht="32.25" customHeight="1">
      <c r="A31" s="259" t="s">
        <v>151</v>
      </c>
      <c r="B31" s="265" t="s">
        <v>138</v>
      </c>
      <c r="C31" s="260" t="s">
        <v>149</v>
      </c>
      <c r="D31" s="19">
        <v>1885.9697919999996</v>
      </c>
      <c r="E31" s="87"/>
      <c r="F31" s="279" t="s">
        <v>299</v>
      </c>
      <c r="G31" s="340">
        <f>$D$31*B3</f>
        <v>155592507.83999997</v>
      </c>
      <c r="H31" s="322"/>
      <c r="I31" s="331"/>
      <c r="J31" s="322"/>
      <c r="K31" s="322"/>
      <c r="L31" s="322"/>
      <c r="M31" s="322"/>
      <c r="N31" s="322"/>
      <c r="O31" s="322"/>
      <c r="P31" s="322"/>
      <c r="Q31" s="322"/>
      <c r="R31" s="322"/>
      <c r="S31" s="322"/>
      <c r="T31" s="322"/>
      <c r="U31" s="322"/>
      <c r="V31" s="322"/>
      <c r="W31" s="322"/>
      <c r="X31" s="322"/>
      <c r="Y31" s="322"/>
      <c r="Z31" s="322"/>
      <c r="AA31" s="322"/>
      <c r="AB31" s="322"/>
      <c r="AC31" s="322"/>
      <c r="AD31" s="322"/>
      <c r="AE31" s="322"/>
      <c r="AF31" s="322"/>
      <c r="AG31" s="322"/>
      <c r="AH31" s="322"/>
      <c r="AI31" s="322"/>
      <c r="AJ31" s="322"/>
      <c r="AK31" s="322"/>
      <c r="AL31" s="322"/>
      <c r="AM31" s="322"/>
      <c r="AN31" s="322"/>
      <c r="AO31" s="322"/>
      <c r="AP31" s="322"/>
      <c r="AQ31" s="322"/>
      <c r="AR31" s="322"/>
      <c r="AS31" s="322"/>
      <c r="AT31" s="322"/>
      <c r="AU31" s="322"/>
      <c r="AV31" s="322"/>
      <c r="AW31" s="322"/>
      <c r="AX31" s="322"/>
      <c r="AY31" s="324"/>
    </row>
    <row r="32" spans="1:51" s="323" customFormat="1" ht="24" customHeight="1">
      <c r="A32" s="264" t="s">
        <v>13</v>
      </c>
      <c r="B32" s="314" t="s">
        <v>138</v>
      </c>
      <c r="C32" s="314" t="s">
        <v>149</v>
      </c>
      <c r="D32" s="370">
        <v>2821</v>
      </c>
      <c r="E32" s="96"/>
      <c r="F32" s="315" t="s">
        <v>298</v>
      </c>
      <c r="G32" s="397">
        <f t="shared" ref="G32" si="2">$D$32*200000</f>
        <v>564200000</v>
      </c>
      <c r="H32" s="322"/>
      <c r="I32" s="322"/>
      <c r="J32" s="322"/>
      <c r="K32" s="322"/>
      <c r="L32" s="322"/>
      <c r="M32" s="322"/>
      <c r="N32" s="322"/>
      <c r="O32" s="322"/>
      <c r="P32" s="322"/>
      <c r="Q32" s="322"/>
      <c r="R32" s="322"/>
      <c r="S32" s="322"/>
      <c r="T32" s="322"/>
      <c r="U32" s="322"/>
      <c r="V32" s="322"/>
      <c r="W32" s="322"/>
      <c r="X32" s="322"/>
      <c r="Y32" s="322"/>
      <c r="Z32" s="322"/>
      <c r="AA32" s="322"/>
      <c r="AB32" s="322"/>
      <c r="AC32" s="322"/>
      <c r="AD32" s="322"/>
      <c r="AE32" s="322"/>
      <c r="AF32" s="322"/>
      <c r="AG32" s="322"/>
      <c r="AH32" s="322"/>
      <c r="AI32" s="322"/>
      <c r="AJ32" s="322"/>
      <c r="AK32" s="322"/>
      <c r="AL32" s="322"/>
      <c r="AM32" s="322"/>
      <c r="AN32" s="322"/>
      <c r="AO32" s="322"/>
      <c r="AP32" s="322"/>
      <c r="AQ32" s="322"/>
      <c r="AR32" s="322"/>
      <c r="AS32" s="322"/>
      <c r="AT32" s="322"/>
      <c r="AU32" s="322"/>
      <c r="AV32" s="322"/>
      <c r="AW32" s="322"/>
      <c r="AX32" s="322"/>
    </row>
    <row r="33" spans="1:50" s="326" customFormat="1" ht="27" customHeight="1">
      <c r="A33" s="264" t="s">
        <v>87</v>
      </c>
      <c r="B33" s="314" t="s">
        <v>138</v>
      </c>
      <c r="C33" s="314" t="s">
        <v>149</v>
      </c>
      <c r="D33" s="370">
        <v>1109.8380433538794</v>
      </c>
      <c r="E33" s="151"/>
      <c r="F33" s="315" t="s">
        <v>298</v>
      </c>
      <c r="G33" s="397">
        <f t="shared" ref="G33" si="3">$D$33*200000</f>
        <v>221967608.67077586</v>
      </c>
      <c r="H33" s="322"/>
      <c r="I33" s="325"/>
      <c r="J33" s="325"/>
      <c r="K33" s="325"/>
      <c r="L33" s="325"/>
      <c r="M33" s="325"/>
      <c r="N33" s="325"/>
      <c r="O33" s="325"/>
      <c r="P33" s="325"/>
      <c r="Q33" s="325"/>
      <c r="R33" s="325"/>
      <c r="S33" s="325"/>
      <c r="T33" s="325"/>
      <c r="U33" s="325"/>
      <c r="V33" s="325"/>
      <c r="W33" s="325"/>
      <c r="X33" s="325"/>
      <c r="Y33" s="325"/>
      <c r="Z33" s="325"/>
      <c r="AA33" s="325"/>
      <c r="AB33" s="325"/>
      <c r="AC33" s="325"/>
      <c r="AD33" s="325"/>
      <c r="AE33" s="325"/>
      <c r="AF33" s="325"/>
      <c r="AG33" s="325"/>
      <c r="AH33" s="325"/>
      <c r="AI33" s="325"/>
      <c r="AJ33" s="325"/>
      <c r="AK33" s="325"/>
      <c r="AL33" s="325"/>
      <c r="AM33" s="325"/>
      <c r="AN33" s="325"/>
      <c r="AO33" s="325"/>
      <c r="AP33" s="325"/>
      <c r="AQ33" s="325"/>
      <c r="AR33" s="325"/>
      <c r="AS33" s="325"/>
      <c r="AT33" s="325"/>
      <c r="AU33" s="325"/>
      <c r="AV33" s="325"/>
      <c r="AW33" s="325"/>
      <c r="AX33" s="325"/>
    </row>
    <row r="34" spans="1:50" s="323" customFormat="1">
      <c r="A34" s="1"/>
      <c r="B34" s="1"/>
      <c r="C34" s="1"/>
      <c r="D34" s="1"/>
      <c r="E34" s="1"/>
      <c r="F34" s="88"/>
      <c r="H34" s="322"/>
    </row>
    <row r="35" spans="1:50" s="323" customFormat="1">
      <c r="A35" s="170"/>
      <c r="B35" s="170"/>
      <c r="C35" s="170"/>
      <c r="D35" s="170"/>
      <c r="E35" s="170"/>
      <c r="F35" s="170"/>
      <c r="H35" s="322"/>
    </row>
    <row r="36" spans="1:50" ht="22.5" customHeight="1">
      <c r="A36" s="830" t="s">
        <v>283</v>
      </c>
      <c r="B36" s="830"/>
      <c r="C36" s="830"/>
      <c r="D36" s="830"/>
      <c r="E36" s="830"/>
    </row>
    <row r="37" spans="1:50">
      <c r="A37" s="811" t="s">
        <v>269</v>
      </c>
      <c r="B37" s="812"/>
      <c r="C37" s="812"/>
      <c r="D37" s="812"/>
      <c r="E37" s="812"/>
    </row>
    <row r="38" spans="1:50">
      <c r="A38" s="257" t="s">
        <v>63</v>
      </c>
      <c r="B38" s="257" t="s">
        <v>80</v>
      </c>
      <c r="C38" s="257" t="s">
        <v>77</v>
      </c>
      <c r="D38" s="188" t="s">
        <v>78</v>
      </c>
      <c r="E38" s="257" t="s">
        <v>79</v>
      </c>
    </row>
    <row r="39" spans="1:50">
      <c r="A39" s="22">
        <v>1</v>
      </c>
      <c r="B39" s="97" t="s">
        <v>194</v>
      </c>
      <c r="C39" s="371">
        <v>20652</v>
      </c>
      <c r="D39" s="372">
        <f>B3-(D5*B5)</f>
        <v>7800</v>
      </c>
      <c r="E39" s="372">
        <f>(D39*C39)/10^7</f>
        <v>16.108560000000001</v>
      </c>
    </row>
    <row r="40" spans="1:50" ht="15" customHeight="1">
      <c r="A40" s="830" t="s">
        <v>351</v>
      </c>
      <c r="B40" s="830"/>
      <c r="C40" s="830"/>
      <c r="D40" s="830"/>
      <c r="E40" s="830"/>
    </row>
    <row r="41" spans="1:50">
      <c r="A41" s="811" t="s">
        <v>269</v>
      </c>
      <c r="B41" s="812"/>
      <c r="C41" s="812"/>
      <c r="D41" s="812"/>
      <c r="E41" s="812"/>
    </row>
    <row r="42" spans="1:50">
      <c r="A42" s="257" t="s">
        <v>63</v>
      </c>
      <c r="B42" s="257" t="s">
        <v>80</v>
      </c>
      <c r="C42" s="257" t="s">
        <v>77</v>
      </c>
      <c r="D42" s="188" t="s">
        <v>78</v>
      </c>
      <c r="E42" s="257" t="s">
        <v>79</v>
      </c>
    </row>
    <row r="43" spans="1:50">
      <c r="A43" s="22">
        <v>1</v>
      </c>
      <c r="B43" s="97" t="s">
        <v>285</v>
      </c>
      <c r="C43" s="371">
        <v>38323</v>
      </c>
      <c r="D43" s="372">
        <f>B5</f>
        <v>100000</v>
      </c>
      <c r="E43" s="372">
        <f>(C43*D43)/10^7</f>
        <v>383.23</v>
      </c>
      <c r="F43" s="373" t="s">
        <v>329</v>
      </c>
    </row>
    <row r="44" spans="1:50" ht="18" customHeight="1">
      <c r="A44" s="246"/>
      <c r="B44" s="246"/>
      <c r="C44" s="246"/>
      <c r="D44" s="246"/>
      <c r="E44" s="246"/>
    </row>
    <row r="45" spans="1:50">
      <c r="A45" s="813" t="s">
        <v>284</v>
      </c>
      <c r="B45" s="813"/>
      <c r="C45" s="813"/>
      <c r="D45" s="813"/>
    </row>
    <row r="46" spans="1:50">
      <c r="A46" s="179" t="s">
        <v>51</v>
      </c>
      <c r="B46" s="180" t="s">
        <v>52</v>
      </c>
      <c r="C46" s="180" t="s">
        <v>61</v>
      </c>
      <c r="D46" s="181" t="s">
        <v>53</v>
      </c>
    </row>
    <row r="47" spans="1:50">
      <c r="A47" s="20" t="s">
        <v>54</v>
      </c>
      <c r="B47" s="91">
        <v>3</v>
      </c>
      <c r="C47" s="91">
        <v>35</v>
      </c>
      <c r="D47" s="91">
        <f t="shared" ref="D47:D52" si="4">C47*B47</f>
        <v>105</v>
      </c>
    </row>
    <row r="48" spans="1:50">
      <c r="A48" s="20" t="s">
        <v>55</v>
      </c>
      <c r="B48" s="91">
        <v>4</v>
      </c>
      <c r="C48" s="91">
        <v>25</v>
      </c>
      <c r="D48" s="91">
        <f t="shared" si="4"/>
        <v>100</v>
      </c>
    </row>
    <row r="49" spans="1:19">
      <c r="A49" s="20" t="s">
        <v>56</v>
      </c>
      <c r="B49" s="91">
        <v>5</v>
      </c>
      <c r="C49" s="91">
        <v>20</v>
      </c>
      <c r="D49" s="91">
        <f t="shared" si="4"/>
        <v>100</v>
      </c>
    </row>
    <row r="50" spans="1:19">
      <c r="A50" s="20" t="s">
        <v>57</v>
      </c>
      <c r="B50" s="91">
        <v>12</v>
      </c>
      <c r="C50" s="91">
        <v>8</v>
      </c>
      <c r="D50" s="91">
        <f t="shared" si="4"/>
        <v>96</v>
      </c>
    </row>
    <row r="51" spans="1:19">
      <c r="A51" s="374" t="s">
        <v>58</v>
      </c>
      <c r="B51" s="91">
        <v>40</v>
      </c>
      <c r="C51" s="91">
        <v>6</v>
      </c>
      <c r="D51" s="91">
        <f t="shared" si="4"/>
        <v>240</v>
      </c>
    </row>
    <row r="52" spans="1:19">
      <c r="A52" s="20" t="s">
        <v>59</v>
      </c>
      <c r="B52" s="91">
        <v>100</v>
      </c>
      <c r="C52" s="91">
        <v>3.5</v>
      </c>
      <c r="D52" s="91">
        <f t="shared" si="4"/>
        <v>350</v>
      </c>
    </row>
    <row r="53" spans="1:19">
      <c r="A53" s="182" t="s">
        <v>73</v>
      </c>
      <c r="B53" s="183"/>
      <c r="C53" s="183"/>
      <c r="D53" s="183">
        <f>SUM(D47:D52)/100</f>
        <v>9.91</v>
      </c>
    </row>
    <row r="54" spans="1:19">
      <c r="A54" s="318"/>
      <c r="B54" s="318"/>
      <c r="C54" s="396" t="s">
        <v>336</v>
      </c>
    </row>
    <row r="55" spans="1:19">
      <c r="A55" s="814" t="s">
        <v>280</v>
      </c>
      <c r="B55" s="814"/>
      <c r="C55" s="814"/>
    </row>
    <row r="56" spans="1:19">
      <c r="A56" s="815" t="s">
        <v>286</v>
      </c>
      <c r="B56" s="816"/>
      <c r="C56" s="816"/>
    </row>
    <row r="57" spans="1:19">
      <c r="A57" s="236" t="s">
        <v>119</v>
      </c>
      <c r="B57" s="237" t="s">
        <v>120</v>
      </c>
      <c r="C57" s="414"/>
    </row>
    <row r="58" spans="1:19">
      <c r="A58" s="239" t="s">
        <v>122</v>
      </c>
      <c r="B58" s="415">
        <v>0.25</v>
      </c>
      <c r="C58" s="410">
        <f>B58*$C$60</f>
        <v>141.13749999999999</v>
      </c>
    </row>
    <row r="59" spans="1:19">
      <c r="A59" s="239" t="s">
        <v>123</v>
      </c>
      <c r="B59" s="416">
        <v>0.75</v>
      </c>
      <c r="C59" s="410">
        <f>B59*$C$60</f>
        <v>423.41249999999997</v>
      </c>
    </row>
    <row r="60" spans="1:19">
      <c r="A60" s="411" t="s">
        <v>73</v>
      </c>
      <c r="B60" s="412">
        <f>SUM(B58:B59)</f>
        <v>1</v>
      </c>
      <c r="C60" s="413">
        <f>Capex!E15</f>
        <v>564.54999999999995</v>
      </c>
    </row>
    <row r="62" spans="1:19">
      <c r="A62" s="813" t="s">
        <v>282</v>
      </c>
      <c r="B62" s="813"/>
      <c r="C62" s="813"/>
      <c r="D62" s="813"/>
      <c r="E62" s="813"/>
      <c r="F62" s="813"/>
      <c r="G62" s="813"/>
      <c r="H62" s="813"/>
      <c r="I62" s="813"/>
      <c r="J62" s="813"/>
      <c r="K62" s="813"/>
      <c r="L62" s="813"/>
      <c r="M62" s="813"/>
      <c r="N62" s="813"/>
      <c r="O62" s="813"/>
      <c r="P62" s="813"/>
      <c r="Q62" s="813"/>
      <c r="R62" s="813"/>
      <c r="S62" s="813"/>
    </row>
    <row r="63" spans="1:19">
      <c r="A63" s="834"/>
      <c r="B63" s="835"/>
      <c r="C63" s="835"/>
      <c r="D63" s="835"/>
      <c r="E63" s="408">
        <v>1</v>
      </c>
      <c r="F63" s="408">
        <v>2</v>
      </c>
      <c r="G63" s="408">
        <v>3</v>
      </c>
      <c r="H63" s="408">
        <v>4</v>
      </c>
      <c r="I63" s="408">
        <v>5</v>
      </c>
      <c r="J63" s="408">
        <v>6</v>
      </c>
      <c r="K63" s="186">
        <v>7</v>
      </c>
      <c r="L63" s="408">
        <v>8</v>
      </c>
      <c r="M63" s="186">
        <v>9</v>
      </c>
      <c r="N63" s="408">
        <v>10</v>
      </c>
      <c r="O63" s="408">
        <v>11</v>
      </c>
      <c r="P63" s="408">
        <v>12</v>
      </c>
      <c r="Q63" s="408">
        <v>13</v>
      </c>
      <c r="R63" s="186">
        <v>14</v>
      </c>
      <c r="S63" s="408">
        <v>15</v>
      </c>
    </row>
    <row r="64" spans="1:19">
      <c r="A64" s="17" t="s">
        <v>20</v>
      </c>
      <c r="B64" s="405"/>
      <c r="C64" s="13"/>
      <c r="D64" s="316"/>
      <c r="E64" s="405"/>
      <c r="F64" s="405"/>
      <c r="G64" s="405"/>
      <c r="H64" s="405"/>
      <c r="I64" s="405"/>
      <c r="J64" s="405"/>
      <c r="K64" s="405"/>
      <c r="L64" s="405"/>
      <c r="M64" s="405"/>
      <c r="N64" s="405"/>
      <c r="O64" s="316"/>
      <c r="P64" s="316"/>
      <c r="Q64" s="316"/>
      <c r="R64" s="405"/>
      <c r="S64" s="405"/>
    </row>
    <row r="65" spans="1:19">
      <c r="A65" s="129"/>
      <c r="B65" s="13" t="s">
        <v>21</v>
      </c>
      <c r="C65" s="405" t="s">
        <v>22</v>
      </c>
      <c r="D65" s="316"/>
      <c r="E65" s="187">
        <v>30</v>
      </c>
      <c r="F65" s="187">
        <v>30</v>
      </c>
      <c r="G65" s="187">
        <v>30</v>
      </c>
      <c r="H65" s="187">
        <v>30</v>
      </c>
      <c r="I65" s="187">
        <v>30</v>
      </c>
      <c r="J65" s="187">
        <v>30</v>
      </c>
      <c r="K65" s="187">
        <v>30</v>
      </c>
      <c r="L65" s="187">
        <v>30</v>
      </c>
      <c r="M65" s="187">
        <v>30</v>
      </c>
      <c r="N65" s="187">
        <v>30</v>
      </c>
      <c r="O65" s="187">
        <v>30</v>
      </c>
      <c r="P65" s="187">
        <v>30</v>
      </c>
      <c r="Q65" s="187">
        <v>30</v>
      </c>
      <c r="R65" s="187">
        <v>30</v>
      </c>
      <c r="S65" s="187">
        <v>30</v>
      </c>
    </row>
    <row r="66" spans="1:19">
      <c r="A66" s="129"/>
      <c r="B66" s="13" t="s">
        <v>23</v>
      </c>
      <c r="C66" s="405"/>
      <c r="D66" s="316"/>
      <c r="E66" s="14">
        <f>'Cashflow '!F10</f>
        <v>279.536992</v>
      </c>
      <c r="F66" s="14">
        <f>'Cashflow '!G10</f>
        <v>359.40470400000004</v>
      </c>
      <c r="G66" s="14">
        <f>'Cashflow '!H10</f>
        <v>379.37163200000003</v>
      </c>
      <c r="H66" s="14">
        <f>'Cashflow '!I10</f>
        <v>379.37163200000003</v>
      </c>
      <c r="I66" s="14">
        <f>'Cashflow '!J10</f>
        <v>379.37163200000003</v>
      </c>
      <c r="J66" s="14">
        <f>'Cashflow '!K10</f>
        <v>379.37163200000003</v>
      </c>
      <c r="K66" s="14">
        <f>'Cashflow '!L10</f>
        <v>379.37163200000003</v>
      </c>
      <c r="L66" s="14">
        <f>'Cashflow '!M10</f>
        <v>379.37163200000003</v>
      </c>
      <c r="M66" s="14">
        <f>'Cashflow '!N10</f>
        <v>379.37163200000003</v>
      </c>
      <c r="N66" s="14">
        <f>'Cashflow '!O10</f>
        <v>379.37163200000003</v>
      </c>
      <c r="O66" s="14">
        <f>'Cashflow '!P10</f>
        <v>379.37163200000003</v>
      </c>
      <c r="P66" s="14">
        <f>'Cashflow '!Q10</f>
        <v>379.37163200000003</v>
      </c>
      <c r="Q66" s="14">
        <f>'Cashflow '!R10</f>
        <v>379.37163200000003</v>
      </c>
      <c r="R66" s="14">
        <f>'Cashflow '!S10</f>
        <v>379.37163200000003</v>
      </c>
      <c r="S66" s="14">
        <f>'Cashflow '!T10</f>
        <v>379.37163200000003</v>
      </c>
    </row>
    <row r="67" spans="1:19">
      <c r="A67" s="129"/>
      <c r="B67" s="13" t="s">
        <v>24</v>
      </c>
      <c r="C67" s="405"/>
      <c r="D67" s="316"/>
      <c r="E67" s="14">
        <f>+E66/365*E65</f>
        <v>22.975643178082191</v>
      </c>
      <c r="F67" s="14">
        <f t="shared" ref="F67:S67" si="5">+F66/365*F65</f>
        <v>29.540112657534248</v>
      </c>
      <c r="G67" s="14">
        <f t="shared" si="5"/>
        <v>31.181230027397259</v>
      </c>
      <c r="H67" s="14">
        <f t="shared" si="5"/>
        <v>31.181230027397259</v>
      </c>
      <c r="I67" s="14">
        <f t="shared" si="5"/>
        <v>31.181230027397259</v>
      </c>
      <c r="J67" s="14">
        <f t="shared" si="5"/>
        <v>31.181230027397259</v>
      </c>
      <c r="K67" s="14">
        <f t="shared" si="5"/>
        <v>31.181230027397259</v>
      </c>
      <c r="L67" s="14">
        <f t="shared" si="5"/>
        <v>31.181230027397259</v>
      </c>
      <c r="M67" s="14">
        <f t="shared" si="5"/>
        <v>31.181230027397259</v>
      </c>
      <c r="N67" s="14">
        <f t="shared" si="5"/>
        <v>31.181230027397259</v>
      </c>
      <c r="O67" s="14">
        <f t="shared" si="5"/>
        <v>31.181230027397259</v>
      </c>
      <c r="P67" s="14">
        <f t="shared" si="5"/>
        <v>31.181230027397259</v>
      </c>
      <c r="Q67" s="14">
        <f t="shared" si="5"/>
        <v>31.181230027397259</v>
      </c>
      <c r="R67" s="14">
        <f t="shared" si="5"/>
        <v>31.181230027397259</v>
      </c>
      <c r="S67" s="14">
        <f t="shared" si="5"/>
        <v>31.181230027397259</v>
      </c>
    </row>
    <row r="68" spans="1:19">
      <c r="A68" s="129"/>
      <c r="B68" s="405"/>
      <c r="C68" s="405"/>
      <c r="D68" s="316"/>
      <c r="E68" s="405"/>
      <c r="F68" s="405"/>
      <c r="G68" s="405"/>
      <c r="H68" s="405"/>
      <c r="I68" s="405"/>
      <c r="J68" s="405"/>
      <c r="K68" s="405"/>
      <c r="L68" s="405"/>
      <c r="M68" s="405"/>
      <c r="N68" s="405"/>
      <c r="O68" s="405"/>
      <c r="P68" s="405"/>
      <c r="Q68" s="405"/>
      <c r="R68" s="405"/>
      <c r="S68" s="405"/>
    </row>
    <row r="69" spans="1:19">
      <c r="A69" s="17" t="s">
        <v>25</v>
      </c>
      <c r="B69" s="405"/>
      <c r="C69" s="13"/>
      <c r="D69" s="316"/>
      <c r="E69" s="405"/>
      <c r="F69" s="405"/>
      <c r="G69" s="405"/>
      <c r="H69" s="405"/>
      <c r="I69" s="405"/>
      <c r="J69" s="405"/>
      <c r="K69" s="405"/>
      <c r="L69" s="405"/>
      <c r="M69" s="405"/>
      <c r="N69" s="405"/>
      <c r="O69" s="405"/>
      <c r="P69" s="405"/>
      <c r="Q69" s="405"/>
      <c r="R69" s="405"/>
      <c r="S69" s="405"/>
    </row>
    <row r="70" spans="1:19">
      <c r="A70" s="129"/>
      <c r="B70" s="13" t="s">
        <v>26</v>
      </c>
      <c r="C70" s="405" t="s">
        <v>22</v>
      </c>
      <c r="D70" s="316"/>
      <c r="E70" s="187">
        <v>20</v>
      </c>
      <c r="F70" s="187">
        <v>20</v>
      </c>
      <c r="G70" s="187">
        <v>20</v>
      </c>
      <c r="H70" s="187">
        <v>20</v>
      </c>
      <c r="I70" s="187">
        <v>20</v>
      </c>
      <c r="J70" s="187">
        <v>20</v>
      </c>
      <c r="K70" s="187">
        <v>20</v>
      </c>
      <c r="L70" s="187">
        <v>20</v>
      </c>
      <c r="M70" s="187">
        <v>20</v>
      </c>
      <c r="N70" s="187">
        <v>20</v>
      </c>
      <c r="O70" s="187">
        <v>20</v>
      </c>
      <c r="P70" s="187">
        <v>20</v>
      </c>
      <c r="Q70" s="187">
        <v>20</v>
      </c>
      <c r="R70" s="187">
        <v>20</v>
      </c>
      <c r="S70" s="187">
        <v>20</v>
      </c>
    </row>
    <row r="71" spans="1:19">
      <c r="A71" s="129"/>
      <c r="B71" s="13" t="s">
        <v>27</v>
      </c>
      <c r="C71" s="405"/>
      <c r="D71" s="316"/>
      <c r="E71" s="14">
        <f>'Cashflow '!F21</f>
        <v>172.51374270057707</v>
      </c>
      <c r="F71" s="14">
        <f>'Cashflow '!G21</f>
        <v>224.96519790689595</v>
      </c>
      <c r="G71" s="14">
        <f>'Cashflow '!H21</f>
        <v>241.12809723847968</v>
      </c>
      <c r="H71" s="14">
        <f>'Cashflow '!I21</f>
        <v>244.6619835810281</v>
      </c>
      <c r="I71" s="14">
        <f>'Cashflow '!J21</f>
        <v>247.67392941738504</v>
      </c>
      <c r="J71" s="14">
        <f>'Cashflow '!K21</f>
        <v>250.992760071578</v>
      </c>
      <c r="K71" s="14">
        <f>'Cashflow '!L21</f>
        <v>254.2891269524676</v>
      </c>
      <c r="L71" s="14">
        <f>'Cashflow '!M21</f>
        <v>257.71920557597497</v>
      </c>
      <c r="M71" s="14">
        <f>'Cashflow '!N21</f>
        <v>261.53919462182796</v>
      </c>
      <c r="N71" s="14">
        <f>'Cashflow '!O21</f>
        <v>264.34622614256921</v>
      </c>
      <c r="O71" s="14">
        <f>'Cashflow '!P21</f>
        <v>267.37157655441848</v>
      </c>
      <c r="P71" s="14">
        <f>'Cashflow '!Q21</f>
        <v>270.50295180143445</v>
      </c>
      <c r="Q71" s="14">
        <f>'Cashflow '!R21</f>
        <v>273.43078316193328</v>
      </c>
      <c r="R71" s="14">
        <f>'Cashflow '!S21</f>
        <v>276.34196263492782</v>
      </c>
      <c r="S71" s="14">
        <f>'Cashflow '!T21</f>
        <v>279.25986437733735</v>
      </c>
    </row>
    <row r="72" spans="1:19">
      <c r="A72" s="129"/>
      <c r="B72" s="13" t="s">
        <v>28</v>
      </c>
      <c r="C72" s="405"/>
      <c r="D72" s="316"/>
      <c r="E72" s="14">
        <f>+E71/365*E70</f>
        <v>9.4528078192097027</v>
      </c>
      <c r="F72" s="14">
        <f t="shared" ref="F72:S72" si="6">+F71/365*F70</f>
        <v>12.326860159281969</v>
      </c>
      <c r="G72" s="14">
        <f t="shared" si="6"/>
        <v>13.212498478820805</v>
      </c>
      <c r="H72" s="14">
        <f t="shared" si="6"/>
        <v>13.406136086631676</v>
      </c>
      <c r="I72" s="14">
        <f t="shared" si="6"/>
        <v>13.571174214651236</v>
      </c>
      <c r="J72" s="14">
        <f t="shared" si="6"/>
        <v>13.75302794912756</v>
      </c>
      <c r="K72" s="14">
        <f t="shared" si="6"/>
        <v>13.933650791916033</v>
      </c>
      <c r="L72" s="14">
        <f t="shared" si="6"/>
        <v>14.121600305532876</v>
      </c>
      <c r="M72" s="14">
        <f t="shared" si="6"/>
        <v>14.330914773798792</v>
      </c>
      <c r="N72" s="14">
        <f t="shared" si="6"/>
        <v>14.484724720140779</v>
      </c>
      <c r="O72" s="14">
        <f t="shared" si="6"/>
        <v>14.650497345447588</v>
      </c>
      <c r="P72" s="14">
        <f t="shared" si="6"/>
        <v>14.822079550763531</v>
      </c>
      <c r="Q72" s="14">
        <f t="shared" si="6"/>
        <v>14.982508666407304</v>
      </c>
      <c r="R72" s="14">
        <f t="shared" si="6"/>
        <v>15.142025349859058</v>
      </c>
      <c r="S72" s="14">
        <f t="shared" si="6"/>
        <v>15.301910376840402</v>
      </c>
    </row>
    <row r="73" spans="1:19">
      <c r="A73" s="129"/>
      <c r="B73" s="405"/>
      <c r="C73" s="405"/>
      <c r="D73" s="316"/>
      <c r="E73" s="405"/>
      <c r="F73" s="405"/>
      <c r="G73" s="405"/>
      <c r="H73" s="405"/>
      <c r="I73" s="405"/>
      <c r="J73" s="405"/>
      <c r="K73" s="405"/>
      <c r="L73" s="405"/>
      <c r="M73" s="405"/>
      <c r="N73" s="405"/>
      <c r="O73" s="316"/>
      <c r="P73" s="316"/>
      <c r="Q73" s="316"/>
      <c r="R73" s="405"/>
      <c r="S73" s="405"/>
    </row>
    <row r="74" spans="1:19">
      <c r="A74" s="17" t="s">
        <v>29</v>
      </c>
      <c r="B74" s="405"/>
      <c r="C74" s="13"/>
      <c r="D74" s="316"/>
      <c r="E74" s="405"/>
      <c r="F74" s="405"/>
      <c r="G74" s="405"/>
      <c r="H74" s="405"/>
      <c r="I74" s="405"/>
      <c r="J74" s="405"/>
      <c r="K74" s="405"/>
      <c r="L74" s="405"/>
      <c r="M74" s="405"/>
      <c r="N74" s="405"/>
      <c r="O74" s="316"/>
      <c r="P74" s="316"/>
      <c r="Q74" s="316"/>
      <c r="R74" s="405"/>
      <c r="S74" s="405"/>
    </row>
    <row r="75" spans="1:19">
      <c r="A75" s="129"/>
      <c r="B75" s="13" t="s">
        <v>30</v>
      </c>
      <c r="C75" s="405" t="s">
        <v>22</v>
      </c>
      <c r="D75" s="316"/>
      <c r="E75" s="187">
        <v>10</v>
      </c>
      <c r="F75" s="187">
        <v>10</v>
      </c>
      <c r="G75" s="187">
        <v>10</v>
      </c>
      <c r="H75" s="187">
        <v>10</v>
      </c>
      <c r="I75" s="187">
        <v>10</v>
      </c>
      <c r="J75" s="187">
        <v>10</v>
      </c>
      <c r="K75" s="187">
        <v>10</v>
      </c>
      <c r="L75" s="187">
        <v>10</v>
      </c>
      <c r="M75" s="187">
        <v>10</v>
      </c>
      <c r="N75" s="187">
        <v>10</v>
      </c>
      <c r="O75" s="187">
        <v>10</v>
      </c>
      <c r="P75" s="187">
        <v>10</v>
      </c>
      <c r="Q75" s="187">
        <v>10</v>
      </c>
      <c r="R75" s="187">
        <v>10</v>
      </c>
      <c r="S75" s="187">
        <v>10</v>
      </c>
    </row>
    <row r="76" spans="1:19">
      <c r="A76" s="129"/>
      <c r="B76" s="13" t="s">
        <v>31</v>
      </c>
      <c r="C76" s="405"/>
      <c r="D76" s="316"/>
      <c r="E76" s="14">
        <f>-E71</f>
        <v>-172.51374270057707</v>
      </c>
      <c r="F76" s="14">
        <f t="shared" ref="F76:S76" si="7">-F71</f>
        <v>-224.96519790689595</v>
      </c>
      <c r="G76" s="14">
        <f t="shared" si="7"/>
        <v>-241.12809723847968</v>
      </c>
      <c r="H76" s="14">
        <f t="shared" si="7"/>
        <v>-244.6619835810281</v>
      </c>
      <c r="I76" s="14">
        <f t="shared" si="7"/>
        <v>-247.67392941738504</v>
      </c>
      <c r="J76" s="14">
        <f t="shared" si="7"/>
        <v>-250.992760071578</v>
      </c>
      <c r="K76" s="14">
        <f t="shared" si="7"/>
        <v>-254.2891269524676</v>
      </c>
      <c r="L76" s="14">
        <f t="shared" si="7"/>
        <v>-257.71920557597497</v>
      </c>
      <c r="M76" s="14">
        <f>-M71</f>
        <v>-261.53919462182796</v>
      </c>
      <c r="N76" s="14">
        <f t="shared" si="7"/>
        <v>-264.34622614256921</v>
      </c>
      <c r="O76" s="14">
        <f t="shared" si="7"/>
        <v>-267.37157655441848</v>
      </c>
      <c r="P76" s="14">
        <f t="shared" si="7"/>
        <v>-270.50295180143445</v>
      </c>
      <c r="Q76" s="14">
        <f t="shared" si="7"/>
        <v>-273.43078316193328</v>
      </c>
      <c r="R76" s="14">
        <f t="shared" si="7"/>
        <v>-276.34196263492782</v>
      </c>
      <c r="S76" s="14">
        <f t="shared" si="7"/>
        <v>-279.25986437733735</v>
      </c>
    </row>
    <row r="77" spans="1:19">
      <c r="A77" s="124"/>
      <c r="B77" s="18" t="s">
        <v>31</v>
      </c>
      <c r="C77" s="406"/>
      <c r="D77" s="317"/>
      <c r="E77" s="19">
        <f>+E76/365*E75</f>
        <v>-4.7264039096048513</v>
      </c>
      <c r="F77" s="19">
        <f t="shared" ref="F77:S77" si="8">+F76/365*F75</f>
        <v>-6.1634300796409844</v>
      </c>
      <c r="G77" s="19">
        <f t="shared" si="8"/>
        <v>-6.6062492394104027</v>
      </c>
      <c r="H77" s="19">
        <f t="shared" si="8"/>
        <v>-6.7030680433158381</v>
      </c>
      <c r="I77" s="19">
        <f t="shared" si="8"/>
        <v>-6.7855871073256182</v>
      </c>
      <c r="J77" s="19">
        <f t="shared" si="8"/>
        <v>-6.87651397456378</v>
      </c>
      <c r="K77" s="19">
        <f t="shared" si="8"/>
        <v>-6.9668253959580166</v>
      </c>
      <c r="L77" s="19">
        <f t="shared" si="8"/>
        <v>-7.0608001527664381</v>
      </c>
      <c r="M77" s="19">
        <f t="shared" si="8"/>
        <v>-7.165457386899396</v>
      </c>
      <c r="N77" s="19">
        <f t="shared" si="8"/>
        <v>-7.2423623600703895</v>
      </c>
      <c r="O77" s="19">
        <f t="shared" si="8"/>
        <v>-7.3252486727237942</v>
      </c>
      <c r="P77" s="19">
        <f t="shared" si="8"/>
        <v>-7.4110397753817656</v>
      </c>
      <c r="Q77" s="19">
        <f t="shared" si="8"/>
        <v>-7.4912543332036519</v>
      </c>
      <c r="R77" s="19">
        <f t="shared" si="8"/>
        <v>-7.5710126749295288</v>
      </c>
      <c r="S77" s="19">
        <f t="shared" si="8"/>
        <v>-7.6509551884202009</v>
      </c>
    </row>
    <row r="79" spans="1:19">
      <c r="A79" s="836" t="s">
        <v>280</v>
      </c>
      <c r="B79" s="837"/>
      <c r="C79" s="837"/>
      <c r="D79" s="837"/>
      <c r="E79" s="837"/>
      <c r="F79" s="837"/>
      <c r="G79" s="837"/>
      <c r="H79" s="837"/>
      <c r="I79" s="837"/>
      <c r="J79" s="838"/>
    </row>
    <row r="80" spans="1:19">
      <c r="A80" s="839" t="s">
        <v>287</v>
      </c>
      <c r="B80" s="840"/>
      <c r="C80" s="840"/>
      <c r="D80" s="840"/>
      <c r="E80" s="840"/>
      <c r="F80" s="840"/>
      <c r="G80" s="840"/>
      <c r="H80" s="840"/>
      <c r="I80" s="840"/>
      <c r="J80" s="841"/>
    </row>
    <row r="81" spans="1:10">
      <c r="A81" s="248" t="s">
        <v>124</v>
      </c>
      <c r="B81" s="349">
        <v>0.1</v>
      </c>
      <c r="C81" s="249"/>
      <c r="D81" s="249"/>
      <c r="E81" s="249"/>
      <c r="F81" s="249"/>
      <c r="G81" s="249"/>
      <c r="H81" s="249"/>
      <c r="I81" s="249"/>
      <c r="J81" s="250"/>
    </row>
    <row r="82" spans="1:10">
      <c r="A82" s="239" t="s">
        <v>125</v>
      </c>
      <c r="B82" s="249"/>
      <c r="C82" s="249"/>
      <c r="D82" s="249"/>
      <c r="E82" s="249"/>
      <c r="F82" s="249"/>
      <c r="G82" s="249"/>
      <c r="H82" s="249"/>
      <c r="I82" s="249"/>
      <c r="J82" s="250"/>
    </row>
    <row r="83" spans="1:10">
      <c r="A83" s="99" t="s">
        <v>126</v>
      </c>
      <c r="B83" s="101" t="s">
        <v>96</v>
      </c>
      <c r="C83" s="101" t="s">
        <v>97</v>
      </c>
      <c r="D83" s="101" t="s">
        <v>98</v>
      </c>
      <c r="E83" s="101" t="s">
        <v>99</v>
      </c>
      <c r="F83" s="101" t="s">
        <v>100</v>
      </c>
      <c r="G83" s="101" t="s">
        <v>101</v>
      </c>
      <c r="H83" s="101" t="s">
        <v>102</v>
      </c>
      <c r="I83" s="101" t="s">
        <v>103</v>
      </c>
      <c r="J83" s="102" t="s">
        <v>104</v>
      </c>
    </row>
    <row r="84" spans="1:10">
      <c r="A84" s="407" t="s">
        <v>127</v>
      </c>
      <c r="B84" s="120">
        <f>C59</f>
        <v>423.41249999999997</v>
      </c>
      <c r="C84" s="120">
        <f>B84-B86</f>
        <v>423.41249999999997</v>
      </c>
      <c r="D84" s="120">
        <f t="shared" ref="D84:J84" si="9">+C85-C87</f>
        <v>366.95749999999992</v>
      </c>
      <c r="E84" s="120">
        <f t="shared" si="9"/>
        <v>310.50249999999988</v>
      </c>
      <c r="F84" s="120">
        <f t="shared" si="9"/>
        <v>254.04749999999987</v>
      </c>
      <c r="G84" s="120">
        <f t="shared" si="9"/>
        <v>197.59249999999989</v>
      </c>
      <c r="H84" s="120">
        <f t="shared" si="9"/>
        <v>141.1374999999999</v>
      </c>
      <c r="I84" s="120">
        <f t="shared" si="9"/>
        <v>84.682499999999919</v>
      </c>
      <c r="J84" s="121">
        <f t="shared" si="9"/>
        <v>28.227499999999921</v>
      </c>
    </row>
    <row r="85" spans="1:10">
      <c r="A85" s="251"/>
      <c r="B85" s="120"/>
      <c r="C85" s="120">
        <f t="shared" ref="C85:J85" si="10">+C84-C86</f>
        <v>395.18499999999995</v>
      </c>
      <c r="D85" s="120">
        <f t="shared" si="10"/>
        <v>338.7299999999999</v>
      </c>
      <c r="E85" s="120">
        <f t="shared" si="10"/>
        <v>282.27499999999986</v>
      </c>
      <c r="F85" s="120">
        <f t="shared" si="10"/>
        <v>225.81999999999988</v>
      </c>
      <c r="G85" s="120">
        <f t="shared" si="10"/>
        <v>169.3649999999999</v>
      </c>
      <c r="H85" s="120">
        <f t="shared" si="10"/>
        <v>112.90999999999991</v>
      </c>
      <c r="I85" s="120">
        <f t="shared" si="10"/>
        <v>56.45499999999992</v>
      </c>
      <c r="J85" s="121">
        <f t="shared" si="10"/>
        <v>-7.815970093361102E-14</v>
      </c>
    </row>
    <row r="86" spans="1:10">
      <c r="A86" s="833" t="s">
        <v>128</v>
      </c>
      <c r="B86" s="120">
        <v>0</v>
      </c>
      <c r="C86" s="120">
        <f>+$B$84/15</f>
        <v>28.227499999999999</v>
      </c>
      <c r="D86" s="120">
        <f t="shared" ref="D86:J87" si="11">+$B$84/15</f>
        <v>28.227499999999999</v>
      </c>
      <c r="E86" s="120">
        <f t="shared" si="11"/>
        <v>28.227499999999999</v>
      </c>
      <c r="F86" s="120">
        <f t="shared" si="11"/>
        <v>28.227499999999999</v>
      </c>
      <c r="G86" s="120">
        <f t="shared" si="11"/>
        <v>28.227499999999999</v>
      </c>
      <c r="H86" s="120">
        <f t="shared" si="11"/>
        <v>28.227499999999999</v>
      </c>
      <c r="I86" s="120">
        <f t="shared" si="11"/>
        <v>28.227499999999999</v>
      </c>
      <c r="J86" s="121">
        <f t="shared" si="11"/>
        <v>28.227499999999999</v>
      </c>
    </row>
    <row r="87" spans="1:10">
      <c r="A87" s="833"/>
      <c r="B87" s="120">
        <v>0</v>
      </c>
      <c r="C87" s="120">
        <f>+$B$84/15</f>
        <v>28.227499999999999</v>
      </c>
      <c r="D87" s="120">
        <f t="shared" si="11"/>
        <v>28.227499999999999</v>
      </c>
      <c r="E87" s="120">
        <f t="shared" si="11"/>
        <v>28.227499999999999</v>
      </c>
      <c r="F87" s="120">
        <f t="shared" si="11"/>
        <v>28.227499999999999</v>
      </c>
      <c r="G87" s="120">
        <f t="shared" si="11"/>
        <v>28.227499999999999</v>
      </c>
      <c r="H87" s="120">
        <f t="shared" si="11"/>
        <v>28.227499999999999</v>
      </c>
      <c r="I87" s="120">
        <f t="shared" si="11"/>
        <v>28.227499999999999</v>
      </c>
      <c r="J87" s="121">
        <f t="shared" si="11"/>
        <v>28.227499999999999</v>
      </c>
    </row>
    <row r="88" spans="1:10">
      <c r="A88" s="407" t="s">
        <v>129</v>
      </c>
      <c r="B88" s="120">
        <f t="shared" ref="B88:J88" si="12">SUM(B86:B87)</f>
        <v>0</v>
      </c>
      <c r="C88" s="120">
        <f t="shared" si="12"/>
        <v>56.454999999999998</v>
      </c>
      <c r="D88" s="120">
        <f t="shared" si="12"/>
        <v>56.454999999999998</v>
      </c>
      <c r="E88" s="120">
        <f t="shared" si="12"/>
        <v>56.454999999999998</v>
      </c>
      <c r="F88" s="120">
        <f t="shared" si="12"/>
        <v>56.454999999999998</v>
      </c>
      <c r="G88" s="120">
        <f t="shared" si="12"/>
        <v>56.454999999999998</v>
      </c>
      <c r="H88" s="120">
        <f t="shared" si="12"/>
        <v>56.454999999999998</v>
      </c>
      <c r="I88" s="120">
        <f t="shared" si="12"/>
        <v>56.454999999999998</v>
      </c>
      <c r="J88" s="121">
        <f t="shared" si="12"/>
        <v>56.454999999999998</v>
      </c>
    </row>
    <row r="89" spans="1:10">
      <c r="A89" s="833" t="s">
        <v>130</v>
      </c>
      <c r="B89" s="120">
        <f>+B84*$B$81/2</f>
        <v>21.170625000000001</v>
      </c>
      <c r="C89" s="120">
        <f>+C84*$B$81/2</f>
        <v>21.170625000000001</v>
      </c>
      <c r="D89" s="120">
        <f t="shared" ref="D89:J89" si="13">+D84*$B$81/2</f>
        <v>18.347874999999998</v>
      </c>
      <c r="E89" s="120">
        <f t="shared" si="13"/>
        <v>15.525124999999996</v>
      </c>
      <c r="F89" s="120">
        <f t="shared" si="13"/>
        <v>12.702374999999995</v>
      </c>
      <c r="G89" s="120">
        <f t="shared" si="13"/>
        <v>9.8796249999999954</v>
      </c>
      <c r="H89" s="120">
        <f t="shared" si="13"/>
        <v>7.0568749999999953</v>
      </c>
      <c r="I89" s="120">
        <f t="shared" si="13"/>
        <v>4.2341249999999961</v>
      </c>
      <c r="J89" s="121">
        <f t="shared" si="13"/>
        <v>1.411374999999996</v>
      </c>
    </row>
    <row r="90" spans="1:10">
      <c r="A90" s="833"/>
      <c r="B90" s="120">
        <f>+B89</f>
        <v>21.170625000000001</v>
      </c>
      <c r="C90" s="120">
        <f>+C85*$B$81/2</f>
        <v>19.759249999999998</v>
      </c>
      <c r="D90" s="120">
        <f t="shared" ref="D90:J90" si="14">+D85*$B$81/2</f>
        <v>16.936499999999995</v>
      </c>
      <c r="E90" s="120">
        <f t="shared" si="14"/>
        <v>14.113749999999994</v>
      </c>
      <c r="F90" s="120">
        <f t="shared" si="14"/>
        <v>11.290999999999995</v>
      </c>
      <c r="G90" s="120">
        <f t="shared" si="14"/>
        <v>8.4682499999999958</v>
      </c>
      <c r="H90" s="120">
        <f t="shared" si="14"/>
        <v>5.6454999999999957</v>
      </c>
      <c r="I90" s="120">
        <f t="shared" si="14"/>
        <v>2.8227499999999961</v>
      </c>
      <c r="J90" s="121">
        <f t="shared" si="14"/>
        <v>-3.9079850466805513E-15</v>
      </c>
    </row>
    <row r="91" spans="1:10">
      <c r="A91" s="252" t="s">
        <v>131</v>
      </c>
      <c r="B91" s="253">
        <f>+B89+B90</f>
        <v>42.341250000000002</v>
      </c>
      <c r="C91" s="253">
        <f>+C89+C90</f>
        <v>40.929874999999996</v>
      </c>
      <c r="D91" s="253">
        <f>+D89+D90</f>
        <v>35.284374999999997</v>
      </c>
      <c r="E91" s="253">
        <f>+E89+E90</f>
        <v>29.638874999999992</v>
      </c>
      <c r="F91" s="253">
        <f>+F89+F90</f>
        <v>23.99337499999999</v>
      </c>
      <c r="G91" s="253">
        <f>+G89+12</f>
        <v>21.879624999999997</v>
      </c>
      <c r="H91" s="253">
        <f>+H89+12</f>
        <v>19.056874999999994</v>
      </c>
      <c r="I91" s="253">
        <f>+I89+12</f>
        <v>16.234124999999995</v>
      </c>
      <c r="J91" s="240">
        <f>+J89+12</f>
        <v>13.411374999999996</v>
      </c>
    </row>
  </sheetData>
  <mergeCells count="26">
    <mergeCell ref="A86:A87"/>
    <mergeCell ref="A89:A90"/>
    <mergeCell ref="A63:D63"/>
    <mergeCell ref="A62:S62"/>
    <mergeCell ref="A79:J79"/>
    <mergeCell ref="A80:J80"/>
    <mergeCell ref="I23:N23"/>
    <mergeCell ref="A1:F1"/>
    <mergeCell ref="A36:E36"/>
    <mergeCell ref="A37:E37"/>
    <mergeCell ref="A40:E40"/>
    <mergeCell ref="B3:B4"/>
    <mergeCell ref="A3:A4"/>
    <mergeCell ref="A5:A6"/>
    <mergeCell ref="B5:B6"/>
    <mergeCell ref="A41:E41"/>
    <mergeCell ref="A45:D45"/>
    <mergeCell ref="A55:C55"/>
    <mergeCell ref="A56:C56"/>
    <mergeCell ref="A7:F7"/>
    <mergeCell ref="A9:A10"/>
    <mergeCell ref="A11:A13"/>
    <mergeCell ref="A15:A22"/>
    <mergeCell ref="E15:E22"/>
    <mergeCell ref="A23:A30"/>
    <mergeCell ref="E23:E3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643DE-1E73-4E9A-827D-AD32D80B3E64}">
  <sheetPr codeName="Sheet8"/>
  <dimension ref="A1:F86"/>
  <sheetViews>
    <sheetView showGridLines="0" topLeftCell="A20" zoomScale="93" zoomScaleNormal="93" workbookViewId="0">
      <selection activeCell="B30" sqref="B30"/>
    </sheetView>
  </sheetViews>
  <sheetFormatPr defaultColWidth="9.140625" defaultRowHeight="15"/>
  <cols>
    <col min="1" max="1" width="40.5703125" style="172" customWidth="1"/>
    <col min="2" max="2" width="54" style="172" bestFit="1" customWidth="1"/>
    <col min="3" max="3" width="28.7109375" style="172" bestFit="1" customWidth="1"/>
    <col min="4" max="4" width="28.7109375" style="172" customWidth="1"/>
    <col min="5" max="5" width="15.28515625" style="172" bestFit="1" customWidth="1"/>
    <col min="6" max="6" width="11.85546875" style="172" bestFit="1" customWidth="1"/>
    <col min="7" max="8" width="12" style="172" bestFit="1" customWidth="1"/>
    <col min="9" max="16384" width="9.140625" style="172"/>
  </cols>
  <sheetData>
    <row r="1" spans="1:6" ht="19.5" hidden="1" customHeight="1">
      <c r="A1" s="843" t="s">
        <v>374</v>
      </c>
      <c r="B1" s="844"/>
      <c r="C1" s="844"/>
      <c r="D1" s="844"/>
      <c r="E1" s="845"/>
    </row>
    <row r="2" spans="1:6" ht="18.75" hidden="1" customHeight="1">
      <c r="A2" s="143"/>
      <c r="B2" s="144"/>
      <c r="C2" s="145"/>
      <c r="D2" s="145"/>
      <c r="E2" s="146" t="s">
        <v>64</v>
      </c>
    </row>
    <row r="3" spans="1:6" ht="15" hidden="1" customHeight="1">
      <c r="A3" s="10" t="s">
        <v>32</v>
      </c>
      <c r="B3" s="11" t="s">
        <v>33</v>
      </c>
      <c r="C3" s="11" t="s">
        <v>50</v>
      </c>
      <c r="D3" s="11"/>
      <c r="E3" s="30">
        <f>E4+E12</f>
        <v>550.54999999999995</v>
      </c>
      <c r="F3" s="346" t="s">
        <v>332</v>
      </c>
    </row>
    <row r="4" spans="1:6" ht="15" hidden="1" customHeight="1">
      <c r="A4" s="8" t="s">
        <v>34</v>
      </c>
      <c r="B4" s="5" t="s">
        <v>35</v>
      </c>
      <c r="C4" s="5"/>
      <c r="D4" s="5"/>
      <c r="E4" s="21">
        <f>SUM(E5:E11)</f>
        <v>407.55</v>
      </c>
    </row>
    <row r="5" spans="1:6" ht="15" hidden="1" customHeight="1">
      <c r="A5" s="9">
        <v>1</v>
      </c>
      <c r="B5" s="6" t="s">
        <v>67</v>
      </c>
      <c r="C5" s="7"/>
      <c r="D5" s="7"/>
      <c r="E5" s="15">
        <v>275</v>
      </c>
      <c r="F5" s="346" t="s">
        <v>333</v>
      </c>
    </row>
    <row r="6" spans="1:6" ht="15" hidden="1" customHeight="1">
      <c r="A6" s="9">
        <v>2</v>
      </c>
      <c r="B6" s="428" t="s">
        <v>36</v>
      </c>
      <c r="C6" s="429"/>
      <c r="D6" s="429">
        <v>0.2</v>
      </c>
      <c r="E6" s="430">
        <v>55</v>
      </c>
    </row>
    <row r="7" spans="1:6" ht="15" hidden="1" customHeight="1">
      <c r="A7" s="9">
        <v>3</v>
      </c>
      <c r="B7" s="428" t="s">
        <v>37</v>
      </c>
      <c r="C7" s="429"/>
      <c r="D7" s="429">
        <v>0.18</v>
      </c>
      <c r="E7" s="430">
        <v>49.5</v>
      </c>
    </row>
    <row r="8" spans="1:6" ht="15" hidden="1" customHeight="1">
      <c r="A8" s="9">
        <v>4</v>
      </c>
      <c r="B8" s="428" t="s">
        <v>38</v>
      </c>
      <c r="C8" s="429"/>
      <c r="D8" s="429">
        <v>0.02</v>
      </c>
      <c r="E8" s="430">
        <v>5.5</v>
      </c>
      <c r="F8" s="172" t="s">
        <v>357</v>
      </c>
    </row>
    <row r="9" spans="1:6" ht="15" hidden="1" customHeight="1">
      <c r="A9" s="9">
        <v>5</v>
      </c>
      <c r="B9" s="428" t="s">
        <v>39</v>
      </c>
      <c r="C9" s="429"/>
      <c r="D9" s="429">
        <v>0.01</v>
      </c>
      <c r="E9" s="430">
        <v>2.75</v>
      </c>
    </row>
    <row r="10" spans="1:6" ht="15" hidden="1" customHeight="1">
      <c r="A10" s="9">
        <v>6</v>
      </c>
      <c r="B10" s="428" t="s">
        <v>40</v>
      </c>
      <c r="C10" s="429"/>
      <c r="D10" s="429">
        <v>0.02</v>
      </c>
      <c r="E10" s="430">
        <v>6.05</v>
      </c>
    </row>
    <row r="11" spans="1:6" ht="15" hidden="1" customHeight="1">
      <c r="A11" s="9">
        <v>7</v>
      </c>
      <c r="B11" s="428" t="s">
        <v>41</v>
      </c>
      <c r="C11" s="429"/>
      <c r="D11" s="429">
        <v>0.05</v>
      </c>
      <c r="E11" s="430">
        <v>13.75</v>
      </c>
    </row>
    <row r="12" spans="1:6" hidden="1">
      <c r="A12" s="9" t="s">
        <v>42</v>
      </c>
      <c r="B12" s="5" t="s">
        <v>43</v>
      </c>
      <c r="C12" s="5"/>
      <c r="D12" s="5"/>
      <c r="E12" s="21">
        <v>143</v>
      </c>
      <c r="F12" s="346" t="s">
        <v>358</v>
      </c>
    </row>
    <row r="13" spans="1:6" ht="15" hidden="1" customHeight="1">
      <c r="A13" s="8" t="s">
        <v>44</v>
      </c>
      <c r="B13" s="5" t="s">
        <v>45</v>
      </c>
      <c r="C13" s="5"/>
      <c r="D13" s="5"/>
      <c r="E13" s="399">
        <v>14</v>
      </c>
      <c r="F13" s="346" t="s">
        <v>339</v>
      </c>
    </row>
    <row r="14" spans="1:6" ht="15" hidden="1" customHeight="1">
      <c r="A14" s="9"/>
      <c r="B14" s="6"/>
      <c r="C14" s="7"/>
      <c r="D14" s="7"/>
      <c r="E14" s="16"/>
      <c r="F14" s="461" t="s">
        <v>375</v>
      </c>
    </row>
    <row r="15" spans="1:6" hidden="1">
      <c r="A15" s="147"/>
      <c r="B15" s="148" t="s">
        <v>46</v>
      </c>
      <c r="C15" s="148" t="s">
        <v>193</v>
      </c>
      <c r="D15" s="148"/>
      <c r="E15" s="319">
        <f>E3+E13</f>
        <v>564.54999999999995</v>
      </c>
    </row>
    <row r="16" spans="1:6" ht="25.5" hidden="1">
      <c r="A16" s="333"/>
      <c r="B16" s="256" t="s">
        <v>91</v>
      </c>
      <c r="C16" s="256" t="s">
        <v>93</v>
      </c>
      <c r="D16" s="427"/>
      <c r="E16" s="332" t="s">
        <v>92</v>
      </c>
    </row>
    <row r="17" spans="1:6" hidden="1">
      <c r="A17" s="846" t="s">
        <v>294</v>
      </c>
      <c r="B17" s="334" t="s">
        <v>85</v>
      </c>
      <c r="C17" s="335">
        <f>E17*C$19</f>
        <v>187</v>
      </c>
      <c r="D17" s="335"/>
      <c r="E17" s="395">
        <v>0.68</v>
      </c>
      <c r="F17" s="346" t="s">
        <v>334</v>
      </c>
    </row>
    <row r="18" spans="1:6" hidden="1">
      <c r="A18" s="846"/>
      <c r="B18" s="334" t="s">
        <v>86</v>
      </c>
      <c r="C18" s="335">
        <f>E18*C$19</f>
        <v>88</v>
      </c>
      <c r="D18" s="335"/>
      <c r="E18" s="395">
        <v>0.32</v>
      </c>
    </row>
    <row r="19" spans="1:6" hidden="1">
      <c r="A19" s="847"/>
      <c r="B19" s="125"/>
      <c r="C19" s="336">
        <f>E5</f>
        <v>275</v>
      </c>
      <c r="D19" s="336"/>
      <c r="E19" s="337"/>
    </row>
    <row r="20" spans="1:6">
      <c r="A20" s="605"/>
      <c r="B20" s="606"/>
      <c r="C20" s="607"/>
      <c r="D20" s="607"/>
      <c r="E20" s="606"/>
    </row>
    <row r="21" spans="1:6">
      <c r="A21" s="605"/>
      <c r="B21" s="606"/>
      <c r="C21" s="607"/>
      <c r="D21" s="607"/>
      <c r="E21" s="606"/>
    </row>
    <row r="22" spans="1:6">
      <c r="A22" s="608" t="s">
        <v>115</v>
      </c>
      <c r="B22" s="608" t="s">
        <v>581</v>
      </c>
      <c r="C22" s="607"/>
      <c r="D22" s="607"/>
      <c r="E22" s="606"/>
    </row>
    <row r="23" spans="1:6">
      <c r="A23" s="161" t="s">
        <v>582</v>
      </c>
      <c r="B23" s="604">
        <v>0</v>
      </c>
      <c r="C23" s="607"/>
      <c r="D23" s="607"/>
      <c r="E23" s="606"/>
    </row>
    <row r="24" spans="1:6">
      <c r="A24" s="161" t="s">
        <v>583</v>
      </c>
      <c r="B24" s="603">
        <f>D41</f>
        <v>8.254999999999999</v>
      </c>
      <c r="C24" s="607"/>
      <c r="D24" s="607"/>
      <c r="E24" s="606"/>
    </row>
    <row r="25" spans="1:6">
      <c r="A25" s="161" t="s">
        <v>584</v>
      </c>
      <c r="B25" s="603">
        <f>B64</f>
        <v>324.84374999999994</v>
      </c>
      <c r="C25" s="607"/>
      <c r="D25" s="607"/>
      <c r="E25" s="606"/>
    </row>
    <row r="26" spans="1:6">
      <c r="A26" s="161" t="s">
        <v>439</v>
      </c>
      <c r="B26" s="603">
        <f>B75</f>
        <v>15</v>
      </c>
      <c r="C26" s="607"/>
      <c r="D26" s="607"/>
      <c r="E26" s="606"/>
    </row>
    <row r="27" spans="1:6">
      <c r="A27" s="161" t="s">
        <v>453</v>
      </c>
      <c r="B27" s="603">
        <f>B49</f>
        <v>20</v>
      </c>
      <c r="C27" s="607"/>
      <c r="D27" s="607"/>
      <c r="E27" s="606"/>
    </row>
    <row r="28" spans="1:6">
      <c r="A28" s="161" t="s">
        <v>585</v>
      </c>
      <c r="B28" s="609">
        <f>B86</f>
        <v>2</v>
      </c>
      <c r="C28" s="607"/>
      <c r="D28" s="607"/>
      <c r="E28" s="606"/>
    </row>
    <row r="29" spans="1:6">
      <c r="A29" s="161" t="s">
        <v>427</v>
      </c>
      <c r="B29" s="603">
        <f>B53</f>
        <v>37.009874999999994</v>
      </c>
      <c r="C29" s="607"/>
      <c r="D29" s="607"/>
      <c r="E29" s="606"/>
    </row>
    <row r="30" spans="1:6">
      <c r="A30" s="161" t="s">
        <v>586</v>
      </c>
      <c r="B30" s="603">
        <f>+B34*C30</f>
        <v>10.757689068401602</v>
      </c>
      <c r="C30" s="607">
        <f>'Bal sheet'!E55</f>
        <v>43.030756273606407</v>
      </c>
      <c r="D30" s="607"/>
      <c r="E30" s="606"/>
    </row>
    <row r="31" spans="1:6">
      <c r="A31" s="610" t="s">
        <v>587</v>
      </c>
      <c r="B31" s="611">
        <f>+SUM(B24:B30)</f>
        <v>417.86631406840155</v>
      </c>
      <c r="C31" s="607"/>
      <c r="D31" s="607"/>
      <c r="E31" s="606"/>
    </row>
    <row r="32" spans="1:6">
      <c r="A32" s="161" t="s">
        <v>588</v>
      </c>
      <c r="B32" s="603">
        <f>'Cashflow '!D132</f>
        <v>34.473970910643125</v>
      </c>
      <c r="C32" s="754"/>
      <c r="D32" s="607"/>
      <c r="E32" s="606"/>
    </row>
    <row r="33" spans="1:5">
      <c r="A33" s="612"/>
      <c r="B33" s="602">
        <f>B32+B31</f>
        <v>452.34028497904467</v>
      </c>
      <c r="C33" s="607"/>
      <c r="D33" s="607"/>
      <c r="E33" s="606"/>
    </row>
    <row r="34" spans="1:5">
      <c r="A34" s="161" t="s">
        <v>510</v>
      </c>
      <c r="B34" s="613">
        <v>0.25</v>
      </c>
      <c r="C34" s="607"/>
      <c r="D34" s="607"/>
      <c r="E34" s="606"/>
    </row>
    <row r="35" spans="1:5">
      <c r="A35" s="605"/>
      <c r="B35" s="606"/>
      <c r="C35" s="607"/>
      <c r="D35" s="607"/>
      <c r="E35" s="606"/>
    </row>
    <row r="36" spans="1:5" ht="41.25" customHeight="1">
      <c r="A36" s="842"/>
      <c r="B36" s="842"/>
      <c r="C36" s="842"/>
      <c r="D36" s="842"/>
      <c r="E36" s="842"/>
    </row>
    <row r="37" spans="1:5">
      <c r="A37" s="496" t="s">
        <v>421</v>
      </c>
      <c r="B37" s="496" t="s">
        <v>422</v>
      </c>
      <c r="C37" s="496" t="s">
        <v>454</v>
      </c>
      <c r="D37" s="496" t="s">
        <v>393</v>
      </c>
    </row>
    <row r="38" spans="1:5">
      <c r="A38" s="496"/>
      <c r="B38" s="496" t="s">
        <v>423</v>
      </c>
      <c r="C38" s="496"/>
      <c r="D38" s="496" t="s">
        <v>64</v>
      </c>
    </row>
    <row r="39" spans="1:5">
      <c r="A39" s="496" t="s">
        <v>424</v>
      </c>
      <c r="B39" s="496">
        <f>31*42</f>
        <v>1302</v>
      </c>
      <c r="C39" s="496">
        <v>25000</v>
      </c>
      <c r="D39" s="499">
        <f>(C39*B39)/10^7</f>
        <v>3.2549999999999999</v>
      </c>
    </row>
    <row r="40" spans="1:5" ht="64.5">
      <c r="A40" s="497" t="s">
        <v>425</v>
      </c>
      <c r="B40" s="500" t="s">
        <v>426</v>
      </c>
      <c r="C40" s="496"/>
      <c r="D40" s="496">
        <v>5</v>
      </c>
    </row>
    <row r="41" spans="1:5">
      <c r="A41" s="496" t="s">
        <v>73</v>
      </c>
      <c r="B41" s="496"/>
      <c r="C41" s="496"/>
      <c r="D41" s="499">
        <f>SUM(D39:D40)</f>
        <v>8.254999999999999</v>
      </c>
    </row>
    <row r="42" spans="1:5">
      <c r="A42" s="496"/>
      <c r="B42" s="496"/>
      <c r="C42" s="496"/>
      <c r="D42" s="496"/>
    </row>
    <row r="43" spans="1:5">
      <c r="A43" s="496"/>
      <c r="B43" s="496"/>
      <c r="C43" s="496"/>
      <c r="D43" s="496"/>
    </row>
    <row r="44" spans="1:5">
      <c r="A44" s="496" t="s">
        <v>427</v>
      </c>
      <c r="B44" s="496"/>
      <c r="C44" s="496"/>
      <c r="D44" s="496"/>
    </row>
    <row r="45" spans="1:5">
      <c r="A45" s="496" t="s">
        <v>9</v>
      </c>
      <c r="B45" s="496" t="s">
        <v>64</v>
      </c>
      <c r="C45" s="496"/>
      <c r="D45" s="496"/>
    </row>
    <row r="46" spans="1:5">
      <c r="A46" s="496" t="s">
        <v>428</v>
      </c>
      <c r="B46" s="499">
        <f>D41</f>
        <v>8.254999999999999</v>
      </c>
      <c r="C46" s="496"/>
      <c r="D46" s="496"/>
    </row>
    <row r="47" spans="1:5">
      <c r="A47" s="496" t="s">
        <v>429</v>
      </c>
      <c r="B47" s="503">
        <f>B64</f>
        <v>324.84374999999994</v>
      </c>
      <c r="C47" s="496"/>
      <c r="D47" s="496"/>
    </row>
    <row r="48" spans="1:5">
      <c r="A48" s="496" t="s">
        <v>439</v>
      </c>
      <c r="B48" s="496">
        <f>B75</f>
        <v>15</v>
      </c>
      <c r="C48" s="496"/>
      <c r="D48" s="496"/>
    </row>
    <row r="49" spans="1:4">
      <c r="A49" s="496" t="s">
        <v>453</v>
      </c>
      <c r="B49" s="496">
        <v>20</v>
      </c>
      <c r="C49" s="496"/>
      <c r="D49" s="496"/>
    </row>
    <row r="50" spans="1:4">
      <c r="A50" s="496" t="s">
        <v>430</v>
      </c>
      <c r="B50" s="496">
        <v>2</v>
      </c>
      <c r="C50" s="496"/>
      <c r="D50" s="496"/>
    </row>
    <row r="51" spans="1:4">
      <c r="A51" s="496" t="s">
        <v>73</v>
      </c>
      <c r="B51" s="503">
        <f>SUM(B46:B50)</f>
        <v>370.09874999999994</v>
      </c>
      <c r="C51" s="496"/>
      <c r="D51" s="496"/>
    </row>
    <row r="52" spans="1:4">
      <c r="A52" s="496"/>
      <c r="B52" s="496"/>
      <c r="C52" s="496"/>
      <c r="D52" s="496"/>
    </row>
    <row r="53" spans="1:4">
      <c r="A53" s="496" t="s">
        <v>431</v>
      </c>
      <c r="B53" s="503">
        <f>B51*0.1</f>
        <v>37.009874999999994</v>
      </c>
      <c r="C53" s="496"/>
      <c r="D53" s="496"/>
    </row>
    <row r="54" spans="1:4">
      <c r="A54" s="496"/>
      <c r="B54" s="496"/>
      <c r="C54" s="496"/>
      <c r="D54" s="496"/>
    </row>
    <row r="55" spans="1:4">
      <c r="A55" s="496"/>
      <c r="B55" s="496"/>
      <c r="C55" s="496"/>
      <c r="D55" s="496"/>
    </row>
    <row r="56" spans="1:4">
      <c r="A56" s="496"/>
      <c r="B56" s="496"/>
      <c r="C56" s="496"/>
      <c r="D56" s="496"/>
    </row>
    <row r="57" spans="1:4">
      <c r="A57" s="496" t="s">
        <v>432</v>
      </c>
      <c r="B57" s="496" t="s">
        <v>64</v>
      </c>
      <c r="C57" s="496"/>
      <c r="D57" s="496"/>
    </row>
    <row r="58" spans="1:4">
      <c r="A58" s="496" t="s">
        <v>433</v>
      </c>
      <c r="B58" s="498">
        <v>275</v>
      </c>
      <c r="C58" s="496"/>
      <c r="D58" s="496"/>
    </row>
    <row r="59" spans="1:4">
      <c r="A59" s="496" t="s">
        <v>434</v>
      </c>
      <c r="B59" s="498">
        <f>5%*B58</f>
        <v>13.75</v>
      </c>
      <c r="C59" s="496"/>
      <c r="D59" s="496"/>
    </row>
    <row r="60" spans="1:4">
      <c r="A60" s="496" t="s">
        <v>435</v>
      </c>
      <c r="B60" s="498">
        <f>1%*(B58+B59)</f>
        <v>2.8875000000000002</v>
      </c>
      <c r="C60" s="496"/>
      <c r="D60" s="496"/>
    </row>
    <row r="61" spans="1:4">
      <c r="A61" s="496" t="s">
        <v>436</v>
      </c>
      <c r="B61" s="498">
        <f>2%*(B58+B59)</f>
        <v>5.7750000000000004</v>
      </c>
      <c r="C61" s="496"/>
      <c r="D61" s="496"/>
    </row>
    <row r="62" spans="1:4">
      <c r="A62" s="496" t="s">
        <v>437</v>
      </c>
      <c r="B62" s="498">
        <f>7.5%*(B58+B59)</f>
        <v>21.65625</v>
      </c>
      <c r="C62" s="496"/>
      <c r="D62" s="496"/>
    </row>
    <row r="63" spans="1:4">
      <c r="A63" s="496" t="s">
        <v>438</v>
      </c>
      <c r="B63" s="498">
        <f>2%*(B58+B59)</f>
        <v>5.7750000000000004</v>
      </c>
      <c r="C63" s="496"/>
      <c r="D63" s="496"/>
    </row>
    <row r="64" spans="1:4">
      <c r="A64" s="496" t="s">
        <v>73</v>
      </c>
      <c r="B64" s="498">
        <f>SUM(B58:B63)</f>
        <v>324.84374999999994</v>
      </c>
      <c r="C64" s="496"/>
      <c r="D64" s="496"/>
    </row>
    <row r="65" spans="1:4">
      <c r="A65" s="496"/>
      <c r="B65" s="496"/>
      <c r="C65" s="496"/>
      <c r="D65" s="496"/>
    </row>
    <row r="66" spans="1:4">
      <c r="A66" s="496" t="s">
        <v>439</v>
      </c>
      <c r="B66" s="496"/>
      <c r="C66" s="496"/>
      <c r="D66" s="496"/>
    </row>
    <row r="67" spans="1:4">
      <c r="A67" s="496"/>
      <c r="B67" s="496"/>
      <c r="C67" s="496"/>
      <c r="D67" s="496"/>
    </row>
    <row r="68" spans="1:4">
      <c r="A68" s="496" t="s">
        <v>440</v>
      </c>
      <c r="B68" s="496"/>
      <c r="C68" s="496"/>
      <c r="D68" s="496"/>
    </row>
    <row r="69" spans="1:4">
      <c r="A69" s="496" t="s">
        <v>441</v>
      </c>
      <c r="B69" s="496"/>
      <c r="C69" s="496"/>
      <c r="D69" s="496"/>
    </row>
    <row r="70" spans="1:4">
      <c r="A70" s="496" t="s">
        <v>442</v>
      </c>
      <c r="B70" s="496"/>
      <c r="C70" s="496"/>
      <c r="D70" s="496"/>
    </row>
    <row r="71" spans="1:4">
      <c r="A71" s="496" t="s">
        <v>443</v>
      </c>
      <c r="B71" s="496"/>
      <c r="C71" s="496"/>
      <c r="D71" s="496"/>
    </row>
    <row r="72" spans="1:4">
      <c r="A72" s="496" t="s">
        <v>444</v>
      </c>
      <c r="B72" s="496"/>
      <c r="C72" s="496"/>
      <c r="D72" s="496"/>
    </row>
    <row r="73" spans="1:4">
      <c r="A73" s="496" t="s">
        <v>445</v>
      </c>
      <c r="B73" s="496"/>
      <c r="C73" s="496"/>
      <c r="D73" s="496"/>
    </row>
    <row r="74" spans="1:4">
      <c r="A74" s="496" t="s">
        <v>456</v>
      </c>
      <c r="B74" s="496"/>
      <c r="C74" s="496"/>
      <c r="D74" s="496"/>
    </row>
    <row r="75" spans="1:4">
      <c r="A75" s="496" t="s">
        <v>73</v>
      </c>
      <c r="B75" s="496">
        <v>15</v>
      </c>
      <c r="C75" s="496"/>
      <c r="D75" s="496"/>
    </row>
    <row r="76" spans="1:4">
      <c r="A76" s="496"/>
      <c r="B76" s="496"/>
      <c r="C76" s="496"/>
      <c r="D76" s="496"/>
    </row>
    <row r="77" spans="1:4">
      <c r="A77" s="496"/>
      <c r="B77" s="496"/>
      <c r="C77" s="496"/>
      <c r="D77" s="496"/>
    </row>
    <row r="78" spans="1:4">
      <c r="A78" s="496" t="s">
        <v>446</v>
      </c>
      <c r="B78" s="496"/>
      <c r="C78" s="496"/>
      <c r="D78" s="496"/>
    </row>
    <row r="79" spans="1:4">
      <c r="A79" s="496"/>
      <c r="B79" s="496"/>
      <c r="C79" s="496"/>
      <c r="D79" s="496"/>
    </row>
    <row r="80" spans="1:4">
      <c r="A80" s="496" t="s">
        <v>9</v>
      </c>
      <c r="B80" s="496" t="s">
        <v>447</v>
      </c>
      <c r="C80" s="496"/>
      <c r="D80" s="496"/>
    </row>
    <row r="81" spans="1:4">
      <c r="A81" s="496" t="s">
        <v>448</v>
      </c>
      <c r="B81" s="496"/>
      <c r="C81" s="496"/>
      <c r="D81" s="496"/>
    </row>
    <row r="82" spans="1:4">
      <c r="A82" s="496" t="s">
        <v>449</v>
      </c>
      <c r="B82" s="496"/>
      <c r="C82" s="496"/>
      <c r="D82" s="496"/>
    </row>
    <row r="83" spans="1:4">
      <c r="A83" s="496" t="s">
        <v>450</v>
      </c>
      <c r="B83" s="496"/>
      <c r="C83" s="496"/>
      <c r="D83" s="496"/>
    </row>
    <row r="84" spans="1:4">
      <c r="A84" s="496" t="s">
        <v>451</v>
      </c>
      <c r="B84" s="496"/>
      <c r="C84" s="496"/>
      <c r="D84" s="496"/>
    </row>
    <row r="85" spans="1:4">
      <c r="A85" s="496" t="s">
        <v>452</v>
      </c>
      <c r="B85" s="496"/>
      <c r="C85" s="496"/>
      <c r="D85" s="496"/>
    </row>
    <row r="86" spans="1:4">
      <c r="A86" s="496" t="s">
        <v>73</v>
      </c>
      <c r="B86" s="496">
        <v>2</v>
      </c>
      <c r="C86" s="496"/>
      <c r="D86" s="496"/>
    </row>
  </sheetData>
  <mergeCells count="3">
    <mergeCell ref="A36:E36"/>
    <mergeCell ref="A1:E1"/>
    <mergeCell ref="A17:A19"/>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0682C-53D5-4142-8C1E-789A57CBD2CE}">
  <sheetPr codeName="Sheet7"/>
  <dimension ref="A1:T29"/>
  <sheetViews>
    <sheetView showGridLines="0" topLeftCell="A3" zoomScale="90" zoomScaleNormal="90" workbookViewId="0">
      <selection activeCell="C18" sqref="C18"/>
    </sheetView>
  </sheetViews>
  <sheetFormatPr defaultColWidth="9.140625" defaultRowHeight="15"/>
  <cols>
    <col min="1" max="1" width="54.140625" style="172" customWidth="1"/>
    <col min="2" max="2" width="17.85546875" style="172" customWidth="1"/>
    <col min="3" max="3" width="18.140625" style="172" customWidth="1"/>
    <col min="4" max="4" width="14.7109375" style="346" customWidth="1"/>
    <col min="5" max="5" width="13.140625" style="172" customWidth="1"/>
    <col min="6" max="6" width="15.140625" style="172" bestFit="1" customWidth="1"/>
    <col min="7" max="7" width="14.42578125" style="172" customWidth="1"/>
    <col min="8" max="8" width="12.28515625" style="172" bestFit="1" customWidth="1"/>
    <col min="9" max="19" width="11.5703125" style="172" bestFit="1" customWidth="1"/>
    <col min="20" max="20" width="15.7109375" style="172" customWidth="1"/>
    <col min="21" max="21" width="15.140625" style="172" customWidth="1"/>
    <col min="22" max="31" width="9.140625" style="172" customWidth="1"/>
    <col min="32" max="16384" width="9.140625" style="172"/>
  </cols>
  <sheetData>
    <row r="1" spans="1:20">
      <c r="A1" s="577" t="s">
        <v>366</v>
      </c>
      <c r="B1" s="578"/>
      <c r="C1" s="578"/>
      <c r="D1" s="579"/>
      <c r="E1" s="580" t="s">
        <v>64</v>
      </c>
    </row>
    <row r="2" spans="1:20">
      <c r="A2" s="152"/>
      <c r="B2" s="153"/>
      <c r="C2" s="153"/>
      <c r="D2" s="341"/>
      <c r="E2" s="154">
        <v>2025</v>
      </c>
      <c r="F2" s="154">
        <v>2026</v>
      </c>
      <c r="G2" s="154">
        <v>2027</v>
      </c>
      <c r="H2" s="154">
        <v>2028</v>
      </c>
      <c r="I2" s="154">
        <v>2029</v>
      </c>
      <c r="J2" s="154">
        <v>2030</v>
      </c>
      <c r="K2" s="154">
        <v>2031</v>
      </c>
      <c r="L2" s="154">
        <v>2032</v>
      </c>
      <c r="M2" s="154">
        <v>2033</v>
      </c>
      <c r="N2" s="154">
        <v>2034</v>
      </c>
      <c r="O2" s="154">
        <v>2035</v>
      </c>
      <c r="P2" s="154">
        <v>2036</v>
      </c>
      <c r="Q2" s="154">
        <v>2037</v>
      </c>
      <c r="R2" s="154">
        <v>2038</v>
      </c>
      <c r="S2" s="154">
        <v>2039</v>
      </c>
    </row>
    <row r="3" spans="1:20" ht="16.5" customHeight="1">
      <c r="A3" s="502" t="s">
        <v>2</v>
      </c>
      <c r="B3" s="155" t="s">
        <v>47</v>
      </c>
      <c r="C3" s="155" t="s">
        <v>48</v>
      </c>
      <c r="D3" s="342"/>
      <c r="E3" s="156">
        <f>E4</f>
        <v>69.358961718749981</v>
      </c>
      <c r="F3" s="3"/>
      <c r="G3" s="3"/>
      <c r="H3" s="3"/>
      <c r="I3" s="3"/>
      <c r="J3" s="3"/>
      <c r="K3" s="3"/>
      <c r="L3" s="3"/>
      <c r="M3" s="3"/>
      <c r="N3" s="3"/>
      <c r="O3" s="3"/>
      <c r="P3" s="3"/>
      <c r="Q3" s="3"/>
      <c r="R3" s="3"/>
      <c r="S3" s="3"/>
    </row>
    <row r="4" spans="1:20">
      <c r="A4" s="581" t="s">
        <v>359</v>
      </c>
      <c r="B4" s="437" t="s">
        <v>49</v>
      </c>
      <c r="C4" s="437" t="s">
        <v>69</v>
      </c>
      <c r="D4" s="435"/>
      <c r="E4" s="436">
        <f>SUM(E5)</f>
        <v>69.358961718749981</v>
      </c>
      <c r="F4" s="157">
        <f>E4+E4*1.41%</f>
        <v>70.336923078984356</v>
      </c>
      <c r="G4" s="157">
        <f>F4+F4*1.54%</f>
        <v>71.420111694400717</v>
      </c>
      <c r="H4" s="157">
        <f>G4+G4*1.47%</f>
        <v>72.469987336308407</v>
      </c>
      <c r="I4" s="157">
        <f>H4+H4*1.21%</f>
        <v>73.346874183077745</v>
      </c>
      <c r="J4" s="157">
        <f>I4+I4*1.34%</f>
        <v>74.329722297130985</v>
      </c>
      <c r="K4" s="157">
        <f>J4+J4*1.31%</f>
        <v>75.303441659223395</v>
      </c>
      <c r="L4" s="157">
        <f>K4+K4*1.35%</f>
        <v>76.320038121622915</v>
      </c>
      <c r="M4" s="157">
        <f>L4+L4*1.5%</f>
        <v>77.464838693447263</v>
      </c>
      <c r="N4" s="157">
        <f>M4+M4*1.04%</f>
        <v>78.27047301585911</v>
      </c>
      <c r="O4" s="157">
        <f>N4+N4*1.12%</f>
        <v>79.147102313636736</v>
      </c>
      <c r="P4" s="157">
        <f>O4+O4*1.15%</f>
        <v>80.057293990243565</v>
      </c>
      <c r="Q4" s="157">
        <f>P4+P4*1.05%</f>
        <v>80.897895577141128</v>
      </c>
      <c r="R4" s="157">
        <f>Q4+Q4*1.03%</f>
        <v>81.731143901585682</v>
      </c>
      <c r="S4" s="157">
        <f>R4+R4*1.02%</f>
        <v>82.564801569381856</v>
      </c>
    </row>
    <row r="5" spans="1:20">
      <c r="A5" s="431" t="s">
        <v>187</v>
      </c>
      <c r="B5" s="432">
        <f>Norms!F3</f>
        <v>23718.749999999996</v>
      </c>
      <c r="C5" s="432">
        <f>Norms!G13</f>
        <v>29242.25</v>
      </c>
      <c r="D5" s="343"/>
      <c r="E5" s="79">
        <f>(B5*C5)/10^7</f>
        <v>69.358961718749981</v>
      </c>
      <c r="F5" s="75"/>
      <c r="G5" s="3"/>
      <c r="H5" s="3"/>
      <c r="I5" s="3"/>
      <c r="J5" s="3"/>
      <c r="K5" s="3"/>
      <c r="L5" s="75"/>
      <c r="M5" s="3"/>
      <c r="N5" s="3"/>
      <c r="O5" s="3"/>
      <c r="P5" s="3"/>
      <c r="Q5" s="3"/>
      <c r="R5" s="3"/>
      <c r="S5" s="3"/>
    </row>
    <row r="6" spans="1:20">
      <c r="A6" s="433" t="s">
        <v>360</v>
      </c>
      <c r="B6" s="434"/>
      <c r="C6" s="434"/>
      <c r="D6" s="435"/>
      <c r="E6" s="438">
        <f>E7+E8+E9+E10</f>
        <v>27.291053783999995</v>
      </c>
      <c r="F6" s="586">
        <f>SUM(F7:F10)</f>
        <v>27.714065117651995</v>
      </c>
      <c r="G6" s="587">
        <f t="shared" ref="G6:S6" si="0">SUM(G7:G10)</f>
        <v>28.149175939999132</v>
      </c>
      <c r="H6" s="587">
        <f t="shared" si="0"/>
        <v>28.551709155941118</v>
      </c>
      <c r="I6" s="587">
        <f t="shared" si="0"/>
        <v>28.951433084124293</v>
      </c>
      <c r="J6" s="587">
        <f t="shared" si="0"/>
        <v>29.33938228745156</v>
      </c>
      <c r="K6" s="587">
        <f t="shared" si="0"/>
        <v>29.73253001010341</v>
      </c>
      <c r="L6" s="587">
        <f t="shared" si="0"/>
        <v>30.130945912238801</v>
      </c>
      <c r="M6" s="587">
        <f t="shared" si="0"/>
        <v>30.534700587462797</v>
      </c>
      <c r="N6" s="587">
        <f t="shared" si="0"/>
        <v>30.943865575334801</v>
      </c>
      <c r="O6" s="587">
        <f t="shared" si="0"/>
        <v>31.358513374044286</v>
      </c>
      <c r="P6" s="587">
        <f t="shared" si="0"/>
        <v>31.778717453256483</v>
      </c>
      <c r="Q6" s="587">
        <f t="shared" si="0"/>
        <v>32.204552267130119</v>
      </c>
      <c r="R6" s="587">
        <f t="shared" si="0"/>
        <v>32.636093267509665</v>
      </c>
      <c r="S6" s="588">
        <f t="shared" si="0"/>
        <v>33.073416917294303</v>
      </c>
    </row>
    <row r="7" spans="1:20">
      <c r="A7" s="78" t="s">
        <v>3</v>
      </c>
      <c r="B7" s="4"/>
      <c r="C7" s="4"/>
      <c r="D7" s="343"/>
      <c r="E7" s="23">
        <f>Norms!G31/10^7</f>
        <v>15.559250783999998</v>
      </c>
      <c r="F7" s="575">
        <f>E7+E7*1.55%</f>
        <v>15.800419171151997</v>
      </c>
      <c r="G7" s="574">
        <f>F7+F7*1.57%</f>
        <v>16.048485752139083</v>
      </c>
      <c r="H7" s="574">
        <f>G7+G7*1.43%</f>
        <v>16.27797909839467</v>
      </c>
      <c r="I7" s="574">
        <f>H7+H7*1.4%</f>
        <v>16.505870805772197</v>
      </c>
      <c r="J7" s="574">
        <f>I7+I7*1.34%</f>
        <v>16.727049474569544</v>
      </c>
      <c r="K7" s="574">
        <f t="shared" ref="K7" si="1">J7+J7*1.34%</f>
        <v>16.951191937528776</v>
      </c>
      <c r="L7" s="574">
        <f t="shared" ref="L7" si="2">K7+K7*1.34%</f>
        <v>17.178337909491663</v>
      </c>
      <c r="M7" s="574">
        <f t="shared" ref="M7" si="3">L7+L7*1.34%</f>
        <v>17.408527637478851</v>
      </c>
      <c r="N7" s="574">
        <f t="shared" ref="N7" si="4">M7+M7*1.34%</f>
        <v>17.641801907821069</v>
      </c>
      <c r="O7" s="574">
        <f t="shared" ref="O7" si="5">N7+N7*1.34%</f>
        <v>17.87820205338587</v>
      </c>
      <c r="P7" s="574">
        <f t="shared" ref="P7" si="6">O7+O7*1.34%</f>
        <v>18.117769960901242</v>
      </c>
      <c r="Q7" s="574">
        <f t="shared" ref="Q7" si="7">P7+P7*1.34%</f>
        <v>18.36054807837732</v>
      </c>
      <c r="R7" s="574">
        <f t="shared" ref="R7" si="8">Q7+Q7*1.34%</f>
        <v>18.606579422627576</v>
      </c>
      <c r="S7" s="576">
        <f t="shared" ref="S7" si="9">R7+R7*1.34%</f>
        <v>18.855907586890787</v>
      </c>
    </row>
    <row r="8" spans="1:20">
      <c r="A8" s="338" t="s">
        <v>361</v>
      </c>
      <c r="B8" s="4"/>
      <c r="C8" s="4"/>
      <c r="D8" s="343"/>
      <c r="E8" s="23">
        <f>Norms!D53/100</f>
        <v>9.9100000000000008E-2</v>
      </c>
      <c r="F8" s="575">
        <f>E8+E8*1.55%</f>
        <v>0.10063605</v>
      </c>
      <c r="G8" s="574">
        <f>F8+F8*1.57%</f>
        <v>0.10221603598500001</v>
      </c>
      <c r="H8" s="574">
        <f>G8+G8*1.43%</f>
        <v>0.10367772529958551</v>
      </c>
      <c r="I8" s="574">
        <f>H8+H8*1.4%</f>
        <v>0.10512921345377971</v>
      </c>
      <c r="J8" s="574">
        <f>I8+I8*1.34%</f>
        <v>0.10653794491406035</v>
      </c>
      <c r="K8" s="574">
        <f t="shared" ref="K8:K9" si="10">J8+J8*1.34%</f>
        <v>0.10796555337590875</v>
      </c>
      <c r="L8" s="574">
        <f t="shared" ref="L8:L9" si="11">K8+K8*1.34%</f>
        <v>0.10941229179114594</v>
      </c>
      <c r="M8" s="574">
        <f t="shared" ref="M8:M9" si="12">L8+L8*1.34%</f>
        <v>0.1108784165011473</v>
      </c>
      <c r="N8" s="574">
        <f t="shared" ref="N8:N9" si="13">M8+M8*1.34%</f>
        <v>0.11236418728226268</v>
      </c>
      <c r="O8" s="574">
        <f t="shared" ref="O8:O9" si="14">N8+N8*1.34%</f>
        <v>0.113869867391845</v>
      </c>
      <c r="P8" s="574">
        <f t="shared" ref="P8:P9" si="15">O8+O8*1.34%</f>
        <v>0.11539572361489572</v>
      </c>
      <c r="Q8" s="574">
        <f t="shared" ref="Q8:Q9" si="16">P8+P8*1.34%</f>
        <v>0.11694202631133532</v>
      </c>
      <c r="R8" s="574">
        <f t="shared" ref="R8:R9" si="17">Q8+Q8*1.34%</f>
        <v>0.11850904946390722</v>
      </c>
      <c r="S8" s="576">
        <f t="shared" ref="S8:S9" si="18">R8+R8*1.34%</f>
        <v>0.12009707072672358</v>
      </c>
    </row>
    <row r="9" spans="1:20" ht="29.25" customHeight="1">
      <c r="A9" s="338" t="s">
        <v>363</v>
      </c>
      <c r="B9" s="4"/>
      <c r="C9" s="4"/>
      <c r="D9" s="598">
        <v>0.02</v>
      </c>
      <c r="E9" s="571">
        <f>D9*Capex!E15</f>
        <v>11.290999999999999</v>
      </c>
      <c r="F9" s="594">
        <f>E9+E9*1.55%</f>
        <v>11.466010499999999</v>
      </c>
      <c r="G9" s="595">
        <f>F9+F9*1.57%</f>
        <v>11.646026864849999</v>
      </c>
      <c r="H9" s="595">
        <f>G9+G9*1.43%</f>
        <v>11.812565049017353</v>
      </c>
      <c r="I9" s="595">
        <f>H9+H9*1.4%</f>
        <v>11.977940959703597</v>
      </c>
      <c r="J9" s="595">
        <f>I9+I9*1.34%</f>
        <v>12.138445368563625</v>
      </c>
      <c r="K9" s="595">
        <f t="shared" si="10"/>
        <v>12.301100536502377</v>
      </c>
      <c r="L9" s="595">
        <f t="shared" si="11"/>
        <v>12.465935283691509</v>
      </c>
      <c r="M9" s="595">
        <f t="shared" si="12"/>
        <v>12.632978816492976</v>
      </c>
      <c r="N9" s="595">
        <f t="shared" si="13"/>
        <v>12.802260732633982</v>
      </c>
      <c r="O9" s="595">
        <f t="shared" si="14"/>
        <v>12.973811026451278</v>
      </c>
      <c r="P9" s="595">
        <f t="shared" si="15"/>
        <v>13.147660094205726</v>
      </c>
      <c r="Q9" s="595">
        <f t="shared" si="16"/>
        <v>13.323838739468084</v>
      </c>
      <c r="R9" s="595">
        <f t="shared" si="17"/>
        <v>13.502378178576956</v>
      </c>
      <c r="S9" s="596">
        <f t="shared" si="18"/>
        <v>13.683310046169888</v>
      </c>
      <c r="T9" s="173"/>
    </row>
    <row r="10" spans="1:20" ht="14.25" customHeight="1">
      <c r="A10" s="339" t="s">
        <v>267</v>
      </c>
      <c r="B10" s="73"/>
      <c r="C10" s="73"/>
      <c r="D10" s="344">
        <v>0.03</v>
      </c>
      <c r="E10" s="572">
        <f>D10*(E9+E8)</f>
        <v>0.34170299999999992</v>
      </c>
      <c r="F10" s="575">
        <f>E10+E10*1.55%</f>
        <v>0.34699939649999995</v>
      </c>
      <c r="G10" s="574">
        <f>F10+F10*1.57%</f>
        <v>0.35244728702504996</v>
      </c>
      <c r="H10" s="574">
        <f>G10+G10*1.43%</f>
        <v>0.35748728322950818</v>
      </c>
      <c r="I10" s="574">
        <f>H10+H10*1.4%</f>
        <v>0.3624921051947213</v>
      </c>
      <c r="J10" s="574">
        <f>I10+I10*1.34%</f>
        <v>0.36734949940433059</v>
      </c>
      <c r="K10" s="574">
        <f t="shared" ref="K10" si="19">J10+J10*1.34%</f>
        <v>0.37227198269634865</v>
      </c>
      <c r="L10" s="574">
        <f t="shared" ref="L10" si="20">K10+K10*1.34%</f>
        <v>0.37726042726447973</v>
      </c>
      <c r="M10" s="574">
        <f t="shared" ref="M10" si="21">L10+L10*1.34%</f>
        <v>0.38231571698982375</v>
      </c>
      <c r="N10" s="574">
        <f t="shared" ref="N10" si="22">M10+M10*1.34%</f>
        <v>0.38743874759748737</v>
      </c>
      <c r="O10" s="574">
        <f t="shared" ref="O10" si="23">N10+N10*1.34%</f>
        <v>0.3926304268152937</v>
      </c>
      <c r="P10" s="574">
        <f t="shared" ref="P10" si="24">O10+O10*1.34%</f>
        <v>0.39789167453461866</v>
      </c>
      <c r="Q10" s="574">
        <f t="shared" ref="Q10" si="25">P10+P10*1.34%</f>
        <v>0.40322342297338254</v>
      </c>
      <c r="R10" s="574">
        <f t="shared" ref="R10" si="26">Q10+Q10*1.34%</f>
        <v>0.40862661684122586</v>
      </c>
      <c r="S10" s="576">
        <f t="shared" ref="S10" si="27">R10+R10*1.34%</f>
        <v>0.4141022135068983</v>
      </c>
    </row>
    <row r="11" spans="1:20" ht="14.25" customHeight="1">
      <c r="A11" s="439" t="s">
        <v>13</v>
      </c>
      <c r="B11" s="440"/>
      <c r="C11" s="440"/>
      <c r="D11" s="441">
        <v>6.5000000000000002E-2</v>
      </c>
      <c r="E11" s="573">
        <f>D11*Capex!E3</f>
        <v>35.78575</v>
      </c>
      <c r="F11" s="589">
        <f>E11+E11*1.55%</f>
        <v>36.340429125</v>
      </c>
      <c r="G11" s="585">
        <f t="shared" ref="G11:S11" si="28">F11+F11*1.55%</f>
        <v>36.903705776437498</v>
      </c>
      <c r="H11" s="585">
        <f t="shared" si="28"/>
        <v>37.475713215972277</v>
      </c>
      <c r="I11" s="585">
        <f t="shared" si="28"/>
        <v>38.056586770819848</v>
      </c>
      <c r="J11" s="585">
        <f t="shared" si="28"/>
        <v>38.646463865767558</v>
      </c>
      <c r="K11" s="585">
        <f t="shared" si="28"/>
        <v>39.245484055686958</v>
      </c>
      <c r="L11" s="585">
        <f t="shared" si="28"/>
        <v>39.853789058550106</v>
      </c>
      <c r="M11" s="585">
        <f t="shared" si="28"/>
        <v>40.471522788957635</v>
      </c>
      <c r="N11" s="585">
        <f t="shared" si="28"/>
        <v>41.098831392186476</v>
      </c>
      <c r="O11" s="585">
        <f t="shared" si="28"/>
        <v>41.735863278765365</v>
      </c>
      <c r="P11" s="585">
        <f t="shared" si="28"/>
        <v>42.382769159586225</v>
      </c>
      <c r="Q11" s="585">
        <f t="shared" si="28"/>
        <v>43.03970208155981</v>
      </c>
      <c r="R11" s="585">
        <f t="shared" si="28"/>
        <v>43.706817463823988</v>
      </c>
      <c r="S11" s="590">
        <f t="shared" si="28"/>
        <v>44.384273134513258</v>
      </c>
    </row>
    <row r="12" spans="1:20" ht="14.25" customHeight="1">
      <c r="A12" s="582" t="s">
        <v>362</v>
      </c>
      <c r="B12" s="583"/>
      <c r="C12" s="583"/>
      <c r="D12" s="584"/>
      <c r="E12" s="597">
        <f>Norms!B91</f>
        <v>42.341250000000002</v>
      </c>
      <c r="F12" s="591">
        <f>Norms!C91</f>
        <v>40.929874999999996</v>
      </c>
      <c r="G12" s="592">
        <f>Norms!D91</f>
        <v>35.284374999999997</v>
      </c>
      <c r="H12" s="592">
        <f>Norms!E91</f>
        <v>29.638874999999992</v>
      </c>
      <c r="I12" s="592">
        <f>Norms!F91</f>
        <v>23.99337499999999</v>
      </c>
      <c r="J12" s="592">
        <f>Norms!G91</f>
        <v>21.879624999999997</v>
      </c>
      <c r="K12" s="592">
        <f>Norms!H91</f>
        <v>19.056874999999994</v>
      </c>
      <c r="L12" s="592">
        <f>Norms!I91</f>
        <v>16.234124999999995</v>
      </c>
      <c r="M12" s="592">
        <f>Norms!J91</f>
        <v>13.411374999999996</v>
      </c>
      <c r="N12" s="592">
        <f>Norms!K91</f>
        <v>0</v>
      </c>
      <c r="O12" s="592">
        <f>Norms!L91</f>
        <v>0</v>
      </c>
      <c r="P12" s="592">
        <f>Norms!M91</f>
        <v>0</v>
      </c>
      <c r="Q12" s="592">
        <f>Norms!N91</f>
        <v>0</v>
      </c>
      <c r="R12" s="592">
        <f>Norms!O91</f>
        <v>0</v>
      </c>
      <c r="S12" s="593">
        <f>Norms!P91</f>
        <v>0</v>
      </c>
    </row>
    <row r="13" spans="1:20" ht="17.25" customHeight="1">
      <c r="A13" s="213" t="s">
        <v>8</v>
      </c>
      <c r="B13" s="214"/>
      <c r="C13" s="214"/>
      <c r="D13" s="345"/>
      <c r="E13" s="215">
        <f>E3+E6</f>
        <v>96.65001550274998</v>
      </c>
    </row>
    <row r="14" spans="1:20">
      <c r="A14" s="152" t="s">
        <v>293</v>
      </c>
      <c r="B14" s="153"/>
      <c r="C14" s="153"/>
      <c r="D14" s="341"/>
      <c r="E14" s="154" t="s">
        <v>64</v>
      </c>
      <c r="F14" s="2"/>
      <c r="G14"/>
      <c r="H14" s="140"/>
      <c r="I14" s="3"/>
      <c r="J14"/>
      <c r="K14"/>
      <c r="L14" s="2"/>
      <c r="M14"/>
      <c r="N14"/>
      <c r="O14"/>
      <c r="P14"/>
      <c r="Q14"/>
      <c r="R14"/>
      <c r="S14"/>
    </row>
    <row r="15" spans="1:20">
      <c r="A15" s="152"/>
      <c r="B15" s="153"/>
      <c r="C15" s="153"/>
      <c r="D15" s="341"/>
      <c r="E15" s="154">
        <v>2025</v>
      </c>
      <c r="F15" s="154">
        <v>2026</v>
      </c>
      <c r="G15" s="154">
        <v>2027</v>
      </c>
      <c r="H15" s="154">
        <v>2028</v>
      </c>
      <c r="I15" s="154">
        <v>2029</v>
      </c>
      <c r="J15" s="154">
        <v>2030</v>
      </c>
      <c r="K15" s="154">
        <v>2031</v>
      </c>
      <c r="L15" s="154">
        <v>2032</v>
      </c>
      <c r="M15" s="154">
        <v>2033</v>
      </c>
      <c r="N15" s="154">
        <v>2034</v>
      </c>
      <c r="O15" s="154">
        <v>2035</v>
      </c>
      <c r="P15" s="154">
        <v>2036</v>
      </c>
      <c r="Q15" s="154">
        <v>2037</v>
      </c>
      <c r="R15" s="154">
        <v>2038</v>
      </c>
      <c r="S15" s="154">
        <v>2039</v>
      </c>
    </row>
    <row r="16" spans="1:20">
      <c r="A16" s="255" t="s">
        <v>2</v>
      </c>
      <c r="B16" s="155" t="s">
        <v>47</v>
      </c>
      <c r="C16" s="155" t="s">
        <v>48</v>
      </c>
      <c r="D16" s="342"/>
      <c r="E16" s="156">
        <f>E17+E21</f>
        <v>149.79818835521726</v>
      </c>
      <c r="F16" s="3"/>
      <c r="G16" s="3"/>
      <c r="H16" s="3"/>
      <c r="I16" s="3"/>
      <c r="J16" s="3"/>
      <c r="K16" s="3"/>
      <c r="L16" s="3"/>
      <c r="M16" s="3"/>
      <c r="N16" s="3"/>
      <c r="O16" s="3"/>
      <c r="P16" s="3"/>
      <c r="Q16" s="3"/>
      <c r="R16" s="3"/>
      <c r="S16" s="3"/>
    </row>
    <row r="17" spans="1:19" ht="18" customHeight="1">
      <c r="A17" s="444" t="s">
        <v>364</v>
      </c>
      <c r="B17" s="445" t="s">
        <v>49</v>
      </c>
      <c r="C17" s="445" t="s">
        <v>69</v>
      </c>
      <c r="D17" s="446"/>
      <c r="E17" s="447">
        <f>SUM(E18:E19)</f>
        <v>149.79818835521726</v>
      </c>
      <c r="F17" s="157">
        <f>E17+E17*1.41%</f>
        <v>151.91034281102583</v>
      </c>
      <c r="G17" s="157">
        <f>F17+F17*1.54%</f>
        <v>154.24976209031561</v>
      </c>
      <c r="H17" s="157">
        <f>G17+G17*1.47%</f>
        <v>156.51723359304324</v>
      </c>
      <c r="I17" s="157">
        <f>H17+H17*1.21%</f>
        <v>158.41109211951905</v>
      </c>
      <c r="J17" s="157">
        <f>I17+I17*1.34%</f>
        <v>160.53380075392062</v>
      </c>
      <c r="K17" s="157">
        <f>J17+J17*1.31%</f>
        <v>162.63679354379698</v>
      </c>
      <c r="L17" s="157">
        <f>K17+K17*1.35%</f>
        <v>164.83239025663823</v>
      </c>
      <c r="M17" s="157">
        <f>L17+L17*1.5%</f>
        <v>167.30487611048781</v>
      </c>
      <c r="N17" s="157">
        <f>M17+M17*1.04%</f>
        <v>169.04484682203687</v>
      </c>
      <c r="O17" s="157">
        <f>N17+N17*1.12%</f>
        <v>170.93814910644369</v>
      </c>
      <c r="P17" s="157">
        <f>O17+O17*1.15%</f>
        <v>172.9039378211678</v>
      </c>
      <c r="Q17" s="157">
        <f>P17+P17*1.05%</f>
        <v>174.71942916829008</v>
      </c>
      <c r="R17" s="157">
        <f>Q17+Q17*1.03%</f>
        <v>176.51903928872346</v>
      </c>
      <c r="S17" s="157">
        <f>R17+R17*1.02%</f>
        <v>178.31953348946845</v>
      </c>
    </row>
    <row r="18" spans="1:19" ht="16.5" customHeight="1">
      <c r="A18" s="431" t="s">
        <v>187</v>
      </c>
      <c r="B18" s="432">
        <f>Norms!F6</f>
        <v>21300</v>
      </c>
      <c r="C18" s="432">
        <f>Norms!G13</f>
        <v>29242.25</v>
      </c>
      <c r="D18" s="343"/>
      <c r="E18" s="79">
        <f>(B18*C18)/10^7</f>
        <v>62.285992499999999</v>
      </c>
      <c r="F18" s="75"/>
      <c r="G18" s="3"/>
      <c r="H18" s="3"/>
      <c r="I18" s="3"/>
      <c r="J18" s="3"/>
      <c r="K18" s="3"/>
      <c r="L18" s="75"/>
      <c r="M18" s="3"/>
      <c r="N18" s="3"/>
      <c r="O18" s="3"/>
      <c r="P18" s="3"/>
      <c r="Q18" s="3"/>
      <c r="R18" s="3"/>
      <c r="S18" s="3"/>
    </row>
    <row r="19" spans="1:19" ht="15.75" customHeight="1">
      <c r="A19" s="431" t="s">
        <v>292</v>
      </c>
      <c r="B19" s="432">
        <f>Norms!F5</f>
        <v>74700</v>
      </c>
      <c r="C19" s="432">
        <f>(E13*10000000)/Norms!B3</f>
        <v>11715.153394272726</v>
      </c>
      <c r="D19" s="343"/>
      <c r="E19" s="79">
        <f>(B19*C19)/10^7</f>
        <v>87.512195855217257</v>
      </c>
      <c r="F19" s="75"/>
      <c r="G19" s="3"/>
      <c r="H19" s="3"/>
      <c r="I19" s="3"/>
      <c r="J19" s="3"/>
      <c r="K19" s="3"/>
      <c r="L19" s="75"/>
      <c r="M19" s="3"/>
      <c r="N19" s="3"/>
      <c r="O19" s="3"/>
      <c r="P19" s="3"/>
      <c r="Q19" s="3"/>
      <c r="R19" s="3"/>
      <c r="S19" s="3"/>
    </row>
    <row r="20" spans="1:19" ht="15.75" customHeight="1">
      <c r="A20" s="448" t="s">
        <v>365</v>
      </c>
      <c r="B20" s="437"/>
      <c r="C20" s="437"/>
      <c r="D20" s="442"/>
      <c r="E20" s="449"/>
      <c r="F20" s="75"/>
      <c r="G20" s="3"/>
      <c r="H20" s="3"/>
      <c r="I20" s="3"/>
      <c r="J20" s="3"/>
      <c r="K20" s="3"/>
      <c r="L20" s="75"/>
      <c r="M20" s="3"/>
      <c r="N20" s="3"/>
      <c r="O20" s="3"/>
      <c r="P20" s="3"/>
      <c r="Q20" s="3"/>
      <c r="R20" s="3"/>
      <c r="S20" s="3"/>
    </row>
    <row r="21" spans="1:19">
      <c r="A21" s="78" t="s">
        <v>3</v>
      </c>
      <c r="B21" s="4"/>
      <c r="C21" s="4"/>
      <c r="D21" s="343"/>
      <c r="E21" s="79">
        <v>0</v>
      </c>
      <c r="F21" s="443">
        <f>E21+E21*1.55%</f>
        <v>0</v>
      </c>
      <c r="G21" s="245">
        <f>F21+F21*1.57%</f>
        <v>0</v>
      </c>
      <c r="H21" s="245">
        <f>G21+G21*1.43%</f>
        <v>0</v>
      </c>
      <c r="I21" s="245">
        <f>H21+H21*1.4%</f>
        <v>0</v>
      </c>
      <c r="J21" s="245">
        <f>I21+I21*1.34%</f>
        <v>0</v>
      </c>
      <c r="K21" s="245">
        <f t="shared" ref="K21" si="29">J21+J21*1.34%</f>
        <v>0</v>
      </c>
      <c r="L21" s="245">
        <f t="shared" ref="L21" si="30">K21+K21*1.34%</f>
        <v>0</v>
      </c>
      <c r="M21" s="245">
        <f t="shared" ref="M21" si="31">L21+L21*1.34%</f>
        <v>0</v>
      </c>
      <c r="N21" s="245">
        <f t="shared" ref="N21" si="32">M21+M21*1.34%</f>
        <v>0</v>
      </c>
      <c r="O21" s="245">
        <f t="shared" ref="O21" si="33">N21+N21*1.34%</f>
        <v>0</v>
      </c>
      <c r="P21" s="245">
        <f t="shared" ref="P21" si="34">O21+O21*1.34%</f>
        <v>0</v>
      </c>
      <c r="Q21" s="245">
        <f t="shared" ref="Q21" si="35">P21+P21*1.34%</f>
        <v>0</v>
      </c>
      <c r="R21" s="245">
        <f t="shared" ref="R21" si="36">Q21+Q21*1.34%</f>
        <v>0</v>
      </c>
      <c r="S21" s="245">
        <f t="shared" ref="S21" si="37">R21+R21*1.34%</f>
        <v>0</v>
      </c>
    </row>
    <row r="22" spans="1:19">
      <c r="A22" s="213" t="s">
        <v>8</v>
      </c>
      <c r="B22" s="214"/>
      <c r="C22" s="214"/>
      <c r="D22" s="345"/>
      <c r="E22" s="215">
        <f>+E16</f>
        <v>149.79818835521726</v>
      </c>
      <c r="F22" s="805">
        <f>E22*100</f>
        <v>14979.818835521726</v>
      </c>
      <c r="G22" s="3"/>
      <c r="H22" s="140"/>
      <c r="I22" s="3"/>
      <c r="J22" s="3"/>
      <c r="K22" s="3"/>
      <c r="L22" s="2"/>
      <c r="M22" s="3"/>
      <c r="N22" s="3"/>
      <c r="O22" s="3"/>
      <c r="P22" s="3"/>
      <c r="Q22" s="3"/>
      <c r="R22" s="3"/>
      <c r="S22" s="3"/>
    </row>
    <row r="24" spans="1:19">
      <c r="A24" s="346" t="s">
        <v>340</v>
      </c>
    </row>
    <row r="25" spans="1:19">
      <c r="A25" s="346" t="s">
        <v>341</v>
      </c>
    </row>
    <row r="26" spans="1:19">
      <c r="A26" s="346" t="s">
        <v>343</v>
      </c>
    </row>
    <row r="27" spans="1:19">
      <c r="A27" s="346" t="s">
        <v>344</v>
      </c>
    </row>
    <row r="28" spans="1:19">
      <c r="A28" s="346" t="s">
        <v>342</v>
      </c>
    </row>
    <row r="29" spans="1:19">
      <c r="A29" s="346"/>
    </row>
  </sheetData>
  <phoneticPr fontId="3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9325F-BCCC-47C6-8D18-0634DEA35A88}">
  <sheetPr codeName="Sheet9"/>
  <dimension ref="A1:V183"/>
  <sheetViews>
    <sheetView showGridLines="0" zoomScale="85" zoomScaleNormal="85" workbookViewId="0">
      <pane ySplit="8" topLeftCell="A9" activePane="bottomLeft" state="frozen"/>
      <selection activeCell="E28" sqref="E28"/>
      <selection pane="bottomLeft" activeCell="B20" sqref="B20"/>
    </sheetView>
  </sheetViews>
  <sheetFormatPr defaultColWidth="8.7109375" defaultRowHeight="12.75"/>
  <cols>
    <col min="1" max="1" width="8.85546875" style="174" bestFit="1" customWidth="1"/>
    <col min="2" max="2" width="60" style="175" bestFit="1" customWidth="1"/>
    <col min="3" max="3" width="20" style="175" bestFit="1" customWidth="1"/>
    <col min="4" max="4" width="17.28515625" style="175" bestFit="1" customWidth="1"/>
    <col min="5" max="5" width="11.140625" style="175" customWidth="1"/>
    <col min="6" max="6" width="18" style="176" bestFit="1" customWidth="1"/>
    <col min="7" max="7" width="17.140625" style="176" customWidth="1"/>
    <col min="8" max="8" width="18.5703125" style="176" bestFit="1" customWidth="1"/>
    <col min="9" max="9" width="18.7109375" style="176" bestFit="1" customWidth="1"/>
    <col min="10" max="10" width="18.5703125" style="176" bestFit="1" customWidth="1"/>
    <col min="11" max="12" width="18.7109375" style="176" bestFit="1" customWidth="1"/>
    <col min="13" max="16" width="18.5703125" style="176" customWidth="1"/>
    <col min="17" max="18" width="18.5703125" style="23" customWidth="1"/>
    <col min="19" max="20" width="18.5703125" style="175" customWidth="1"/>
    <col min="21" max="16384" width="8.7109375" style="175"/>
  </cols>
  <sheetData>
    <row r="1" spans="1:20" ht="21" customHeight="1">
      <c r="A1" s="849" t="s">
        <v>374</v>
      </c>
      <c r="B1" s="850"/>
      <c r="C1" s="850"/>
      <c r="D1" s="850"/>
      <c r="E1" s="128"/>
      <c r="F1" s="128"/>
      <c r="G1" s="128"/>
      <c r="H1" s="128"/>
      <c r="I1" s="128"/>
      <c r="J1" s="128"/>
      <c r="K1" s="128"/>
      <c r="L1" s="128"/>
      <c r="M1" s="128"/>
      <c r="N1" s="128"/>
      <c r="O1" s="128"/>
      <c r="P1" s="128"/>
      <c r="Q1" s="128"/>
      <c r="R1" s="128"/>
      <c r="S1" s="128"/>
      <c r="T1" s="128"/>
    </row>
    <row r="2" spans="1:20" s="178" customFormat="1" ht="15" customHeight="1">
      <c r="A2" s="849" t="s">
        <v>178</v>
      </c>
      <c r="B2" s="850"/>
      <c r="C2" s="192">
        <v>1</v>
      </c>
      <c r="D2" s="192">
        <v>2</v>
      </c>
      <c r="E2" s="192"/>
      <c r="F2" s="192">
        <v>3</v>
      </c>
      <c r="G2" s="192">
        <v>4</v>
      </c>
      <c r="H2" s="192">
        <v>5</v>
      </c>
      <c r="I2" s="192">
        <v>6</v>
      </c>
      <c r="J2" s="192">
        <v>7</v>
      </c>
      <c r="K2" s="192">
        <v>8</v>
      </c>
      <c r="L2" s="192">
        <v>9</v>
      </c>
      <c r="M2" s="192">
        <v>10</v>
      </c>
      <c r="N2" s="192">
        <v>11</v>
      </c>
      <c r="O2" s="192">
        <v>12</v>
      </c>
      <c r="P2" s="192">
        <v>13</v>
      </c>
      <c r="Q2" s="192">
        <v>14</v>
      </c>
      <c r="R2" s="192">
        <v>15</v>
      </c>
      <c r="S2" s="192">
        <v>16</v>
      </c>
      <c r="T2" s="192">
        <v>17</v>
      </c>
    </row>
    <row r="3" spans="1:20" s="178" customFormat="1" ht="15" customHeight="1">
      <c r="A3" s="857" t="s">
        <v>84</v>
      </c>
      <c r="B3" s="858"/>
      <c r="C3" s="28"/>
      <c r="D3" s="28"/>
      <c r="E3" s="28"/>
      <c r="F3" s="403">
        <v>0.7</v>
      </c>
      <c r="G3" s="403">
        <v>0.9</v>
      </c>
      <c r="H3" s="403">
        <v>0.95</v>
      </c>
      <c r="I3" s="403">
        <v>0.95</v>
      </c>
      <c r="J3" s="403">
        <v>0.95</v>
      </c>
      <c r="K3" s="403">
        <v>0.95</v>
      </c>
      <c r="L3" s="403">
        <v>0.95</v>
      </c>
      <c r="M3" s="403">
        <v>0.95</v>
      </c>
      <c r="N3" s="403">
        <v>0.95</v>
      </c>
      <c r="O3" s="403">
        <v>0.95</v>
      </c>
      <c r="P3" s="403">
        <v>0.95</v>
      </c>
      <c r="Q3" s="403">
        <v>0.95</v>
      </c>
      <c r="R3" s="403">
        <v>0.95</v>
      </c>
      <c r="S3" s="403">
        <v>0.95</v>
      </c>
      <c r="T3" s="403">
        <v>0.95</v>
      </c>
    </row>
    <row r="4" spans="1:20" ht="15" customHeight="1">
      <c r="A4" s="855" t="s">
        <v>9</v>
      </c>
      <c r="B4" s="856"/>
      <c r="C4" s="185"/>
      <c r="D4" s="185"/>
      <c r="E4" s="195"/>
      <c r="F4" s="848" t="s">
        <v>10</v>
      </c>
      <c r="G4" s="848"/>
      <c r="H4" s="848"/>
      <c r="I4" s="848"/>
      <c r="J4" s="848"/>
      <c r="K4" s="848"/>
      <c r="L4" s="848"/>
      <c r="M4" s="848"/>
      <c r="N4" s="848"/>
      <c r="O4" s="848"/>
      <c r="P4" s="848"/>
      <c r="Q4" s="848"/>
      <c r="R4" s="848"/>
      <c r="S4" s="848"/>
      <c r="T4" s="848"/>
    </row>
    <row r="5" spans="1:20">
      <c r="A5" s="196"/>
      <c r="B5" s="851"/>
      <c r="C5" s="197">
        <v>2023</v>
      </c>
      <c r="D5" s="197">
        <v>2024</v>
      </c>
      <c r="E5" s="197" t="s">
        <v>73</v>
      </c>
      <c r="F5" s="197">
        <v>2025</v>
      </c>
      <c r="G5" s="197">
        <v>2026</v>
      </c>
      <c r="H5" s="197">
        <v>2027</v>
      </c>
      <c r="I5" s="197">
        <v>2028</v>
      </c>
      <c r="J5" s="197">
        <v>2029</v>
      </c>
      <c r="K5" s="197">
        <v>2030</v>
      </c>
      <c r="L5" s="197">
        <v>2031</v>
      </c>
      <c r="M5" s="197">
        <v>2032</v>
      </c>
      <c r="N5" s="197">
        <v>2033</v>
      </c>
      <c r="O5" s="197">
        <v>2034</v>
      </c>
      <c r="P5" s="197">
        <v>2035</v>
      </c>
      <c r="Q5" s="197">
        <v>2036</v>
      </c>
      <c r="R5" s="197">
        <v>2037</v>
      </c>
      <c r="S5" s="197">
        <v>2038</v>
      </c>
      <c r="T5" s="197">
        <v>2039</v>
      </c>
    </row>
    <row r="6" spans="1:20">
      <c r="A6" s="198"/>
      <c r="B6" s="812"/>
      <c r="C6" s="400">
        <v>0.4</v>
      </c>
      <c r="D6" s="400">
        <v>0.6</v>
      </c>
      <c r="E6" s="199"/>
      <c r="F6" s="193"/>
      <c r="G6" s="193"/>
      <c r="H6" s="193"/>
      <c r="I6" s="193"/>
      <c r="J6" s="193"/>
      <c r="K6" s="193"/>
      <c r="L6" s="194"/>
      <c r="M6" s="193"/>
      <c r="N6" s="194"/>
      <c r="O6" s="193"/>
      <c r="P6" s="200"/>
      <c r="Q6" s="200"/>
      <c r="R6" s="200"/>
      <c r="S6" s="200"/>
      <c r="T6" s="200"/>
    </row>
    <row r="7" spans="1:20" ht="19.5" customHeight="1">
      <c r="A7" s="853" t="s">
        <v>90</v>
      </c>
      <c r="B7" s="854"/>
      <c r="C7" s="854"/>
      <c r="D7" s="854"/>
      <c r="E7" s="854"/>
      <c r="F7" s="31"/>
      <c r="G7" s="31"/>
      <c r="H7" s="31"/>
      <c r="I7" s="31"/>
      <c r="J7" s="31"/>
      <c r="K7" s="31"/>
      <c r="L7" s="32"/>
      <c r="M7" s="31"/>
      <c r="N7" s="32"/>
      <c r="O7" s="31"/>
      <c r="P7" s="33"/>
      <c r="Q7" s="33"/>
      <c r="R7" s="33"/>
      <c r="S7" s="33"/>
      <c r="T7" s="33"/>
    </row>
    <row r="8" spans="1:20" ht="21.75" customHeight="1">
      <c r="A8" s="34">
        <v>1</v>
      </c>
      <c r="B8" s="35" t="s">
        <v>88</v>
      </c>
      <c r="C8" s="36">
        <f>ROUND($E8*C$6,2)</f>
        <v>180.94</v>
      </c>
      <c r="D8" s="36">
        <f>ROUND($E8*D$6,2)</f>
        <v>271.39999999999998</v>
      </c>
      <c r="E8" s="47">
        <f>Capex!B33</f>
        <v>452.34028497904467</v>
      </c>
      <c r="F8" s="402"/>
      <c r="G8" s="38"/>
      <c r="H8" s="37"/>
      <c r="I8" s="37"/>
      <c r="J8" s="37"/>
      <c r="K8" s="37"/>
      <c r="L8" s="39"/>
      <c r="M8" s="37"/>
      <c r="N8" s="37"/>
      <c r="O8" s="37"/>
      <c r="P8" s="40"/>
      <c r="Q8" s="40"/>
      <c r="R8" s="40"/>
      <c r="S8" s="40"/>
      <c r="T8" s="40"/>
    </row>
    <row r="9" spans="1:20" s="178" customFormat="1" ht="25.5" customHeight="1">
      <c r="A9" s="41"/>
      <c r="B9" s="159" t="s">
        <v>89</v>
      </c>
      <c r="C9" s="401">
        <f>SUM(C8:C8)</f>
        <v>180.94</v>
      </c>
      <c r="D9" s="401">
        <f>SUM(D8:D8)</f>
        <v>271.39999999999998</v>
      </c>
      <c r="E9" s="450">
        <f>-E8</f>
        <v>-452.34028497904467</v>
      </c>
      <c r="F9" s="42"/>
      <c r="G9" s="42"/>
      <c r="H9" s="42"/>
      <c r="I9" s="42"/>
      <c r="J9" s="42"/>
      <c r="K9" s="42"/>
      <c r="L9" s="43"/>
      <c r="M9" s="43"/>
      <c r="N9" s="43"/>
      <c r="O9" s="43"/>
      <c r="P9" s="44"/>
      <c r="Q9" s="44"/>
      <c r="R9" s="44"/>
      <c r="S9" s="44"/>
      <c r="T9" s="44"/>
    </row>
    <row r="10" spans="1:20">
      <c r="A10" s="45">
        <v>2</v>
      </c>
      <c r="B10" s="46" t="s">
        <v>11</v>
      </c>
      <c r="C10" s="451"/>
      <c r="D10" s="451"/>
      <c r="E10" s="452"/>
      <c r="F10" s="48">
        <f>F11+F12</f>
        <v>279.536992</v>
      </c>
      <c r="G10" s="48">
        <f t="shared" ref="G10:T10" si="0">G11+G12</f>
        <v>359.40470400000004</v>
      </c>
      <c r="H10" s="48">
        <f t="shared" si="0"/>
        <v>379.37163200000003</v>
      </c>
      <c r="I10" s="48">
        <f t="shared" si="0"/>
        <v>379.37163200000003</v>
      </c>
      <c r="J10" s="48">
        <f t="shared" si="0"/>
        <v>379.37163200000003</v>
      </c>
      <c r="K10" s="48">
        <f t="shared" si="0"/>
        <v>379.37163200000003</v>
      </c>
      <c r="L10" s="48">
        <f t="shared" si="0"/>
        <v>379.37163200000003</v>
      </c>
      <c r="M10" s="48">
        <f t="shared" si="0"/>
        <v>379.37163200000003</v>
      </c>
      <c r="N10" s="48">
        <f t="shared" si="0"/>
        <v>379.37163200000003</v>
      </c>
      <c r="O10" s="48">
        <f t="shared" si="0"/>
        <v>379.37163200000003</v>
      </c>
      <c r="P10" s="48">
        <f t="shared" si="0"/>
        <v>379.37163200000003</v>
      </c>
      <c r="Q10" s="48">
        <f t="shared" si="0"/>
        <v>379.37163200000003</v>
      </c>
      <c r="R10" s="48">
        <f t="shared" si="0"/>
        <v>379.37163200000003</v>
      </c>
      <c r="S10" s="48">
        <f t="shared" si="0"/>
        <v>379.37163200000003</v>
      </c>
      <c r="T10" s="48">
        <f t="shared" si="0"/>
        <v>379.37163200000003</v>
      </c>
    </row>
    <row r="11" spans="1:20" s="178" customFormat="1">
      <c r="A11" s="49"/>
      <c r="B11" s="29" t="s">
        <v>188</v>
      </c>
      <c r="C11" s="29"/>
      <c r="D11" s="29"/>
      <c r="E11" s="50">
        <v>1</v>
      </c>
      <c r="F11" s="51">
        <f>IF(F$2&lt;=$C$174,0,Norms!$E$39*F$3*(1+$C$173)^(F$2-$C$174-1))</f>
        <v>11.275992</v>
      </c>
      <c r="G11" s="51">
        <f>IF(G$2&lt;=$C$174,0,Norms!$E$39*G$3*(1+$C$173)^(G$2-$C$174-1))</f>
        <v>14.497704000000001</v>
      </c>
      <c r="H11" s="51">
        <f>IF(H$2&lt;=$C$174,0,Norms!$E$39*H$3*(1+$C$173)^(H$2-$C$174-1))</f>
        <v>15.303132</v>
      </c>
      <c r="I11" s="51">
        <f>IF(I$2&lt;=$C$174,0,Norms!$E$39*I$3*(1+$C$173)^(I$2-$C$174-1))</f>
        <v>15.303132</v>
      </c>
      <c r="J11" s="51">
        <f>IF(J$2&lt;=$C$174,0,Norms!$E$39*J$3*(1+$C$173)^(J$2-$C$174-1))</f>
        <v>15.303132</v>
      </c>
      <c r="K11" s="51">
        <f>IF(K$2&lt;=$C$174,0,Norms!$E$39*K$3*(1+$C$173)^(K$2-$C$174-1))</f>
        <v>15.303132</v>
      </c>
      <c r="L11" s="51">
        <f>IF(L$2&lt;=$C$174,0,Norms!$E$39*L$3*(1+$C$173)^(L$2-$C$174-1))</f>
        <v>15.303132</v>
      </c>
      <c r="M11" s="51">
        <f>IF(M$2&lt;=$C$174,0,Norms!$E$39*M$3*(1+$C$173)^(M$2-$C$174-1))</f>
        <v>15.303132</v>
      </c>
      <c r="N11" s="51">
        <f>IF(N$2&lt;=$C$174,0,Norms!$E$39*N$3*(1+$C$173)^(N$2-$C$174-1))</f>
        <v>15.303132</v>
      </c>
      <c r="O11" s="51">
        <f>IF(O$2&lt;=$C$174,0,Norms!$E$39*O$3*(1+$C$173)^(O$2-$C$174-1))</f>
        <v>15.303132</v>
      </c>
      <c r="P11" s="51">
        <f>IF(P$2&lt;=$C$174,0,Norms!$E$39*P$3*(1+$C$173)^(P$2-$C$174-1))</f>
        <v>15.303132</v>
      </c>
      <c r="Q11" s="51">
        <f>IF(Q$2&lt;=$C$174,0,Norms!$E$39*Q$3*(1+$C$173)^(Q$2-$C$174-1))</f>
        <v>15.303132</v>
      </c>
      <c r="R11" s="51">
        <f>IF(R$2&lt;=$C$174,0,Norms!$E$39*R$3*(1+$C$173)^(R$2-$C$174-1))</f>
        <v>15.303132</v>
      </c>
      <c r="S11" s="51">
        <f>IF(S$2&lt;=$C$174,0,Norms!$E$39*S$3*(1+$C$173)^(S$2-$C$174-1))</f>
        <v>15.303132</v>
      </c>
      <c r="T11" s="51">
        <f>IF(T$2&lt;=$C$174,0,Norms!$E$39*T$3*(1+$C$173)^(T$2-$C$174-1))</f>
        <v>15.303132</v>
      </c>
    </row>
    <row r="12" spans="1:20" s="178" customFormat="1">
      <c r="A12" s="49"/>
      <c r="B12" s="29" t="s">
        <v>232</v>
      </c>
      <c r="C12" s="29"/>
      <c r="D12" s="29"/>
      <c r="E12" s="50"/>
      <c r="F12" s="51">
        <f>IF(F$2&lt;=$C$174,0,Norms!$E$43*F$3*(1+$C$173)^(F$2-$C$174-1))</f>
        <v>268.26100000000002</v>
      </c>
      <c r="G12" s="51">
        <f>IF(G$2&lt;=$C$174,0,Norms!$E$43*G$3*(1+$C$173)^(G$2-$C$174-1))</f>
        <v>344.90700000000004</v>
      </c>
      <c r="H12" s="51">
        <f>IF(H$2&lt;=$C$174,0,Norms!$E$43*H$3*(1+$C$173)^(H$2-$C$174-1))</f>
        <v>364.06850000000003</v>
      </c>
      <c r="I12" s="51">
        <f>IF(I$2&lt;=$C$174,0,Norms!$E$43*I$3*(1+$C$173)^(I$2-$C$174-1))</f>
        <v>364.06850000000003</v>
      </c>
      <c r="J12" s="51">
        <f>IF(J$2&lt;=$C$174,0,Norms!$E$43*J$3*(1+$C$173)^(J$2-$C$174-1))</f>
        <v>364.06850000000003</v>
      </c>
      <c r="K12" s="51">
        <f>IF(K$2&lt;=$C$174,0,Norms!$E$43*K$3*(1+$C$173)^(K$2-$C$174-1))</f>
        <v>364.06850000000003</v>
      </c>
      <c r="L12" s="51">
        <f>IF(L$2&lt;=$C$174,0,Norms!$E$43*L$3*(1+$C$173)^(L$2-$C$174-1))</f>
        <v>364.06850000000003</v>
      </c>
      <c r="M12" s="51">
        <f>IF(M$2&lt;=$C$174,0,Norms!$E$43*M$3*(1+$C$173)^(M$2-$C$174-1))</f>
        <v>364.06850000000003</v>
      </c>
      <c r="N12" s="51">
        <f>IF(N$2&lt;=$C$174,0,Norms!$E$43*N$3*(1+$C$173)^(N$2-$C$174-1))</f>
        <v>364.06850000000003</v>
      </c>
      <c r="O12" s="51">
        <f>IF(O$2&lt;=$C$174,0,Norms!$E$43*O$3*(1+$C$173)^(O$2-$C$174-1))</f>
        <v>364.06850000000003</v>
      </c>
      <c r="P12" s="51">
        <f>IF(P$2&lt;=$C$174,0,Norms!$E$43*P$3*(1+$C$173)^(P$2-$C$174-1))</f>
        <v>364.06850000000003</v>
      </c>
      <c r="Q12" s="51">
        <f>IF(Q$2&lt;=$C$174,0,Norms!$E$43*Q$3*(1+$C$173)^(Q$2-$C$174-1))</f>
        <v>364.06850000000003</v>
      </c>
      <c r="R12" s="51">
        <f>IF(R$2&lt;=$C$174,0,Norms!$E$43*R$3*(1+$C$173)^(R$2-$C$174-1))</f>
        <v>364.06850000000003</v>
      </c>
      <c r="S12" s="51">
        <f>IF(S$2&lt;=$C$174,0,Norms!$E$43*S$3*(1+$C$173)^(S$2-$C$174-1))</f>
        <v>364.06850000000003</v>
      </c>
      <c r="T12" s="51">
        <f>IF(T$2&lt;=$C$174,0,Norms!$E$43*T$3*(1+$C$173)^(T$2-$C$174-1))</f>
        <v>364.06850000000003</v>
      </c>
    </row>
    <row r="13" spans="1:20">
      <c r="A13" s="49"/>
      <c r="B13" s="52"/>
      <c r="C13" s="52"/>
      <c r="D13" s="52"/>
      <c r="E13" s="53"/>
      <c r="F13" s="54"/>
      <c r="G13" s="54"/>
      <c r="H13" s="54"/>
      <c r="I13" s="54"/>
      <c r="J13" s="54"/>
      <c r="K13" s="54"/>
      <c r="L13" s="54"/>
      <c r="M13" s="54"/>
      <c r="N13" s="54"/>
      <c r="O13" s="54"/>
      <c r="P13" s="54"/>
      <c r="Q13" s="54"/>
      <c r="R13" s="54"/>
      <c r="S13" s="54"/>
      <c r="T13" s="54"/>
    </row>
    <row r="14" spans="1:20">
      <c r="A14" s="45">
        <v>3</v>
      </c>
      <c r="B14" s="46" t="s">
        <v>60</v>
      </c>
      <c r="C14" s="46"/>
      <c r="D14" s="46"/>
      <c r="E14" s="61"/>
      <c r="F14" s="37"/>
      <c r="G14" s="37"/>
      <c r="H14" s="37"/>
      <c r="I14" s="37"/>
      <c r="J14" s="37"/>
      <c r="K14" s="37"/>
      <c r="L14" s="37"/>
      <c r="M14" s="37"/>
      <c r="N14" s="37"/>
      <c r="O14" s="37"/>
      <c r="P14" s="40"/>
      <c r="Q14" s="40"/>
      <c r="R14" s="40"/>
      <c r="S14" s="40"/>
      <c r="T14" s="40"/>
    </row>
    <row r="15" spans="1:20">
      <c r="A15" s="49"/>
      <c r="B15" s="55" t="s">
        <v>367</v>
      </c>
      <c r="C15" s="55"/>
      <c r="D15" s="55"/>
      <c r="E15" s="62">
        <f>H15/$H$21</f>
        <v>0.88909746541668611</v>
      </c>
      <c r="F15" s="51">
        <f>IF(F$2&lt;=$C$174,0,(Opex!E4+Opex!E17)*F$3*(1+$C$173)^(F$2-$C$174-1))</f>
        <v>153.41000505177706</v>
      </c>
      <c r="G15" s="51">
        <f>IF(G$2&lt;=$C$174,0,(Opex!F4+Opex!F17)*G$3*(1+$C$173)^(G$2-$C$174-1))</f>
        <v>200.02253930100915</v>
      </c>
      <c r="H15" s="51">
        <f>IF(H$2&lt;=$C$174,0,(Opex!G4+Opex!G17)*H$3*(1+$C$173)^(H$2-$C$174-1))</f>
        <v>214.38638009548052</v>
      </c>
      <c r="I15" s="51">
        <f>IF(I$2&lt;=$C$174,0,(Opex!H4+Opex!H17)*I$3*(1+$C$173)^(I$2-$C$174-1))</f>
        <v>217.53785988288405</v>
      </c>
      <c r="J15" s="51">
        <f>IF(J$2&lt;=$C$174,0,(Opex!I4+Opex!I17)*J$3*(1+$C$173)^(J$2-$C$174-1))</f>
        <v>220.17006798746695</v>
      </c>
      <c r="K15" s="51">
        <f>IF(K$2&lt;=$C$174,0,(Opex!J4+Opex!J17)*K$3*(1+$C$173)^(K$2-$C$174-1))</f>
        <v>223.12034689849901</v>
      </c>
      <c r="L15" s="51">
        <f>IF(L$2&lt;=$C$174,0,(Opex!K4+Opex!K17)*L$3*(1+$C$173)^(L$2-$C$174-1))</f>
        <v>226.04322344286936</v>
      </c>
      <c r="M15" s="51">
        <f>IF(M$2&lt;=$C$174,0,(Opex!L4+Opex!L17)*M$3*(1+$C$173)^(M$2-$C$174-1))</f>
        <v>229.09480695934809</v>
      </c>
      <c r="N15" s="51">
        <f>IF(N$2&lt;=$C$174,0,(Opex!M4+Opex!M17)*N$3*(1+$C$173)^(N$2-$C$174-1))</f>
        <v>232.53122906373832</v>
      </c>
      <c r="O15" s="51">
        <f>IF(O$2&lt;=$C$174,0,(Opex!N4+Opex!N17)*O$3*(1+$C$173)^(O$2-$C$174-1))</f>
        <v>234.94955384600115</v>
      </c>
      <c r="P15" s="51">
        <f>IF(P$2&lt;=$C$174,0,(Opex!O4+Opex!O17)*P$3*(1+$C$173)^(P$2-$C$174-1))</f>
        <v>237.58098884907639</v>
      </c>
      <c r="Q15" s="51">
        <f>IF(Q$2&lt;=$C$174,0,(Opex!P4+Opex!P17)*Q$3*(1+$C$173)^(Q$2-$C$174-1))</f>
        <v>240.31317022084079</v>
      </c>
      <c r="R15" s="51">
        <f>IF(R$2&lt;=$C$174,0,(Opex!Q4+Opex!Q17)*R$3*(1+$C$173)^(R$2-$C$174-1))</f>
        <v>242.83645850815964</v>
      </c>
      <c r="S15" s="51">
        <f>IF(S$2&lt;=$C$174,0,(Opex!R4+Opex!R17)*S$3*(1+$C$173)^(S$2-$C$174-1))</f>
        <v>245.33767403079366</v>
      </c>
      <c r="T15" s="51">
        <f>IF(T$2&lt;=$C$174,0,(Opex!S4+Opex!S17)*T$3*(1+$C$173)^(T$2-$C$174-1))</f>
        <v>247.84011830590777</v>
      </c>
    </row>
    <row r="16" spans="1:20">
      <c r="A16" s="49"/>
      <c r="B16" s="55" t="s">
        <v>365</v>
      </c>
      <c r="C16" s="55"/>
      <c r="D16" s="55"/>
      <c r="E16" s="62">
        <f>H16/$H$21</f>
        <v>0.11090253458331392</v>
      </c>
      <c r="F16" s="51">
        <f>IF(F$2&lt;=$C$174,0,(Opex!E6)*F$3*(1+$C$173)^(F$2-$C$174-1))</f>
        <v>19.103737648799996</v>
      </c>
      <c r="G16" s="51">
        <f>IF(G$2&lt;=$C$174,0,(Opex!F6)*G$3*(1+$C$173)^(G$2-$C$174-1))</f>
        <v>24.942658605886795</v>
      </c>
      <c r="H16" s="51">
        <f>IF(H$2&lt;=$C$174,0,(Opex!G6)*H$3*(1+$C$173)^(H$2-$C$174-1))</f>
        <v>26.741717142999175</v>
      </c>
      <c r="I16" s="51">
        <f>IF(I$2&lt;=$C$174,0,(Opex!H6)*I$3*(1+$C$173)^(I$2-$C$174-1))</f>
        <v>27.124123698144061</v>
      </c>
      <c r="J16" s="51">
        <f>IF(J$2&lt;=$C$174,0,(Opex!I6)*J$3*(1+$C$173)^(J$2-$C$174-1))</f>
        <v>27.503861429918079</v>
      </c>
      <c r="K16" s="51">
        <f>IF(K$2&lt;=$C$174,0,(Opex!J6)*K$3*(1+$C$173)^(K$2-$C$174-1))</f>
        <v>27.872413173078982</v>
      </c>
      <c r="L16" s="51">
        <f>IF(L$2&lt;=$C$174,0,(Opex!K6)*L$3*(1+$C$173)^(L$2-$C$174-1))</f>
        <v>28.245903509598239</v>
      </c>
      <c r="M16" s="51">
        <f>IF(M$2&lt;=$C$174,0,(Opex!L6)*M$3*(1+$C$173)^(M$2-$C$174-1))</f>
        <v>28.624398616626859</v>
      </c>
      <c r="N16" s="51">
        <f>IF(N$2&lt;=$C$174,0,(Opex!M6)*N$3*(1+$C$173)^(N$2-$C$174-1))</f>
        <v>29.007965558089655</v>
      </c>
      <c r="O16" s="51">
        <f>IF(O$2&lt;=$C$174,0,(Opex!N6)*O$3*(1+$C$173)^(O$2-$C$174-1))</f>
        <v>29.39667229656806</v>
      </c>
      <c r="P16" s="51">
        <f>IF(P$2&lt;=$C$174,0,(Opex!O6)*P$3*(1+$C$173)^(P$2-$C$174-1))</f>
        <v>29.79058770534207</v>
      </c>
      <c r="Q16" s="51">
        <f>IF(Q$2&lt;=$C$174,0,(Opex!P6)*Q$3*(1+$C$173)^(Q$2-$C$174-1))</f>
        <v>30.189781580593657</v>
      </c>
      <c r="R16" s="51">
        <f>IF(R$2&lt;=$C$174,0,(Opex!Q6)*R$3*(1+$C$173)^(R$2-$C$174-1))</f>
        <v>30.594324653773612</v>
      </c>
      <c r="S16" s="51">
        <f>IF(S$2&lt;=$C$174,0,(Opex!R6)*S$3*(1+$C$173)^(S$2-$C$174-1))</f>
        <v>31.004288604134182</v>
      </c>
      <c r="T16" s="51">
        <f>IF(T$2&lt;=$C$174,0,(Opex!S6)*T$3*(1+$C$173)^(T$2-$C$174-1))</f>
        <v>31.419746071429586</v>
      </c>
    </row>
    <row r="17" spans="1:20">
      <c r="A17" s="49"/>
      <c r="B17" s="4" t="s">
        <v>3</v>
      </c>
      <c r="C17" s="501"/>
      <c r="D17" s="501"/>
      <c r="E17" s="62">
        <f t="shared" ref="E17:E20" si="1">H17/$H$21</f>
        <v>6.3228058609252499E-2</v>
      </c>
      <c r="F17" s="51">
        <f>IF(F$2&lt;=$C$174,0,(Opex!E7)*F$3*(1+$C$173)^(F$2-$C$174-1))</f>
        <v>10.891475548799997</v>
      </c>
      <c r="G17" s="51">
        <f>IF(G$2&lt;=$C$174,0,(Opex!F7)*G$3*(1+$C$173)^(G$2-$C$174-1))</f>
        <v>14.220377254036798</v>
      </c>
      <c r="H17" s="51">
        <f>IF(H$2&lt;=$C$174,0,(Opex!G7)*H$3*(1+$C$173)^(H$2-$C$174-1))</f>
        <v>15.246061464532128</v>
      </c>
      <c r="I17" s="51">
        <f>IF(I$2&lt;=$C$174,0,(Opex!H7)*I$3*(1+$C$173)^(I$2-$C$174-1))</f>
        <v>15.464080143474936</v>
      </c>
      <c r="J17" s="51">
        <f>IF(J$2&lt;=$C$174,0,(Opex!I7)*J$3*(1+$C$173)^(J$2-$C$174-1))</f>
        <v>15.680577265483587</v>
      </c>
      <c r="K17" s="51">
        <f>IF(K$2&lt;=$C$174,0,(Opex!J7)*K$3*(1+$C$173)^(K$2-$C$174-1))</f>
        <v>15.890697000841065</v>
      </c>
      <c r="L17" s="51">
        <f>IF(L$2&lt;=$C$174,0,(Opex!K7)*L$3*(1+$C$173)^(L$2-$C$174-1))</f>
        <v>16.103632340652336</v>
      </c>
      <c r="M17" s="51">
        <f>IF(M$2&lt;=$C$174,0,(Opex!L7)*M$3*(1+$C$173)^(M$2-$C$174-1))</f>
        <v>16.319421014017081</v>
      </c>
      <c r="N17" s="51">
        <f>IF(N$2&lt;=$C$174,0,(Opex!M7)*N$3*(1+$C$173)^(N$2-$C$174-1))</f>
        <v>16.538101255604907</v>
      </c>
      <c r="O17" s="51">
        <f>IF(O$2&lt;=$C$174,0,(Opex!N7)*O$3*(1+$C$173)^(O$2-$C$174-1))</f>
        <v>16.759711812430016</v>
      </c>
      <c r="P17" s="51">
        <f>IF(P$2&lt;=$C$174,0,(Opex!O7)*P$3*(1+$C$173)^(P$2-$C$174-1))</f>
        <v>16.984291950716575</v>
      </c>
      <c r="Q17" s="51">
        <f>IF(Q$2&lt;=$C$174,0,(Opex!P7)*Q$3*(1+$C$173)^(Q$2-$C$174-1))</f>
        <v>17.21188146285618</v>
      </c>
      <c r="R17" s="51">
        <f>IF(R$2&lt;=$C$174,0,(Opex!Q7)*R$3*(1+$C$173)^(R$2-$C$174-1))</f>
        <v>17.442520674458454</v>
      </c>
      <c r="S17" s="51">
        <f>IF(S$2&lt;=$C$174,0,(Opex!R7)*S$3*(1+$C$173)^(S$2-$C$174-1))</f>
        <v>17.676250451496195</v>
      </c>
      <c r="T17" s="51">
        <f>IF(T$2&lt;=$C$174,0,(Opex!S7)*T$3*(1+$C$173)^(T$2-$C$174-1))</f>
        <v>17.913112207546245</v>
      </c>
    </row>
    <row r="18" spans="1:20">
      <c r="A18" s="49"/>
      <c r="B18" s="599" t="s">
        <v>361</v>
      </c>
      <c r="C18" s="501"/>
      <c r="D18" s="501"/>
      <c r="E18" s="62">
        <f t="shared" si="1"/>
        <v>4.0271223178819893E-4</v>
      </c>
      <c r="F18" s="51">
        <f>IF(F$2&lt;=$C$174,0,(Opex!E8)*F$3*(1+$C$173)^(F$2-$C$174-1))</f>
        <v>6.9370000000000001E-2</v>
      </c>
      <c r="G18" s="51">
        <f>IF(G$2&lt;=$C$174,0,(Opex!F8)*G$3*(1+$C$173)^(G$2-$C$174-1))</f>
        <v>9.0572445000000001E-2</v>
      </c>
      <c r="H18" s="51">
        <f>IF(H$2&lt;=$C$174,0,(Opex!G8)*H$3*(1+$C$173)^(H$2-$C$174-1))</f>
        <v>9.7105234185749997E-2</v>
      </c>
      <c r="I18" s="51">
        <f>IF(I$2&lt;=$C$174,0,(Opex!H8)*I$3*(1+$C$173)^(I$2-$C$174-1))</f>
        <v>9.8493839034606234E-2</v>
      </c>
      <c r="J18" s="51">
        <f>IF(J$2&lt;=$C$174,0,(Opex!I8)*J$3*(1+$C$173)^(J$2-$C$174-1))</f>
        <v>9.9872752781090715E-2</v>
      </c>
      <c r="K18" s="51">
        <f>IF(K$2&lt;=$C$174,0,(Opex!J8)*K$3*(1+$C$173)^(K$2-$C$174-1))</f>
        <v>0.10121104766835733</v>
      </c>
      <c r="L18" s="51">
        <f>IF(L$2&lt;=$C$174,0,(Opex!K8)*L$3*(1+$C$173)^(L$2-$C$174-1))</f>
        <v>0.10256727570711331</v>
      </c>
      <c r="M18" s="51">
        <f>IF(M$2&lt;=$C$174,0,(Opex!L8)*M$3*(1+$C$173)^(M$2-$C$174-1))</f>
        <v>0.10394167720158863</v>
      </c>
      <c r="N18" s="51">
        <f>IF(N$2&lt;=$C$174,0,(Opex!M8)*N$3*(1+$C$173)^(N$2-$C$174-1))</f>
        <v>0.10533449567608993</v>
      </c>
      <c r="O18" s="51">
        <f>IF(O$2&lt;=$C$174,0,(Opex!N8)*O$3*(1+$C$173)^(O$2-$C$174-1))</f>
        <v>0.10674597791814953</v>
      </c>
      <c r="P18" s="51">
        <f>IF(P$2&lt;=$C$174,0,(Opex!O8)*P$3*(1+$C$173)^(P$2-$C$174-1))</f>
        <v>0.10817637402225275</v>
      </c>
      <c r="Q18" s="51">
        <f>IF(Q$2&lt;=$C$174,0,(Opex!P8)*Q$3*(1+$C$173)^(Q$2-$C$174-1))</f>
        <v>0.10962593743415093</v>
      </c>
      <c r="R18" s="51">
        <f>IF(R$2&lt;=$C$174,0,(Opex!Q8)*R$3*(1+$C$173)^(R$2-$C$174-1))</f>
        <v>0.11109492499576855</v>
      </c>
      <c r="S18" s="51">
        <f>IF(S$2&lt;=$C$174,0,(Opex!R8)*S$3*(1+$C$173)^(S$2-$C$174-1))</f>
        <v>0.11258359699071185</v>
      </c>
      <c r="T18" s="51">
        <f>IF(T$2&lt;=$C$174,0,(Opex!S8)*T$3*(1+$C$173)^(T$2-$C$174-1))</f>
        <v>0.1140922171903874</v>
      </c>
    </row>
    <row r="19" spans="1:20">
      <c r="A19" s="49"/>
      <c r="B19" s="599" t="s">
        <v>363</v>
      </c>
      <c r="C19" s="501"/>
      <c r="D19" s="501"/>
      <c r="E19" s="62">
        <f t="shared" si="1"/>
        <v>4.588318677215493E-2</v>
      </c>
      <c r="F19" s="51">
        <f>IF(F$2&lt;=$C$174,0,(Opex!E9)*F$3*(1+$C$173)^(F$2-$C$174-1))</f>
        <v>7.9036999999999988</v>
      </c>
      <c r="G19" s="51">
        <f>IF(G$2&lt;=$C$174,0,(Opex!F9)*G$3*(1+$C$173)^(G$2-$C$174-1))</f>
        <v>10.31940945</v>
      </c>
      <c r="H19" s="51">
        <f>IF(H$2&lt;=$C$174,0,(Opex!G9)*H$3*(1+$C$173)^(H$2-$C$174-1))</f>
        <v>11.063725521607498</v>
      </c>
      <c r="I19" s="51">
        <f>IF(I$2&lt;=$C$174,0,(Opex!H9)*I$3*(1+$C$173)^(I$2-$C$174-1))</f>
        <v>11.221936796566485</v>
      </c>
      <c r="J19" s="51">
        <f>IF(J$2&lt;=$C$174,0,(Opex!I9)*J$3*(1+$C$173)^(J$2-$C$174-1))</f>
        <v>11.379043911718416</v>
      </c>
      <c r="K19" s="51">
        <f>IF(K$2&lt;=$C$174,0,(Opex!J9)*K$3*(1+$C$173)^(K$2-$C$174-1))</f>
        <v>11.531523100135443</v>
      </c>
      <c r="L19" s="51">
        <f>IF(L$2&lt;=$C$174,0,(Opex!K9)*L$3*(1+$C$173)^(L$2-$C$174-1))</f>
        <v>11.686045509677257</v>
      </c>
      <c r="M19" s="51">
        <f>IF(M$2&lt;=$C$174,0,(Opex!L9)*M$3*(1+$C$173)^(M$2-$C$174-1))</f>
        <v>11.842638519506933</v>
      </c>
      <c r="N19" s="51">
        <f>IF(N$2&lt;=$C$174,0,(Opex!M9)*N$3*(1+$C$173)^(N$2-$C$174-1))</f>
        <v>12.001329875668327</v>
      </c>
      <c r="O19" s="51">
        <f>IF(O$2&lt;=$C$174,0,(Opex!N9)*O$3*(1+$C$173)^(O$2-$C$174-1))</f>
        <v>12.162147696002283</v>
      </c>
      <c r="P19" s="51">
        <f>IF(P$2&lt;=$C$174,0,(Opex!O9)*P$3*(1+$C$173)^(P$2-$C$174-1))</f>
        <v>12.325120475128713</v>
      </c>
      <c r="Q19" s="51">
        <f>IF(Q$2&lt;=$C$174,0,(Opex!P9)*Q$3*(1+$C$173)^(Q$2-$C$174-1))</f>
        <v>12.490277089495439</v>
      </c>
      <c r="R19" s="51">
        <f>IF(R$2&lt;=$C$174,0,(Opex!Q9)*R$3*(1+$C$173)^(R$2-$C$174-1))</f>
        <v>12.657646802494678</v>
      </c>
      <c r="S19" s="51">
        <f>IF(S$2&lt;=$C$174,0,(Opex!R9)*S$3*(1+$C$173)^(S$2-$C$174-1))</f>
        <v>12.827259269648108</v>
      </c>
      <c r="T19" s="51">
        <f>IF(T$2&lt;=$C$174,0,(Opex!S9)*T$3*(1+$C$173)^(T$2-$C$174-1))</f>
        <v>12.999144543861393</v>
      </c>
    </row>
    <row r="20" spans="1:20">
      <c r="A20" s="49"/>
      <c r="B20" s="600" t="s">
        <v>267</v>
      </c>
      <c r="C20" s="501"/>
      <c r="D20" s="501"/>
      <c r="E20" s="62">
        <f t="shared" si="1"/>
        <v>1.3885769701182937E-3</v>
      </c>
      <c r="F20" s="51">
        <f>IF(F$2&lt;=$C$174,0,(Opex!E10)*F$3*(1+$C$173)^(F$2-$C$174-1))</f>
        <v>0.23919209999999994</v>
      </c>
      <c r="G20" s="51">
        <f>IF(G$2&lt;=$C$174,0,(Opex!F10)*G$3*(1+$C$173)^(G$2-$C$174-1))</f>
        <v>0.31229945684999993</v>
      </c>
      <c r="H20" s="51">
        <f>IF(H$2&lt;=$C$174,0,(Opex!G10)*H$3*(1+$C$173)^(H$2-$C$174-1))</f>
        <v>0.33482492267379743</v>
      </c>
      <c r="I20" s="51">
        <f>IF(I$2&lt;=$C$174,0,(Opex!H10)*I$3*(1+$C$173)^(I$2-$C$174-1))</f>
        <v>0.33961291906803276</v>
      </c>
      <c r="J20" s="51">
        <f>IF(J$2&lt;=$C$174,0,(Opex!I10)*J$3*(1+$C$173)^(J$2-$C$174-1))</f>
        <v>0.34436749993498522</v>
      </c>
      <c r="K20" s="51">
        <f>IF(K$2&lt;=$C$174,0,(Opex!J10)*K$3*(1+$C$173)^(K$2-$C$174-1))</f>
        <v>0.34898202443411402</v>
      </c>
      <c r="L20" s="51">
        <f>IF(L$2&lt;=$C$174,0,(Opex!K10)*L$3*(1+$C$173)^(L$2-$C$174-1))</f>
        <v>0.35365838356153118</v>
      </c>
      <c r="M20" s="51">
        <f>IF(M$2&lt;=$C$174,0,(Opex!L10)*M$3*(1+$C$173)^(M$2-$C$174-1))</f>
        <v>0.35839740590125574</v>
      </c>
      <c r="N20" s="51">
        <f>IF(N$2&lt;=$C$174,0,(Opex!M10)*N$3*(1+$C$173)^(N$2-$C$174-1))</f>
        <v>0.36319993114033255</v>
      </c>
      <c r="O20" s="51">
        <f>IF(O$2&lt;=$C$174,0,(Opex!N10)*O$3*(1+$C$173)^(O$2-$C$174-1))</f>
        <v>0.36806681021761301</v>
      </c>
      <c r="P20" s="51">
        <f>IF(P$2&lt;=$C$174,0,(Opex!O10)*P$3*(1+$C$173)^(P$2-$C$174-1))</f>
        <v>0.37299890547452902</v>
      </c>
      <c r="Q20" s="51">
        <f>IF(Q$2&lt;=$C$174,0,(Opex!P10)*Q$3*(1+$C$173)^(Q$2-$C$174-1))</f>
        <v>0.37799709080788768</v>
      </c>
      <c r="R20" s="51">
        <f>IF(R$2&lt;=$C$174,0,(Opex!Q10)*R$3*(1+$C$173)^(R$2-$C$174-1))</f>
        <v>0.38306225182471337</v>
      </c>
      <c r="S20" s="51">
        <f>IF(S$2&lt;=$C$174,0,(Opex!R10)*S$3*(1+$C$173)^(S$2-$C$174-1))</f>
        <v>0.38819528599916453</v>
      </c>
      <c r="T20" s="51">
        <f>IF(T$2&lt;=$C$174,0,(Opex!S10)*T$3*(1+$C$173)^(T$2-$C$174-1))</f>
        <v>0.39339710283155338</v>
      </c>
    </row>
    <row r="21" spans="1:20" s="178" customFormat="1">
      <c r="A21" s="41"/>
      <c r="B21" s="63" t="s">
        <v>12</v>
      </c>
      <c r="C21" s="63"/>
      <c r="D21" s="63"/>
      <c r="E21" s="64"/>
      <c r="F21" s="43">
        <f t="shared" ref="F21:T21" si="2">SUM(F15:F16)</f>
        <v>172.51374270057707</v>
      </c>
      <c r="G21" s="43">
        <f t="shared" si="2"/>
        <v>224.96519790689595</v>
      </c>
      <c r="H21" s="43">
        <f t="shared" si="2"/>
        <v>241.12809723847968</v>
      </c>
      <c r="I21" s="43">
        <f t="shared" si="2"/>
        <v>244.6619835810281</v>
      </c>
      <c r="J21" s="43">
        <f t="shared" si="2"/>
        <v>247.67392941738504</v>
      </c>
      <c r="K21" s="43">
        <f t="shared" si="2"/>
        <v>250.992760071578</v>
      </c>
      <c r="L21" s="43">
        <f t="shared" si="2"/>
        <v>254.2891269524676</v>
      </c>
      <c r="M21" s="43">
        <f t="shared" si="2"/>
        <v>257.71920557597497</v>
      </c>
      <c r="N21" s="43">
        <f t="shared" si="2"/>
        <v>261.53919462182796</v>
      </c>
      <c r="O21" s="43">
        <f t="shared" si="2"/>
        <v>264.34622614256921</v>
      </c>
      <c r="P21" s="43">
        <f t="shared" si="2"/>
        <v>267.37157655441848</v>
      </c>
      <c r="Q21" s="43">
        <f t="shared" si="2"/>
        <v>270.50295180143445</v>
      </c>
      <c r="R21" s="43">
        <f t="shared" si="2"/>
        <v>273.43078316193328</v>
      </c>
      <c r="S21" s="43">
        <f t="shared" si="2"/>
        <v>276.34196263492782</v>
      </c>
      <c r="T21" s="43">
        <f t="shared" si="2"/>
        <v>279.25986437733735</v>
      </c>
    </row>
    <row r="22" spans="1:20">
      <c r="A22" s="49"/>
      <c r="B22" s="55"/>
      <c r="C22" s="55"/>
      <c r="D22" s="55"/>
      <c r="E22" s="53"/>
      <c r="F22" s="51"/>
      <c r="G22" s="51"/>
      <c r="H22" s="51"/>
      <c r="I22" s="51"/>
      <c r="J22" s="51"/>
      <c r="K22" s="51"/>
      <c r="L22" s="51"/>
      <c r="M22" s="51"/>
      <c r="N22" s="51"/>
      <c r="O22" s="51"/>
      <c r="P22" s="23"/>
      <c r="S22" s="23"/>
      <c r="T22" s="23"/>
    </row>
    <row r="23" spans="1:20">
      <c r="A23" s="57">
        <v>4</v>
      </c>
      <c r="B23" s="58" t="s">
        <v>168</v>
      </c>
      <c r="C23" s="58"/>
      <c r="D23" s="58"/>
      <c r="E23" s="59"/>
      <c r="F23" s="60">
        <f t="shared" ref="F23:T23" si="3">F10-F21</f>
        <v>107.02324929942293</v>
      </c>
      <c r="G23" s="60">
        <f t="shared" si="3"/>
        <v>134.43950609310409</v>
      </c>
      <c r="H23" s="60">
        <f t="shared" si="3"/>
        <v>138.24353476152035</v>
      </c>
      <c r="I23" s="60">
        <f t="shared" si="3"/>
        <v>134.70964841897194</v>
      </c>
      <c r="J23" s="60">
        <f t="shared" si="3"/>
        <v>131.69770258261499</v>
      </c>
      <c r="K23" s="60">
        <f t="shared" si="3"/>
        <v>128.37887192842203</v>
      </c>
      <c r="L23" s="60">
        <f t="shared" si="3"/>
        <v>125.08250504753244</v>
      </c>
      <c r="M23" s="60">
        <f t="shared" si="3"/>
        <v>121.65242642402507</v>
      </c>
      <c r="N23" s="60">
        <f t="shared" si="3"/>
        <v>117.83243737817207</v>
      </c>
      <c r="O23" s="60">
        <f t="shared" si="3"/>
        <v>115.02540585743083</v>
      </c>
      <c r="P23" s="60">
        <f t="shared" si="3"/>
        <v>112.00005544558155</v>
      </c>
      <c r="Q23" s="60">
        <f t="shared" si="3"/>
        <v>108.86868019856558</v>
      </c>
      <c r="R23" s="60">
        <f t="shared" si="3"/>
        <v>105.94084883806676</v>
      </c>
      <c r="S23" s="60">
        <f t="shared" si="3"/>
        <v>103.02966936507221</v>
      </c>
      <c r="T23" s="60">
        <f t="shared" si="3"/>
        <v>100.11176762266268</v>
      </c>
    </row>
    <row r="24" spans="1:20">
      <c r="A24" s="49"/>
      <c r="B24" s="55" t="s">
        <v>166</v>
      </c>
      <c r="C24" s="55"/>
      <c r="D24" s="55"/>
      <c r="E24" s="53"/>
      <c r="F24" s="76">
        <f t="shared" ref="F24:T24" si="4">F23/F10</f>
        <v>0.38285898597428897</v>
      </c>
      <c r="G24" s="76">
        <f t="shared" si="4"/>
        <v>0.37406162077696142</v>
      </c>
      <c r="H24" s="76">
        <f t="shared" si="4"/>
        <v>0.36440134976017485</v>
      </c>
      <c r="I24" s="76">
        <f t="shared" si="4"/>
        <v>0.35508624540216527</v>
      </c>
      <c r="J24" s="76">
        <f t="shared" si="4"/>
        <v>0.34714694371933164</v>
      </c>
      <c r="K24" s="76">
        <f t="shared" si="4"/>
        <v>0.33839871276517064</v>
      </c>
      <c r="L24" s="76">
        <f t="shared" si="4"/>
        <v>0.32970969491870816</v>
      </c>
      <c r="M24" s="76">
        <f t="shared" si="4"/>
        <v>0.32066822124439986</v>
      </c>
      <c r="N24" s="76">
        <f t="shared" si="4"/>
        <v>0.31059896797494879</v>
      </c>
      <c r="O24" s="76">
        <f t="shared" si="4"/>
        <v>0.30319980766888449</v>
      </c>
      <c r="P24" s="76">
        <f t="shared" si="4"/>
        <v>0.29522517235970225</v>
      </c>
      <c r="Q24" s="76">
        <f t="shared" si="4"/>
        <v>0.28697106218676249</v>
      </c>
      <c r="R24" s="76">
        <f t="shared" si="4"/>
        <v>0.27925348102481934</v>
      </c>
      <c r="S24" s="76">
        <f t="shared" si="4"/>
        <v>0.27157979320149117</v>
      </c>
      <c r="T24" s="76">
        <f t="shared" si="4"/>
        <v>0.26388838589455382</v>
      </c>
    </row>
    <row r="25" spans="1:20">
      <c r="A25" s="49"/>
      <c r="B25" s="55" t="s">
        <v>165</v>
      </c>
      <c r="C25" s="55"/>
      <c r="D25" s="55"/>
      <c r="E25" s="53"/>
      <c r="F25" s="77">
        <f t="shared" ref="F25:T25" si="5">F23/(F3*200000)*10^7</f>
        <v>7644.517807101638</v>
      </c>
      <c r="G25" s="77">
        <f t="shared" si="5"/>
        <v>7468.8614496168939</v>
      </c>
      <c r="H25" s="77">
        <f t="shared" si="5"/>
        <v>7275.9755137642287</v>
      </c>
      <c r="I25" s="77">
        <f t="shared" si="5"/>
        <v>7089.9814957353647</v>
      </c>
      <c r="J25" s="77">
        <f t="shared" si="5"/>
        <v>6931.4580306639464</v>
      </c>
      <c r="K25" s="77">
        <f t="shared" si="5"/>
        <v>6756.7827330748432</v>
      </c>
      <c r="L25" s="77">
        <f t="shared" si="5"/>
        <v>6583.2897393438134</v>
      </c>
      <c r="M25" s="77">
        <f t="shared" si="5"/>
        <v>6402.7592854750037</v>
      </c>
      <c r="N25" s="77">
        <f t="shared" si="5"/>
        <v>6201.7072304301091</v>
      </c>
      <c r="O25" s="77">
        <f t="shared" si="5"/>
        <v>6053.9687293384641</v>
      </c>
      <c r="P25" s="77">
        <f t="shared" si="5"/>
        <v>5894.7397602937654</v>
      </c>
      <c r="Q25" s="77">
        <f t="shared" si="5"/>
        <v>5729.9305367666093</v>
      </c>
      <c r="R25" s="77">
        <f t="shared" si="5"/>
        <v>5575.8341493719354</v>
      </c>
      <c r="S25" s="77">
        <f t="shared" si="5"/>
        <v>5422.6141771090643</v>
      </c>
      <c r="T25" s="77">
        <f t="shared" si="5"/>
        <v>5269.0404011927731</v>
      </c>
    </row>
    <row r="26" spans="1:20">
      <c r="A26" s="45"/>
      <c r="B26" s="46" t="s">
        <v>14</v>
      </c>
      <c r="C26" s="36">
        <f>-C8</f>
        <v>-180.94</v>
      </c>
      <c r="D26" s="36">
        <f>-D8</f>
        <v>-271.39999999999998</v>
      </c>
      <c r="E26" s="47"/>
      <c r="F26" s="48">
        <f>F23+SUM(C26:D26)</f>
        <v>-345.31675070057702</v>
      </c>
      <c r="G26" s="48">
        <f t="shared" ref="G26:R26" si="6">G23</f>
        <v>134.43950609310409</v>
      </c>
      <c r="H26" s="48">
        <f t="shared" si="6"/>
        <v>138.24353476152035</v>
      </c>
      <c r="I26" s="48">
        <f t="shared" si="6"/>
        <v>134.70964841897194</v>
      </c>
      <c r="J26" s="48">
        <f t="shared" si="6"/>
        <v>131.69770258261499</v>
      </c>
      <c r="K26" s="48">
        <f t="shared" si="6"/>
        <v>128.37887192842203</v>
      </c>
      <c r="L26" s="48">
        <f t="shared" si="6"/>
        <v>125.08250504753244</v>
      </c>
      <c r="M26" s="48">
        <f t="shared" si="6"/>
        <v>121.65242642402507</v>
      </c>
      <c r="N26" s="48">
        <f t="shared" si="6"/>
        <v>117.83243737817207</v>
      </c>
      <c r="O26" s="48">
        <f t="shared" si="6"/>
        <v>115.02540585743083</v>
      </c>
      <c r="P26" s="48">
        <f t="shared" si="6"/>
        <v>112.00005544558155</v>
      </c>
      <c r="Q26" s="48">
        <f t="shared" si="6"/>
        <v>108.86868019856558</v>
      </c>
      <c r="R26" s="48">
        <f t="shared" si="6"/>
        <v>105.94084883806676</v>
      </c>
      <c r="S26" s="48">
        <f t="shared" ref="S26:T26" si="7">S23</f>
        <v>103.02966936507221</v>
      </c>
      <c r="T26" s="48">
        <f t="shared" si="7"/>
        <v>100.11176762266268</v>
      </c>
    </row>
    <row r="27" spans="1:20" hidden="1">
      <c r="A27" s="49"/>
      <c r="B27" s="55"/>
      <c r="C27" s="55"/>
      <c r="D27" s="55"/>
      <c r="E27" s="53"/>
      <c r="F27" s="51"/>
      <c r="G27" s="51"/>
      <c r="H27" s="51"/>
      <c r="I27" s="51"/>
      <c r="J27" s="51"/>
      <c r="K27" s="51"/>
      <c r="L27" s="51"/>
      <c r="M27" s="51"/>
      <c r="N27" s="51"/>
      <c r="O27" s="51"/>
      <c r="P27" s="51"/>
      <c r="Q27" s="51"/>
      <c r="R27" s="51"/>
      <c r="S27" s="51"/>
      <c r="T27" s="51"/>
    </row>
    <row r="28" spans="1:20" hidden="1">
      <c r="A28" s="49"/>
      <c r="B28" s="55" t="s">
        <v>15</v>
      </c>
      <c r="C28" s="426"/>
      <c r="D28" s="426"/>
      <c r="E28" s="53">
        <v>1</v>
      </c>
      <c r="F28" s="51">
        <f>E28/(1+0.1)</f>
        <v>0.90909090909090906</v>
      </c>
      <c r="G28" s="51">
        <f>F28/(1+0.1)</f>
        <v>0.82644628099173545</v>
      </c>
      <c r="H28" s="51">
        <f t="shared" ref="H28:R28" si="8">G28/(1+0.1)</f>
        <v>0.75131480090157765</v>
      </c>
      <c r="I28" s="51">
        <f t="shared" si="8"/>
        <v>0.68301345536507052</v>
      </c>
      <c r="J28" s="51">
        <f t="shared" si="8"/>
        <v>0.62092132305915493</v>
      </c>
      <c r="K28" s="51">
        <f t="shared" si="8"/>
        <v>0.56447393005377711</v>
      </c>
      <c r="L28" s="51">
        <f t="shared" si="8"/>
        <v>0.51315811823070645</v>
      </c>
      <c r="M28" s="51">
        <f t="shared" si="8"/>
        <v>0.46650738020973309</v>
      </c>
      <c r="N28" s="51">
        <f t="shared" si="8"/>
        <v>0.42409761837248461</v>
      </c>
      <c r="O28" s="51">
        <f t="shared" si="8"/>
        <v>0.38554328942953142</v>
      </c>
      <c r="P28" s="51">
        <f t="shared" si="8"/>
        <v>0.35049389948139215</v>
      </c>
      <c r="Q28" s="51">
        <f t="shared" si="8"/>
        <v>0.31863081771035645</v>
      </c>
      <c r="R28" s="51">
        <f t="shared" si="8"/>
        <v>0.28966437973668768</v>
      </c>
      <c r="S28" s="51">
        <f t="shared" ref="S28" si="9">R28/(1+0.1)</f>
        <v>0.26333125430607968</v>
      </c>
      <c r="T28" s="51">
        <f t="shared" ref="T28" si="10">S28/(1+0.1)</f>
        <v>0.23939204936916333</v>
      </c>
    </row>
    <row r="29" spans="1:20" hidden="1">
      <c r="A29" s="49"/>
      <c r="B29" s="55" t="s">
        <v>16</v>
      </c>
      <c r="C29" s="460"/>
      <c r="D29" s="460"/>
      <c r="E29" s="65"/>
      <c r="F29" s="54">
        <f>F26*F28</f>
        <v>-313.92431881870635</v>
      </c>
      <c r="G29" s="54">
        <f t="shared" ref="G29:R29" si="11">G26*G28</f>
        <v>111.10702982901162</v>
      </c>
      <c r="H29" s="54">
        <f t="shared" si="11"/>
        <v>103.86441379528199</v>
      </c>
      <c r="I29" s="54">
        <f t="shared" si="11"/>
        <v>92.008502437655835</v>
      </c>
      <c r="J29" s="54">
        <f t="shared" si="11"/>
        <v>81.773911731448393</v>
      </c>
      <c r="K29" s="54">
        <f t="shared" si="11"/>
        <v>72.466526373306905</v>
      </c>
      <c r="L29" s="54">
        <f t="shared" si="11"/>
        <v>64.187102913774581</v>
      </c>
      <c r="M29" s="54">
        <f t="shared" si="11"/>
        <v>56.751754747229242</v>
      </c>
      <c r="N29" s="54">
        <f t="shared" si="11"/>
        <v>49.972456059107714</v>
      </c>
      <c r="O29" s="54">
        <f t="shared" si="11"/>
        <v>44.347273342240769</v>
      </c>
      <c r="P29" s="54">
        <f t="shared" si="11"/>
        <v>39.255336175254008</v>
      </c>
      <c r="Q29" s="54">
        <f t="shared" si="11"/>
        <v>34.688916594716247</v>
      </c>
      <c r="R29" s="54">
        <f t="shared" si="11"/>
        <v>30.687290267456795</v>
      </c>
      <c r="S29" s="54">
        <f t="shared" ref="S29:T29" si="12">S26*S28</f>
        <v>27.130932064645137</v>
      </c>
      <c r="T29" s="54">
        <f t="shared" si="12"/>
        <v>23.965961217158672</v>
      </c>
    </row>
    <row r="30" spans="1:20" hidden="1">
      <c r="A30" s="49"/>
      <c r="B30" s="55" t="s">
        <v>17</v>
      </c>
      <c r="C30" s="55"/>
      <c r="D30" s="55"/>
      <c r="E30" s="65"/>
      <c r="F30" s="54">
        <f>F26</f>
        <v>-345.31675070057702</v>
      </c>
      <c r="G30" s="54">
        <f t="shared" ref="G30:R30" si="13">G26</f>
        <v>134.43950609310409</v>
      </c>
      <c r="H30" s="54">
        <f t="shared" si="13"/>
        <v>138.24353476152035</v>
      </c>
      <c r="I30" s="54">
        <f t="shared" si="13"/>
        <v>134.70964841897194</v>
      </c>
      <c r="J30" s="54">
        <f t="shared" si="13"/>
        <v>131.69770258261499</v>
      </c>
      <c r="K30" s="54">
        <f t="shared" si="13"/>
        <v>128.37887192842203</v>
      </c>
      <c r="L30" s="54">
        <f t="shared" si="13"/>
        <v>125.08250504753244</v>
      </c>
      <c r="M30" s="54">
        <f t="shared" si="13"/>
        <v>121.65242642402507</v>
      </c>
      <c r="N30" s="54">
        <f t="shared" si="13"/>
        <v>117.83243737817207</v>
      </c>
      <c r="O30" s="54">
        <f t="shared" si="13"/>
        <v>115.02540585743083</v>
      </c>
      <c r="P30" s="54">
        <f t="shared" si="13"/>
        <v>112.00005544558155</v>
      </c>
      <c r="Q30" s="54">
        <f t="shared" si="13"/>
        <v>108.86868019856558</v>
      </c>
      <c r="R30" s="54">
        <f t="shared" si="13"/>
        <v>105.94084883806676</v>
      </c>
      <c r="S30" s="54">
        <f t="shared" ref="S30:T30" si="14">S26</f>
        <v>103.02966936507221</v>
      </c>
      <c r="T30" s="54">
        <f t="shared" si="14"/>
        <v>100.11176762266268</v>
      </c>
    </row>
    <row r="31" spans="1:20" hidden="1">
      <c r="A31" s="66"/>
      <c r="B31" s="56" t="s">
        <v>181</v>
      </c>
      <c r="C31" s="56"/>
      <c r="D31" s="56"/>
      <c r="E31" s="67"/>
      <c r="F31" s="68">
        <f>F26</f>
        <v>-345.31675070057702</v>
      </c>
      <c r="G31" s="68">
        <f>F31+G26</f>
        <v>-210.87724460747293</v>
      </c>
      <c r="H31" s="68">
        <f t="shared" ref="H31:R31" si="15">G31+H26</f>
        <v>-72.633709845952581</v>
      </c>
      <c r="I31" s="68">
        <f t="shared" si="15"/>
        <v>62.075938573019357</v>
      </c>
      <c r="J31" s="68">
        <f t="shared" si="15"/>
        <v>193.77364115563435</v>
      </c>
      <c r="K31" s="68">
        <f t="shared" si="15"/>
        <v>322.15251308405641</v>
      </c>
      <c r="L31" s="68">
        <f t="shared" si="15"/>
        <v>447.23501813158884</v>
      </c>
      <c r="M31" s="68">
        <f t="shared" si="15"/>
        <v>568.88744455561391</v>
      </c>
      <c r="N31" s="68">
        <f t="shared" si="15"/>
        <v>686.71988193378593</v>
      </c>
      <c r="O31" s="68">
        <f t="shared" si="15"/>
        <v>801.7452877912167</v>
      </c>
      <c r="P31" s="68">
        <f t="shared" si="15"/>
        <v>913.74534323679825</v>
      </c>
      <c r="Q31" s="68">
        <f t="shared" si="15"/>
        <v>1022.6140234353638</v>
      </c>
      <c r="R31" s="68">
        <f t="shared" si="15"/>
        <v>1128.5548722734306</v>
      </c>
      <c r="S31" s="68">
        <f t="shared" ref="S31" si="16">R31+S26</f>
        <v>1231.5845416385027</v>
      </c>
      <c r="T31" s="68">
        <f t="shared" ref="T31" si="17">S31+T26</f>
        <v>1331.6963092611654</v>
      </c>
    </row>
    <row r="32" spans="1:20">
      <c r="A32" s="49"/>
      <c r="B32" s="55"/>
      <c r="C32" s="55"/>
      <c r="D32" s="55"/>
      <c r="E32" s="53"/>
      <c r="F32" s="54"/>
      <c r="G32" s="54"/>
      <c r="H32" s="54"/>
      <c r="I32" s="54"/>
      <c r="J32" s="54"/>
      <c r="K32" s="54"/>
      <c r="L32" s="54"/>
      <c r="M32" s="54"/>
      <c r="N32" s="54"/>
      <c r="O32" s="54"/>
      <c r="P32" s="54"/>
      <c r="Q32" s="54"/>
      <c r="R32" s="54"/>
      <c r="S32" s="54"/>
      <c r="T32" s="54"/>
    </row>
    <row r="33" spans="1:20" hidden="1">
      <c r="A33" s="49"/>
      <c r="B33" s="55"/>
      <c r="C33" s="55"/>
      <c r="D33" s="55"/>
      <c r="E33" s="53"/>
      <c r="F33" s="54"/>
      <c r="G33" s="54"/>
      <c r="H33" s="54"/>
      <c r="I33" s="54"/>
      <c r="J33" s="54"/>
      <c r="K33" s="54"/>
      <c r="L33" s="54"/>
      <c r="M33" s="54"/>
      <c r="N33" s="54"/>
      <c r="O33" s="54"/>
      <c r="P33" s="54"/>
      <c r="Q33" s="54"/>
      <c r="R33" s="54"/>
      <c r="S33" s="54"/>
      <c r="T33" s="54"/>
    </row>
    <row r="34" spans="1:20" hidden="1">
      <c r="A34" s="49"/>
      <c r="B34" s="201" t="s">
        <v>18</v>
      </c>
      <c r="C34" s="202"/>
      <c r="D34" s="202"/>
      <c r="E34" s="203">
        <f>NPV(0%,(F29:R29))</f>
        <v>467.18619544777778</v>
      </c>
      <c r="F34" s="204"/>
      <c r="G34" s="51"/>
      <c r="H34" s="51"/>
      <c r="I34" s="51"/>
      <c r="J34" s="51"/>
      <c r="K34" s="51"/>
      <c r="L34" s="51"/>
      <c r="M34" s="51"/>
      <c r="N34" s="51"/>
      <c r="O34" s="51"/>
      <c r="P34" s="51"/>
      <c r="Q34" s="51"/>
      <c r="R34" s="51"/>
      <c r="S34" s="51"/>
      <c r="T34" s="51"/>
    </row>
    <row r="35" spans="1:20" hidden="1">
      <c r="A35" s="49"/>
      <c r="B35" s="205" t="s">
        <v>19</v>
      </c>
      <c r="C35" s="206"/>
      <c r="D35" s="206"/>
      <c r="E35" s="207">
        <f>IRR(C26:R26,0)</f>
        <v>9.9238045712038314E-2</v>
      </c>
      <c r="F35" s="208"/>
      <c r="G35" s="51"/>
      <c r="H35" s="51"/>
      <c r="I35" s="51"/>
      <c r="J35" s="51"/>
      <c r="K35" s="51"/>
      <c r="L35" s="51"/>
      <c r="M35" s="51"/>
      <c r="N35" s="51"/>
      <c r="O35" s="51"/>
      <c r="P35" s="51"/>
      <c r="Q35" s="51"/>
      <c r="R35" s="51"/>
      <c r="S35" s="51"/>
      <c r="T35" s="51"/>
    </row>
    <row r="36" spans="1:20" hidden="1">
      <c r="A36" s="49"/>
      <c r="B36" s="158" t="s">
        <v>170</v>
      </c>
      <c r="C36" s="159"/>
      <c r="D36" s="159"/>
      <c r="E36" s="209">
        <f>IF(SUM(F41:R41)&lt;=25,SUM(F41:R41)," N/A ")</f>
        <v>3.5391871384004232</v>
      </c>
      <c r="F36" s="210"/>
      <c r="G36" s="51"/>
      <c r="H36" s="51"/>
      <c r="I36" s="51"/>
      <c r="J36" s="51"/>
      <c r="K36" s="51"/>
      <c r="L36" s="51"/>
      <c r="M36" s="51"/>
      <c r="N36" s="51"/>
      <c r="O36" s="51"/>
      <c r="P36" s="51"/>
      <c r="Q36" s="51"/>
      <c r="R36" s="51"/>
      <c r="S36" s="51"/>
      <c r="T36" s="51"/>
    </row>
    <row r="37" spans="1:20" ht="16.5" hidden="1" customHeight="1">
      <c r="A37" s="49"/>
      <c r="B37" s="211" t="s">
        <v>171</v>
      </c>
      <c r="C37" s="190"/>
      <c r="D37" s="190"/>
      <c r="E37" s="209">
        <f>IF(SUM(F42:R42)&lt;=25,SUM(F42:R42)," N/A ")</f>
        <v>3.7894238893320598</v>
      </c>
      <c r="F37" s="212"/>
      <c r="G37" s="51"/>
      <c r="H37" s="51"/>
      <c r="I37" s="51"/>
      <c r="J37" s="51"/>
      <c r="K37" s="51"/>
      <c r="L37" s="51"/>
      <c r="M37" s="51"/>
      <c r="N37" s="51"/>
      <c r="O37" s="51"/>
      <c r="P37" s="51"/>
      <c r="Q37" s="51"/>
      <c r="R37" s="51"/>
      <c r="S37" s="51"/>
      <c r="T37" s="51"/>
    </row>
    <row r="38" spans="1:20" ht="19.5" hidden="1" customHeight="1">
      <c r="A38" s="80"/>
      <c r="B38" s="12"/>
      <c r="C38" s="12"/>
      <c r="D38" s="12"/>
      <c r="E38" s="12"/>
      <c r="F38" s="70">
        <v>1</v>
      </c>
      <c r="G38" s="83">
        <v>2</v>
      </c>
      <c r="H38" s="83">
        <v>3</v>
      </c>
      <c r="I38" s="83">
        <v>4</v>
      </c>
      <c r="J38" s="83">
        <v>5</v>
      </c>
      <c r="K38" s="83">
        <v>6</v>
      </c>
      <c r="L38" s="83">
        <v>7</v>
      </c>
      <c r="M38" s="83">
        <v>8</v>
      </c>
      <c r="N38" s="83">
        <v>9</v>
      </c>
      <c r="O38" s="83">
        <v>10</v>
      </c>
      <c r="P38" s="83">
        <v>11</v>
      </c>
      <c r="Q38" s="83">
        <v>12</v>
      </c>
      <c r="R38" s="83">
        <v>13</v>
      </c>
      <c r="S38" s="83">
        <v>13</v>
      </c>
      <c r="T38" s="83">
        <v>13</v>
      </c>
    </row>
    <row r="39" spans="1:20" ht="14.25" hidden="1" customHeight="1">
      <c r="A39" s="69"/>
      <c r="B39" s="85" t="s">
        <v>172</v>
      </c>
      <c r="C39" s="12"/>
      <c r="D39" s="12"/>
      <c r="E39" s="12"/>
      <c r="F39" s="70">
        <f t="shared" ref="F39:R39" si="18">IF(F31&lt;0,1,IF(F30=0,0,-E31/F30))</f>
        <v>1</v>
      </c>
      <c r="G39" s="70">
        <f t="shared" si="18"/>
        <v>1</v>
      </c>
      <c r="H39" s="70">
        <f t="shared" si="18"/>
        <v>1</v>
      </c>
      <c r="I39" s="70">
        <f t="shared" si="18"/>
        <v>0.5391871384004232</v>
      </c>
      <c r="J39" s="70">
        <f t="shared" si="18"/>
        <v>-0.47135171954938726</v>
      </c>
      <c r="K39" s="70">
        <f t="shared" si="18"/>
        <v>-1.5093888756373661</v>
      </c>
      <c r="L39" s="70">
        <f t="shared" si="18"/>
        <v>-2.5755201573684157</v>
      </c>
      <c r="M39" s="70">
        <f t="shared" si="18"/>
        <v>-3.676334548171944</v>
      </c>
      <c r="N39" s="70">
        <f t="shared" si="18"/>
        <v>-4.8279358147351514</v>
      </c>
      <c r="O39" s="70">
        <f t="shared" si="18"/>
        <v>-5.9701583038528589</v>
      </c>
      <c r="P39" s="70">
        <f t="shared" si="18"/>
        <v>-7.158436525781612</v>
      </c>
      <c r="Q39" s="70">
        <f t="shared" si="18"/>
        <v>-8.3930965413580658</v>
      </c>
      <c r="R39" s="70">
        <f t="shared" si="18"/>
        <v>-9.6526885960528315</v>
      </c>
      <c r="S39" s="70">
        <f t="shared" ref="S39" si="19">IF(S31&lt;0,1,IF(S30=0,0,-R31/S30))</f>
        <v>-10.953688187375848</v>
      </c>
      <c r="T39" s="70">
        <f t="shared" ref="T39" si="20">IF(T31&lt;0,1,IF(T30=0,0,-S31/T30))</f>
        <v>-12.302095656532032</v>
      </c>
    </row>
    <row r="40" spans="1:20" hidden="1">
      <c r="A40" s="84"/>
      <c r="B40" s="85" t="s">
        <v>173</v>
      </c>
      <c r="C40" s="12"/>
      <c r="D40" s="12"/>
      <c r="E40" s="12"/>
      <c r="F40" s="70">
        <f>IF(F31&lt;0,1,IF(F29=0,0,-E31/F29))</f>
        <v>1</v>
      </c>
      <c r="G40" s="70">
        <f>IF(G31&lt;0,1,IF(G29=0,0,-F31/G29))</f>
        <v>1</v>
      </c>
      <c r="H40" s="70">
        <f t="shared" ref="H40:R40" si="21">IF(H31&lt;0,1,IF(H29=0,0,-G31/H29))</f>
        <v>1</v>
      </c>
      <c r="I40" s="70">
        <f t="shared" si="21"/>
        <v>0.78942388933205987</v>
      </c>
      <c r="J40" s="70">
        <f t="shared" si="21"/>
        <v>-0.75911665785148397</v>
      </c>
      <c r="K40" s="70">
        <f t="shared" si="21"/>
        <v>-2.6739744659130094</v>
      </c>
      <c r="L40" s="70">
        <f t="shared" si="21"/>
        <v>-5.0189601720585264</v>
      </c>
      <c r="M40" s="70">
        <f t="shared" si="21"/>
        <v>-7.8805495992777903</v>
      </c>
      <c r="N40" s="70">
        <f t="shared" si="21"/>
        <v>-11.384020106650961</v>
      </c>
      <c r="O40" s="70">
        <f t="shared" si="21"/>
        <v>-15.485053086221772</v>
      </c>
      <c r="P40" s="70">
        <f t="shared" si="21"/>
        <v>-20.423854841335565</v>
      </c>
      <c r="Q40" s="70">
        <f t="shared" si="21"/>
        <v>-26.341132353957065</v>
      </c>
      <c r="R40" s="70">
        <f t="shared" si="21"/>
        <v>-33.323698981653777</v>
      </c>
      <c r="S40" s="70">
        <f t="shared" ref="S40" si="22">IF(S31&lt;0,1,IF(S29=0,0,-R31/S29))</f>
        <v>-41.59661266278696</v>
      </c>
      <c r="T40" s="70">
        <f t="shared" ref="T40" si="23">IF(T31&lt;0,1,IF(T29=0,0,-S31/T29))</f>
        <v>-51.388906561224729</v>
      </c>
    </row>
    <row r="41" spans="1:20" hidden="1">
      <c r="A41" s="69"/>
      <c r="B41" s="85" t="s">
        <v>174</v>
      </c>
      <c r="C41" s="12"/>
      <c r="D41" s="12"/>
      <c r="E41" s="12"/>
      <c r="F41" s="82">
        <f>IF(F39&gt;0,F39,0)</f>
        <v>1</v>
      </c>
      <c r="G41" s="82">
        <f t="shared" ref="G41:R41" si="24">IF(G39&gt;0,G39,0)</f>
        <v>1</v>
      </c>
      <c r="H41" s="82">
        <f t="shared" si="24"/>
        <v>1</v>
      </c>
      <c r="I41" s="82">
        <f t="shared" si="24"/>
        <v>0.5391871384004232</v>
      </c>
      <c r="J41" s="82">
        <f t="shared" si="24"/>
        <v>0</v>
      </c>
      <c r="K41" s="82">
        <f t="shared" si="24"/>
        <v>0</v>
      </c>
      <c r="L41" s="82">
        <f t="shared" si="24"/>
        <v>0</v>
      </c>
      <c r="M41" s="82">
        <f t="shared" si="24"/>
        <v>0</v>
      </c>
      <c r="N41" s="82">
        <f t="shared" si="24"/>
        <v>0</v>
      </c>
      <c r="O41" s="82">
        <f t="shared" si="24"/>
        <v>0</v>
      </c>
      <c r="P41" s="82">
        <f t="shared" si="24"/>
        <v>0</v>
      </c>
      <c r="Q41" s="82">
        <f t="shared" si="24"/>
        <v>0</v>
      </c>
      <c r="R41" s="82">
        <f t="shared" si="24"/>
        <v>0</v>
      </c>
      <c r="S41" s="82">
        <f t="shared" ref="S41:T41" si="25">IF(S39&gt;0,S39,0)</f>
        <v>0</v>
      </c>
      <c r="T41" s="82">
        <f t="shared" si="25"/>
        <v>0</v>
      </c>
    </row>
    <row r="42" spans="1:20" ht="16.5" hidden="1" customHeight="1">
      <c r="A42" s="69"/>
      <c r="B42" s="81" t="s">
        <v>175</v>
      </c>
      <c r="C42" s="71"/>
      <c r="D42" s="71"/>
      <c r="E42" s="71"/>
      <c r="F42" s="86">
        <f>IF(F40&gt;0,F40,0)</f>
        <v>1</v>
      </c>
      <c r="G42" s="86">
        <f t="shared" ref="G42:R42" si="26">IF(G40&gt;0,G40,0)</f>
        <v>1</v>
      </c>
      <c r="H42" s="86">
        <f t="shared" si="26"/>
        <v>1</v>
      </c>
      <c r="I42" s="86">
        <f t="shared" si="26"/>
        <v>0.78942388933205987</v>
      </c>
      <c r="J42" s="86">
        <f t="shared" si="26"/>
        <v>0</v>
      </c>
      <c r="K42" s="86">
        <f t="shared" si="26"/>
        <v>0</v>
      </c>
      <c r="L42" s="86">
        <f t="shared" si="26"/>
        <v>0</v>
      </c>
      <c r="M42" s="86">
        <f t="shared" si="26"/>
        <v>0</v>
      </c>
      <c r="N42" s="86">
        <f t="shared" si="26"/>
        <v>0</v>
      </c>
      <c r="O42" s="86">
        <f t="shared" si="26"/>
        <v>0</v>
      </c>
      <c r="P42" s="86">
        <f t="shared" si="26"/>
        <v>0</v>
      </c>
      <c r="Q42" s="86">
        <f t="shared" si="26"/>
        <v>0</v>
      </c>
      <c r="R42" s="86">
        <f t="shared" si="26"/>
        <v>0</v>
      </c>
      <c r="S42" s="86">
        <f t="shared" ref="S42:T42" si="27">IF(S40&gt;0,S40,0)</f>
        <v>0</v>
      </c>
      <c r="T42" s="86">
        <f t="shared" si="27"/>
        <v>0</v>
      </c>
    </row>
    <row r="43" spans="1:20" ht="16.5" hidden="1" customHeight="1">
      <c r="A43" s="27"/>
      <c r="B43" s="85"/>
      <c r="C43" s="12"/>
      <c r="D43" s="12"/>
      <c r="E43" s="12"/>
      <c r="F43" s="82"/>
      <c r="G43" s="82"/>
      <c r="H43" s="82"/>
      <c r="I43" s="82"/>
      <c r="J43" s="82"/>
      <c r="K43" s="82"/>
      <c r="L43" s="82"/>
      <c r="M43" s="82"/>
      <c r="N43" s="82"/>
      <c r="O43" s="82"/>
      <c r="P43" s="82"/>
      <c r="Q43" s="82"/>
      <c r="R43" s="82"/>
      <c r="S43" s="82"/>
      <c r="T43" s="82"/>
    </row>
    <row r="44" spans="1:20" ht="16.5" customHeight="1">
      <c r="A44" s="27"/>
      <c r="B44" s="792"/>
      <c r="C44" s="793" t="s">
        <v>19</v>
      </c>
      <c r="D44" s="12"/>
      <c r="E44" s="12"/>
      <c r="F44" s="82"/>
      <c r="G44" s="82"/>
      <c r="H44" s="82"/>
      <c r="I44" s="82"/>
      <c r="J44" s="82"/>
      <c r="K44" s="82"/>
      <c r="L44" s="82"/>
      <c r="M44" s="82"/>
      <c r="N44" s="82"/>
      <c r="O44" s="82"/>
      <c r="P44" s="82"/>
      <c r="Q44" s="82"/>
      <c r="R44" s="82"/>
      <c r="S44" s="82"/>
      <c r="T44" s="82"/>
    </row>
    <row r="45" spans="1:20" ht="16.5" customHeight="1">
      <c r="A45" s="27"/>
      <c r="B45" s="750" t="s">
        <v>647</v>
      </c>
      <c r="C45" s="797">
        <f>IRR!C17</f>
        <v>3.6969687665107109E-3</v>
      </c>
      <c r="D45" s="12"/>
      <c r="E45" s="12"/>
      <c r="F45" s="82"/>
      <c r="G45" s="82"/>
      <c r="H45" s="82"/>
      <c r="I45" s="82"/>
      <c r="J45" s="82"/>
      <c r="K45" s="82"/>
      <c r="L45" s="82"/>
      <c r="M45" s="82"/>
      <c r="N45" s="82"/>
      <c r="O45" s="82"/>
      <c r="P45" s="82"/>
      <c r="Q45" s="82"/>
      <c r="R45" s="82"/>
      <c r="S45" s="82"/>
      <c r="T45" s="82"/>
    </row>
    <row r="46" spans="1:20" ht="16.5" customHeight="1">
      <c r="A46" s="27"/>
      <c r="B46" s="750" t="s">
        <v>608</v>
      </c>
      <c r="C46" s="797">
        <f>IRR!C31</f>
        <v>-0.17072875842901869</v>
      </c>
      <c r="D46" s="12"/>
      <c r="E46" s="12"/>
      <c r="F46" s="82"/>
      <c r="G46" s="82"/>
      <c r="H46" s="82"/>
      <c r="I46" s="82"/>
      <c r="J46" s="82"/>
      <c r="K46" s="82"/>
      <c r="L46" s="82"/>
      <c r="M46" s="82"/>
      <c r="N46" s="82"/>
      <c r="O46" s="82"/>
      <c r="P46" s="82"/>
      <c r="Q46" s="82"/>
      <c r="R46" s="82"/>
      <c r="S46" s="82"/>
      <c r="T46" s="82"/>
    </row>
    <row r="47" spans="1:20" ht="16.5" customHeight="1">
      <c r="A47" s="27"/>
      <c r="B47" s="85"/>
      <c r="C47" s="12"/>
      <c r="D47" s="12"/>
      <c r="E47" s="12"/>
      <c r="F47" s="82"/>
      <c r="G47" s="82"/>
      <c r="H47" s="82"/>
      <c r="I47" s="82"/>
      <c r="J47" s="82"/>
      <c r="K47" s="82"/>
      <c r="L47" s="82"/>
      <c r="M47" s="82"/>
      <c r="N47" s="82"/>
      <c r="O47" s="82"/>
      <c r="P47" s="82"/>
      <c r="Q47" s="82"/>
      <c r="R47" s="82"/>
      <c r="S47" s="82"/>
      <c r="T47" s="82"/>
    </row>
    <row r="48" spans="1:20" ht="16.5" customHeight="1">
      <c r="A48" s="3"/>
      <c r="B48" s="792" t="s">
        <v>599</v>
      </c>
      <c r="C48" s="798">
        <f>Capex!B31</f>
        <v>417.86631406840155</v>
      </c>
      <c r="D48" s="792" t="s">
        <v>64</v>
      </c>
      <c r="E48" s="12"/>
      <c r="F48" s="82"/>
      <c r="G48" s="82"/>
      <c r="H48" s="82"/>
      <c r="I48" s="82"/>
      <c r="J48" s="82"/>
      <c r="K48" s="82"/>
      <c r="L48" s="82"/>
      <c r="M48" s="82"/>
      <c r="N48" s="82"/>
      <c r="O48" s="82"/>
      <c r="P48" s="82"/>
      <c r="Q48" s="82"/>
      <c r="R48" s="82"/>
      <c r="S48" s="82"/>
      <c r="T48" s="82"/>
    </row>
    <row r="49" spans="1:20" ht="16.5" customHeight="1">
      <c r="A49" s="3"/>
      <c r="B49" s="750" t="s">
        <v>600</v>
      </c>
      <c r="C49" s="749">
        <f>Capex!B32</f>
        <v>34.473970910643125</v>
      </c>
      <c r="D49" s="750"/>
      <c r="E49" s="12"/>
      <c r="F49" s="82"/>
      <c r="G49" s="82"/>
      <c r="H49" s="82"/>
      <c r="I49" s="82"/>
      <c r="J49" s="82"/>
      <c r="K49" s="82"/>
      <c r="L49" s="82"/>
      <c r="M49" s="82"/>
      <c r="N49" s="82"/>
      <c r="O49" s="82"/>
      <c r="P49" s="82"/>
      <c r="Q49" s="82"/>
      <c r="R49" s="82"/>
      <c r="S49" s="82"/>
      <c r="T49" s="82"/>
    </row>
    <row r="50" spans="1:20" ht="16.5" customHeight="1">
      <c r="A50" s="3"/>
      <c r="B50" s="750" t="s">
        <v>601</v>
      </c>
      <c r="C50" s="751">
        <f>(C48*D50)</f>
        <v>0</v>
      </c>
      <c r="D50" s="752">
        <v>0</v>
      </c>
      <c r="E50" s="12"/>
      <c r="F50" s="82"/>
      <c r="G50" s="82"/>
      <c r="H50" s="82"/>
      <c r="I50" s="82"/>
      <c r="J50" s="82"/>
      <c r="K50" s="82"/>
      <c r="L50" s="82"/>
      <c r="M50" s="82"/>
      <c r="N50" s="82"/>
      <c r="O50" s="82"/>
      <c r="P50" s="82"/>
      <c r="Q50" s="82"/>
      <c r="R50" s="82"/>
      <c r="S50" s="82"/>
      <c r="T50" s="82"/>
    </row>
    <row r="51" spans="1:20" ht="16.5" customHeight="1">
      <c r="A51" s="3">
        <v>4</v>
      </c>
      <c r="B51" s="182" t="s">
        <v>602</v>
      </c>
      <c r="C51" s="799">
        <f>+C48+C49+C50</f>
        <v>452.34028497904467</v>
      </c>
      <c r="D51" s="182" t="s">
        <v>64</v>
      </c>
      <c r="E51" s="12"/>
      <c r="F51" s="82"/>
      <c r="G51" s="82"/>
      <c r="H51" s="82"/>
      <c r="I51" s="82"/>
      <c r="J51" s="82"/>
      <c r="K51" s="82"/>
      <c r="L51" s="82"/>
      <c r="M51" s="82"/>
      <c r="N51" s="82"/>
      <c r="O51" s="82"/>
      <c r="P51" s="82"/>
      <c r="Q51" s="82"/>
      <c r="R51" s="82"/>
      <c r="S51" s="82"/>
      <c r="T51" s="82"/>
    </row>
    <row r="52" spans="1:20" ht="16.5" customHeight="1">
      <c r="A52" s="27"/>
      <c r="B52" s="85"/>
      <c r="C52" s="12"/>
      <c r="D52" s="12"/>
      <c r="E52" s="12"/>
      <c r="F52" s="82"/>
      <c r="G52" s="82"/>
      <c r="H52" s="82"/>
      <c r="I52" s="82"/>
      <c r="J52" s="82"/>
      <c r="K52" s="82"/>
      <c r="L52" s="82"/>
      <c r="M52" s="82"/>
      <c r="N52" s="82"/>
      <c r="O52" s="82"/>
      <c r="P52" s="82"/>
      <c r="Q52" s="82"/>
      <c r="R52" s="82"/>
      <c r="S52" s="82"/>
      <c r="T52" s="82"/>
    </row>
    <row r="53" spans="1:20" ht="16.5" customHeight="1">
      <c r="A53" s="27"/>
      <c r="B53" s="792" t="s">
        <v>604</v>
      </c>
      <c r="C53" s="798" t="s">
        <v>605</v>
      </c>
      <c r="D53" s="792" t="s">
        <v>606</v>
      </c>
      <c r="E53" s="12"/>
      <c r="F53" s="82"/>
      <c r="G53" s="82"/>
      <c r="H53" s="82"/>
      <c r="I53" s="82"/>
      <c r="J53" s="82"/>
      <c r="K53" s="82"/>
      <c r="L53" s="82"/>
      <c r="M53" s="82"/>
      <c r="N53" s="82"/>
      <c r="O53" s="82"/>
      <c r="P53" s="82"/>
      <c r="Q53" s="82"/>
      <c r="R53" s="82"/>
      <c r="S53" s="82"/>
      <c r="T53" s="82"/>
    </row>
    <row r="54" spans="1:20" ht="16.5" customHeight="1">
      <c r="A54" s="27"/>
      <c r="B54" s="750" t="s">
        <v>607</v>
      </c>
      <c r="C54" s="752">
        <v>0.75</v>
      </c>
      <c r="D54" s="753">
        <f>C51*C54</f>
        <v>339.25521373428353</v>
      </c>
      <c r="E54" s="12"/>
      <c r="F54" s="82"/>
      <c r="G54" s="82"/>
      <c r="H54" s="82"/>
      <c r="I54" s="82"/>
      <c r="J54" s="82"/>
      <c r="K54" s="82"/>
      <c r="L54" s="82"/>
      <c r="M54" s="82"/>
      <c r="N54" s="82"/>
      <c r="O54" s="82"/>
      <c r="P54" s="82"/>
      <c r="Q54" s="82"/>
      <c r="R54" s="82"/>
      <c r="S54" s="82"/>
      <c r="T54" s="82"/>
    </row>
    <row r="55" spans="1:20" ht="16.5" customHeight="1">
      <c r="A55" s="27"/>
      <c r="B55" s="750" t="s">
        <v>608</v>
      </c>
      <c r="C55" s="752">
        <v>0.25</v>
      </c>
      <c r="D55" s="753">
        <f>C55*C51</f>
        <v>113.08507124476117</v>
      </c>
      <c r="E55" s="12"/>
      <c r="F55" s="82"/>
      <c r="G55" s="82"/>
      <c r="H55" s="82"/>
      <c r="I55" s="82"/>
      <c r="J55" s="82"/>
      <c r="K55" s="82"/>
      <c r="L55" s="82"/>
      <c r="M55" s="82"/>
      <c r="N55" s="82"/>
      <c r="O55" s="82"/>
      <c r="P55" s="82"/>
      <c r="Q55" s="82"/>
      <c r="R55" s="82"/>
      <c r="S55" s="82"/>
      <c r="T55" s="82"/>
    </row>
    <row r="56" spans="1:20" ht="16.5" customHeight="1">
      <c r="A56" s="27"/>
      <c r="B56" s="792" t="s">
        <v>73</v>
      </c>
      <c r="C56" s="800">
        <v>1</v>
      </c>
      <c r="D56" s="801">
        <f>SUM(D54:D55)</f>
        <v>452.34028497904467</v>
      </c>
      <c r="E56" s="12"/>
      <c r="F56" s="82"/>
      <c r="G56" s="82"/>
      <c r="H56" s="82"/>
      <c r="I56" s="82"/>
      <c r="J56" s="82"/>
      <c r="K56" s="82"/>
      <c r="L56" s="82"/>
      <c r="M56" s="82"/>
      <c r="N56" s="82"/>
      <c r="O56" s="82"/>
      <c r="P56" s="82"/>
      <c r="Q56" s="82"/>
      <c r="R56" s="82"/>
      <c r="S56" s="82"/>
      <c r="T56" s="82"/>
    </row>
    <row r="57" spans="1:20" ht="16.5" customHeight="1">
      <c r="A57" s="27"/>
      <c r="B57" s="794"/>
      <c r="C57" s="795"/>
      <c r="D57" s="796"/>
      <c r="E57" s="12"/>
      <c r="F57" s="82"/>
      <c r="G57" s="82"/>
      <c r="H57" s="82"/>
      <c r="I57" s="82"/>
      <c r="J57" s="82"/>
      <c r="K57" s="82"/>
      <c r="L57" s="82"/>
      <c r="M57" s="82"/>
      <c r="N57" s="82"/>
      <c r="O57" s="82"/>
      <c r="P57" s="82"/>
      <c r="Q57" s="82"/>
      <c r="R57" s="82"/>
      <c r="S57" s="82"/>
      <c r="T57" s="82"/>
    </row>
    <row r="58" spans="1:20" ht="16.5" customHeight="1">
      <c r="A58" s="27"/>
      <c r="B58" s="496" t="s">
        <v>648</v>
      </c>
      <c r="C58" s="802">
        <v>5.0000000000000001E-3</v>
      </c>
      <c r="D58" s="1" t="s">
        <v>649</v>
      </c>
      <c r="E58" s="12"/>
      <c r="F58" s="82"/>
      <c r="G58" s="82"/>
      <c r="H58" s="82"/>
      <c r="I58" s="82"/>
      <c r="J58" s="82"/>
      <c r="K58" s="82"/>
      <c r="L58" s="82"/>
      <c r="M58" s="82"/>
      <c r="N58" s="82"/>
      <c r="O58" s="82"/>
      <c r="P58" s="82"/>
      <c r="Q58" s="82"/>
      <c r="R58" s="82"/>
      <c r="S58" s="82"/>
      <c r="T58" s="82"/>
    </row>
    <row r="59" spans="1:20" ht="16.5" customHeight="1">
      <c r="A59" s="27"/>
      <c r="B59" s="496" t="str">
        <f>B109</f>
        <v>Treasury required buffer</v>
      </c>
      <c r="C59" s="803">
        <f>C58*C51</f>
        <v>2.2617014248952234</v>
      </c>
      <c r="D59" s="1" t="s">
        <v>650</v>
      </c>
      <c r="E59" s="12"/>
      <c r="F59" s="82"/>
      <c r="G59" s="82"/>
      <c r="H59" s="82"/>
      <c r="I59" s="82"/>
      <c r="J59" s="82"/>
      <c r="K59" s="82"/>
      <c r="L59" s="82"/>
      <c r="M59" s="82"/>
      <c r="N59" s="82"/>
      <c r="O59" s="82"/>
      <c r="P59" s="82"/>
      <c r="Q59" s="82"/>
      <c r="R59" s="82"/>
      <c r="S59" s="82"/>
      <c r="T59" s="82"/>
    </row>
    <row r="60" spans="1:20" s="618" customFormat="1" ht="16.5" customHeight="1">
      <c r="A60" s="616"/>
      <c r="B60" s="85"/>
      <c r="C60" s="617"/>
      <c r="D60" s="617"/>
      <c r="E60" s="617"/>
      <c r="F60" s="82"/>
      <c r="G60" s="82"/>
      <c r="H60" s="82"/>
      <c r="I60" s="82"/>
      <c r="J60" s="82"/>
      <c r="K60" s="82"/>
      <c r="L60" s="82"/>
      <c r="M60" s="82"/>
      <c r="N60" s="82"/>
      <c r="O60" s="82"/>
      <c r="P60" s="82"/>
      <c r="Q60" s="82"/>
      <c r="R60" s="82"/>
      <c r="S60" s="82"/>
      <c r="T60" s="82"/>
    </row>
    <row r="61" spans="1:20" s="618" customFormat="1" ht="16.5" customHeight="1">
      <c r="A61" s="804" t="s">
        <v>592</v>
      </c>
      <c r="B61" s="804" t="s">
        <v>593</v>
      </c>
      <c r="C61" s="804" t="s">
        <v>594</v>
      </c>
      <c r="D61" s="804" t="s">
        <v>595</v>
      </c>
      <c r="E61" s="617"/>
      <c r="F61" s="82"/>
      <c r="G61" s="82"/>
      <c r="H61" s="82"/>
      <c r="I61" s="82"/>
      <c r="J61" s="82"/>
      <c r="K61" s="82"/>
      <c r="L61" s="82"/>
      <c r="M61" s="82"/>
      <c r="N61" s="82"/>
      <c r="O61" s="82"/>
      <c r="P61" s="82"/>
      <c r="Q61" s="82"/>
      <c r="R61" s="82"/>
      <c r="S61" s="82"/>
      <c r="T61" s="82"/>
    </row>
    <row r="62" spans="1:20" s="618" customFormat="1" ht="16.5" customHeight="1">
      <c r="A62" s="619">
        <v>1</v>
      </c>
      <c r="B62" s="619" t="s">
        <v>596</v>
      </c>
      <c r="C62" s="620">
        <v>0.3</v>
      </c>
      <c r="D62" s="620">
        <v>0.15</v>
      </c>
      <c r="E62" s="617"/>
      <c r="F62" s="82"/>
      <c r="G62" s="82"/>
      <c r="H62" s="82"/>
      <c r="I62" s="82"/>
      <c r="J62" s="82"/>
      <c r="K62" s="82"/>
      <c r="L62" s="82"/>
      <c r="M62" s="82"/>
      <c r="N62" s="82"/>
      <c r="O62" s="82"/>
      <c r="P62" s="82"/>
      <c r="Q62" s="82"/>
      <c r="R62" s="82"/>
      <c r="S62" s="82"/>
      <c r="T62" s="82"/>
    </row>
    <row r="63" spans="1:20" s="618" customFormat="1" ht="16.5" customHeight="1">
      <c r="A63" s="619">
        <v>2</v>
      </c>
      <c r="B63" s="619" t="s">
        <v>597</v>
      </c>
      <c r="C63" s="620">
        <v>0.12</v>
      </c>
      <c r="D63" s="620">
        <v>0.12</v>
      </c>
      <c r="E63" s="617"/>
      <c r="F63" s="82"/>
      <c r="G63" s="82"/>
      <c r="H63" s="82"/>
      <c r="I63" s="82"/>
      <c r="J63" s="82"/>
      <c r="K63" s="82"/>
      <c r="L63" s="82"/>
      <c r="M63" s="82"/>
      <c r="N63" s="82"/>
      <c r="O63" s="82"/>
      <c r="P63" s="82"/>
      <c r="Q63" s="82"/>
      <c r="R63" s="82"/>
      <c r="S63" s="82"/>
      <c r="T63" s="82"/>
    </row>
    <row r="64" spans="1:20" s="618" customFormat="1" ht="16.5" customHeight="1">
      <c r="A64" s="619">
        <v>3</v>
      </c>
      <c r="B64" s="619" t="s">
        <v>598</v>
      </c>
      <c r="C64" s="620">
        <v>0.04</v>
      </c>
      <c r="D64" s="620">
        <v>0.04</v>
      </c>
      <c r="E64" s="617"/>
      <c r="F64" s="82"/>
      <c r="G64" s="82"/>
      <c r="H64" s="82"/>
      <c r="I64" s="82"/>
      <c r="J64" s="82"/>
      <c r="K64" s="82"/>
      <c r="L64" s="82"/>
      <c r="M64" s="82"/>
      <c r="N64" s="82"/>
      <c r="O64" s="82"/>
      <c r="P64" s="82"/>
      <c r="Q64" s="82"/>
      <c r="R64" s="82"/>
      <c r="S64" s="82"/>
      <c r="T64" s="82"/>
    </row>
    <row r="65" spans="1:22" s="618" customFormat="1" ht="16.5" customHeight="1">
      <c r="A65" s="619">
        <v>4</v>
      </c>
      <c r="B65" s="619" t="s">
        <v>73</v>
      </c>
      <c r="C65" s="621">
        <f>+C62*(1+C63)*(1+C64)</f>
        <v>0.34944000000000003</v>
      </c>
      <c r="D65" s="621">
        <f>+D62*(1+D63)*(1+D64)</f>
        <v>0.17472000000000001</v>
      </c>
      <c r="E65" s="617"/>
      <c r="F65" s="82"/>
      <c r="G65" s="82"/>
      <c r="H65" s="82"/>
      <c r="I65" s="82"/>
      <c r="J65" s="82"/>
      <c r="K65" s="82"/>
      <c r="L65" s="82"/>
      <c r="M65" s="82"/>
      <c r="N65" s="82"/>
      <c r="O65" s="82"/>
      <c r="P65" s="82"/>
      <c r="Q65" s="82"/>
      <c r="R65" s="82"/>
      <c r="S65" s="82"/>
      <c r="T65" s="82"/>
    </row>
    <row r="66" spans="1:22" s="618" customFormat="1" ht="16.5" customHeight="1">
      <c r="A66" s="616"/>
      <c r="B66" s="85"/>
      <c r="C66" s="617"/>
      <c r="D66" s="617"/>
      <c r="E66" s="617"/>
      <c r="F66" s="82"/>
      <c r="G66" s="82"/>
      <c r="H66" s="82"/>
      <c r="I66" s="82"/>
      <c r="J66" s="82"/>
      <c r="K66" s="82"/>
      <c r="L66" s="82"/>
      <c r="M66" s="82"/>
      <c r="N66" s="82"/>
      <c r="O66" s="82"/>
      <c r="P66" s="82"/>
      <c r="Q66" s="82"/>
      <c r="R66" s="82"/>
      <c r="S66" s="82"/>
      <c r="T66" s="82"/>
    </row>
    <row r="67" spans="1:22" s="618" customFormat="1" ht="16.5" customHeight="1">
      <c r="A67" s="616"/>
      <c r="B67" s="867" t="s">
        <v>589</v>
      </c>
      <c r="C67" s="867"/>
      <c r="D67" s="617"/>
      <c r="E67" s="617"/>
      <c r="F67" s="82"/>
      <c r="G67" s="82"/>
      <c r="H67" s="82"/>
      <c r="I67" s="82"/>
      <c r="J67" s="82"/>
      <c r="K67" s="82"/>
      <c r="L67" s="82"/>
      <c r="M67" s="82"/>
      <c r="N67" s="82"/>
      <c r="O67" s="82"/>
      <c r="P67" s="82"/>
      <c r="Q67" s="82"/>
      <c r="R67" s="82"/>
      <c r="S67" s="82"/>
      <c r="T67" s="82"/>
    </row>
    <row r="68" spans="1:22" s="618" customFormat="1" ht="16.5" customHeight="1">
      <c r="A68" s="616"/>
      <c r="B68" s="622" t="s">
        <v>590</v>
      </c>
      <c r="C68" s="623">
        <v>0.11</v>
      </c>
      <c r="D68" s="617"/>
      <c r="E68" s="617"/>
      <c r="F68" s="82"/>
      <c r="G68" s="82"/>
      <c r="H68" s="82"/>
      <c r="I68" s="82"/>
      <c r="J68" s="82"/>
      <c r="K68" s="82"/>
      <c r="L68" s="82"/>
      <c r="M68" s="82"/>
      <c r="N68" s="82"/>
      <c r="O68" s="82"/>
      <c r="P68" s="82"/>
      <c r="Q68" s="82"/>
      <c r="R68" s="82"/>
      <c r="S68" s="82"/>
      <c r="T68" s="82"/>
    </row>
    <row r="69" spans="1:22" s="618" customFormat="1" ht="16.5" customHeight="1">
      <c r="A69" s="616"/>
      <c r="B69" s="622" t="s">
        <v>591</v>
      </c>
      <c r="C69" s="623">
        <v>0.09</v>
      </c>
      <c r="D69" s="617"/>
      <c r="E69" s="617"/>
      <c r="F69" s="82"/>
      <c r="G69" s="82"/>
      <c r="H69" s="82"/>
      <c r="I69" s="82"/>
      <c r="J69" s="82"/>
      <c r="K69" s="82"/>
      <c r="L69" s="82"/>
      <c r="M69" s="82"/>
      <c r="N69" s="82"/>
      <c r="O69" s="82"/>
      <c r="P69" s="82"/>
      <c r="Q69" s="82"/>
      <c r="R69" s="82"/>
      <c r="S69" s="82"/>
      <c r="T69" s="82"/>
    </row>
    <row r="70" spans="1:22" s="618" customFormat="1" ht="15" customHeight="1">
      <c r="A70" s="616"/>
      <c r="B70" s="617"/>
      <c r="C70" s="617"/>
      <c r="D70" s="617"/>
      <c r="E70" s="617"/>
      <c r="F70" s="617"/>
      <c r="G70" s="617"/>
      <c r="H70" s="617"/>
      <c r="I70" s="617"/>
      <c r="J70" s="617"/>
      <c r="K70" s="617"/>
      <c r="L70" s="617"/>
      <c r="M70" s="617"/>
      <c r="N70" s="617"/>
      <c r="O70" s="617"/>
      <c r="P70" s="617"/>
      <c r="Q70" s="617"/>
      <c r="R70" s="617"/>
      <c r="S70" s="617"/>
      <c r="T70" s="617"/>
    </row>
    <row r="71" spans="1:22" s="627" customFormat="1" ht="12">
      <c r="A71" s="624">
        <v>9</v>
      </c>
      <c r="B71" s="625" t="s">
        <v>512</v>
      </c>
      <c r="C71" s="626"/>
      <c r="D71" s="626"/>
      <c r="E71" s="626"/>
      <c r="F71" s="626">
        <f t="shared" ref="F71:T71" si="28">F10-F21</f>
        <v>107.02324929942293</v>
      </c>
      <c r="G71" s="626">
        <f t="shared" si="28"/>
        <v>134.43950609310409</v>
      </c>
      <c r="H71" s="626">
        <f t="shared" si="28"/>
        <v>138.24353476152035</v>
      </c>
      <c r="I71" s="626">
        <f t="shared" si="28"/>
        <v>134.70964841897194</v>
      </c>
      <c r="J71" s="626">
        <f t="shared" si="28"/>
        <v>131.69770258261499</v>
      </c>
      <c r="K71" s="626">
        <f t="shared" si="28"/>
        <v>128.37887192842203</v>
      </c>
      <c r="L71" s="626">
        <f t="shared" si="28"/>
        <v>125.08250504753244</v>
      </c>
      <c r="M71" s="626">
        <f t="shared" si="28"/>
        <v>121.65242642402507</v>
      </c>
      <c r="N71" s="626">
        <f t="shared" si="28"/>
        <v>117.83243737817207</v>
      </c>
      <c r="O71" s="626">
        <f t="shared" si="28"/>
        <v>115.02540585743083</v>
      </c>
      <c r="P71" s="626">
        <f t="shared" si="28"/>
        <v>112.00005544558155</v>
      </c>
      <c r="Q71" s="626">
        <f t="shared" si="28"/>
        <v>108.86868019856558</v>
      </c>
      <c r="R71" s="626">
        <f t="shared" si="28"/>
        <v>105.94084883806676</v>
      </c>
      <c r="S71" s="626">
        <f t="shared" si="28"/>
        <v>103.02966936507221</v>
      </c>
      <c r="T71" s="626">
        <f t="shared" si="28"/>
        <v>100.11176762266268</v>
      </c>
    </row>
    <row r="72" spans="1:22" s="627" customFormat="1" ht="12">
      <c r="A72" s="628"/>
      <c r="B72" s="625" t="s">
        <v>513</v>
      </c>
      <c r="C72" s="626"/>
      <c r="D72" s="626"/>
      <c r="E72" s="626"/>
      <c r="F72" s="626">
        <f t="shared" ref="F72:T72" si="29">F21*10^7/182500</f>
        <v>9452.8078192097018</v>
      </c>
      <c r="G72" s="626">
        <f t="shared" si="29"/>
        <v>12326.86015928197</v>
      </c>
      <c r="H72" s="626">
        <f t="shared" si="29"/>
        <v>13212.498478820804</v>
      </c>
      <c r="I72" s="626">
        <f t="shared" si="29"/>
        <v>13406.136086631675</v>
      </c>
      <c r="J72" s="626">
        <f t="shared" si="29"/>
        <v>13571.174214651235</v>
      </c>
      <c r="K72" s="626">
        <f t="shared" si="29"/>
        <v>13753.027949127563</v>
      </c>
      <c r="L72" s="626">
        <f t="shared" si="29"/>
        <v>13933.650791916032</v>
      </c>
      <c r="M72" s="626">
        <f t="shared" si="29"/>
        <v>14121.600305532877</v>
      </c>
      <c r="N72" s="626">
        <f t="shared" si="29"/>
        <v>14330.914773798791</v>
      </c>
      <c r="O72" s="626">
        <f t="shared" si="29"/>
        <v>14484.724720140779</v>
      </c>
      <c r="P72" s="626">
        <f t="shared" si="29"/>
        <v>14650.497345447588</v>
      </c>
      <c r="Q72" s="626">
        <f t="shared" si="29"/>
        <v>14822.079550763532</v>
      </c>
      <c r="R72" s="626">
        <f t="shared" si="29"/>
        <v>14982.508666407302</v>
      </c>
      <c r="S72" s="626">
        <f t="shared" si="29"/>
        <v>15142.025349859059</v>
      </c>
      <c r="T72" s="626">
        <f t="shared" si="29"/>
        <v>15301.910376840404</v>
      </c>
    </row>
    <row r="73" spans="1:22" s="627" customFormat="1" ht="12">
      <c r="B73" s="629"/>
      <c r="C73" s="630"/>
      <c r="D73" s="630"/>
      <c r="E73" s="630"/>
      <c r="F73" s="630"/>
      <c r="G73" s="630"/>
      <c r="H73" s="630"/>
      <c r="I73" s="630"/>
      <c r="J73" s="630"/>
      <c r="K73" s="630"/>
      <c r="L73" s="630"/>
      <c r="M73" s="630"/>
      <c r="N73" s="630"/>
      <c r="O73" s="630"/>
      <c r="P73" s="630"/>
      <c r="Q73" s="630"/>
      <c r="R73" s="630"/>
      <c r="S73" s="630"/>
      <c r="T73" s="630"/>
    </row>
    <row r="74" spans="1:22" s="3" customFormat="1" ht="15">
      <c r="A74" s="601">
        <v>10</v>
      </c>
      <c r="B74" s="160" t="s">
        <v>603</v>
      </c>
      <c r="C74" s="603"/>
      <c r="D74" s="603"/>
      <c r="E74" s="603"/>
      <c r="F74" s="603">
        <f>E99</f>
        <v>0</v>
      </c>
      <c r="G74" s="603">
        <f t="shared" ref="G74:T74" si="30">F99</f>
        <v>1.6194765263971813</v>
      </c>
      <c r="H74" s="603">
        <f t="shared" si="30"/>
        <v>1.4438384812407461</v>
      </c>
      <c r="I74" s="603">
        <f t="shared" si="30"/>
        <v>0.8197119064259526</v>
      </c>
      <c r="J74" s="603">
        <f t="shared" si="30"/>
        <v>8.6347128581925878E-2</v>
      </c>
      <c r="K74" s="603">
        <f t="shared" si="30"/>
        <v>0</v>
      </c>
      <c r="L74" s="603">
        <f t="shared" si="30"/>
        <v>0</v>
      </c>
      <c r="M74" s="603">
        <f t="shared" si="30"/>
        <v>0.87580319322013134</v>
      </c>
      <c r="N74" s="603">
        <f t="shared" si="30"/>
        <v>2.3979326928916267</v>
      </c>
      <c r="O74" s="603">
        <f t="shared" si="30"/>
        <v>0.3834089093484172</v>
      </c>
      <c r="P74" s="603">
        <f t="shared" si="30"/>
        <v>0</v>
      </c>
      <c r="Q74" s="603">
        <f t="shared" si="30"/>
        <v>0</v>
      </c>
      <c r="R74" s="603">
        <f t="shared" si="30"/>
        <v>0</v>
      </c>
      <c r="S74" s="603">
        <f t="shared" si="30"/>
        <v>0</v>
      </c>
      <c r="T74" s="603">
        <f t="shared" si="30"/>
        <v>0</v>
      </c>
      <c r="U74" s="603"/>
      <c r="V74" s="603"/>
    </row>
    <row r="75" spans="1:22" s="627" customFormat="1" ht="12">
      <c r="A75" s="624">
        <v>11</v>
      </c>
      <c r="B75" s="622" t="s">
        <v>514</v>
      </c>
      <c r="C75" s="631"/>
      <c r="D75" s="631"/>
      <c r="E75" s="631"/>
      <c r="F75" s="631">
        <f>D132</f>
        <v>34.473970910643125</v>
      </c>
      <c r="G75" s="631">
        <f t="shared" ref="G75:T75" si="31">E132</f>
        <v>37.318073510771185</v>
      </c>
      <c r="H75" s="631">
        <f t="shared" si="31"/>
        <v>32.653314321924789</v>
      </c>
      <c r="I75" s="631">
        <f t="shared" si="31"/>
        <v>27.988555133078389</v>
      </c>
      <c r="J75" s="631">
        <f t="shared" si="31"/>
        <v>23.323795944231989</v>
      </c>
      <c r="K75" s="631">
        <f t="shared" si="31"/>
        <v>18.659036755385589</v>
      </c>
      <c r="L75" s="631">
        <f t="shared" si="31"/>
        <v>13.994277566539189</v>
      </c>
      <c r="M75" s="631">
        <f t="shared" si="31"/>
        <v>9.329518377692791</v>
      </c>
      <c r="N75" s="631">
        <f t="shared" si="31"/>
        <v>4.664759188846392</v>
      </c>
      <c r="O75" s="631">
        <f t="shared" si="31"/>
        <v>-6.2527760746888817E-15</v>
      </c>
      <c r="P75" s="631">
        <f t="shared" si="31"/>
        <v>-6.2527760746888817E-15</v>
      </c>
      <c r="Q75" s="631">
        <f t="shared" si="31"/>
        <v>-6.2527760746888817E-15</v>
      </c>
      <c r="R75" s="631">
        <f t="shared" si="31"/>
        <v>-6.2527760746888817E-15</v>
      </c>
      <c r="S75" s="631">
        <f t="shared" si="31"/>
        <v>-6.2527760746888817E-15</v>
      </c>
      <c r="T75" s="631">
        <f t="shared" si="31"/>
        <v>-6.2527760746888817E-15</v>
      </c>
    </row>
    <row r="76" spans="1:22" s="627" customFormat="1" ht="12">
      <c r="A76" s="624">
        <v>12</v>
      </c>
      <c r="B76" s="622" t="s">
        <v>515</v>
      </c>
      <c r="C76" s="631"/>
      <c r="D76" s="631"/>
      <c r="E76" s="631"/>
      <c r="F76" s="631">
        <f>Depreciation!G19</f>
        <v>20.826821021628508</v>
      </c>
      <c r="G76" s="631">
        <f t="shared" ref="G76:T76" si="32">+F76</f>
        <v>20.826821021628508</v>
      </c>
      <c r="H76" s="631">
        <f t="shared" si="32"/>
        <v>20.826821021628508</v>
      </c>
      <c r="I76" s="631">
        <f t="shared" si="32"/>
        <v>20.826821021628508</v>
      </c>
      <c r="J76" s="631">
        <f t="shared" si="32"/>
        <v>20.826821021628508</v>
      </c>
      <c r="K76" s="631">
        <f t="shared" si="32"/>
        <v>20.826821021628508</v>
      </c>
      <c r="L76" s="631">
        <f t="shared" si="32"/>
        <v>20.826821021628508</v>
      </c>
      <c r="M76" s="631">
        <f t="shared" si="32"/>
        <v>20.826821021628508</v>
      </c>
      <c r="N76" s="631">
        <f t="shared" si="32"/>
        <v>20.826821021628508</v>
      </c>
      <c r="O76" s="631">
        <f t="shared" si="32"/>
        <v>20.826821021628508</v>
      </c>
      <c r="P76" s="631">
        <f t="shared" si="32"/>
        <v>20.826821021628508</v>
      </c>
      <c r="Q76" s="631">
        <f t="shared" si="32"/>
        <v>20.826821021628508</v>
      </c>
      <c r="R76" s="631">
        <f t="shared" si="32"/>
        <v>20.826821021628508</v>
      </c>
      <c r="S76" s="631">
        <f t="shared" si="32"/>
        <v>20.826821021628508</v>
      </c>
      <c r="T76" s="631">
        <f t="shared" si="32"/>
        <v>20.826821021628508</v>
      </c>
    </row>
    <row r="77" spans="1:22" s="627" customFormat="1" ht="12">
      <c r="A77" s="632">
        <v>13</v>
      </c>
      <c r="B77" s="633" t="s">
        <v>184</v>
      </c>
      <c r="C77" s="634"/>
      <c r="D77" s="634"/>
      <c r="E77" s="634"/>
      <c r="F77" s="634">
        <f>F71-F75-F76</f>
        <v>51.722457367151307</v>
      </c>
      <c r="G77" s="634">
        <f t="shared" ref="G77:T77" si="33">G71-G75-G76</f>
        <v>76.294611560704396</v>
      </c>
      <c r="H77" s="634">
        <f t="shared" si="33"/>
        <v>84.763399417967051</v>
      </c>
      <c r="I77" s="634">
        <f t="shared" si="33"/>
        <v>85.894272264265041</v>
      </c>
      <c r="J77" s="634">
        <f t="shared" si="33"/>
        <v>87.547085616754501</v>
      </c>
      <c r="K77" s="634">
        <f t="shared" si="33"/>
        <v>88.893014151407939</v>
      </c>
      <c r="L77" s="634">
        <f t="shared" si="33"/>
        <v>90.26140645936475</v>
      </c>
      <c r="M77" s="634">
        <f t="shared" si="33"/>
        <v>91.496087024703769</v>
      </c>
      <c r="N77" s="634">
        <f t="shared" si="33"/>
        <v>92.34085716769718</v>
      </c>
      <c r="O77" s="634">
        <f t="shared" si="33"/>
        <v>94.198584835802322</v>
      </c>
      <c r="P77" s="634">
        <f t="shared" si="33"/>
        <v>91.173234423953048</v>
      </c>
      <c r="Q77" s="634">
        <f t="shared" si="33"/>
        <v>88.041859176937081</v>
      </c>
      <c r="R77" s="634">
        <f t="shared" si="33"/>
        <v>85.114027816438252</v>
      </c>
      <c r="S77" s="634">
        <f t="shared" si="33"/>
        <v>82.202848343443705</v>
      </c>
      <c r="T77" s="634">
        <f t="shared" si="33"/>
        <v>79.284946601034179</v>
      </c>
    </row>
    <row r="78" spans="1:22" s="627" customFormat="1" ht="12">
      <c r="A78" s="624">
        <v>14</v>
      </c>
      <c r="B78" s="622" t="s">
        <v>516</v>
      </c>
      <c r="C78" s="635"/>
      <c r="D78" s="635"/>
      <c r="E78" s="635"/>
      <c r="F78" s="635">
        <f>C151</f>
        <v>0</v>
      </c>
      <c r="G78" s="635">
        <f t="shared" ref="G78:T78" si="34">D151</f>
        <v>0</v>
      </c>
      <c r="H78" s="635">
        <f t="shared" si="34"/>
        <v>15.295938541182704</v>
      </c>
      <c r="I78" s="635">
        <f t="shared" si="34"/>
        <v>26.413693532423277</v>
      </c>
      <c r="J78" s="635">
        <f t="shared" si="34"/>
        <v>28.609753241906436</v>
      </c>
      <c r="K78" s="635">
        <f t="shared" si="34"/>
        <v>30.457133847328656</v>
      </c>
      <c r="L78" s="635">
        <f t="shared" si="34"/>
        <v>32.107005729532929</v>
      </c>
      <c r="M78" s="635">
        <f t="shared" si="34"/>
        <v>33.535478642201937</v>
      </c>
      <c r="N78" s="635">
        <f t="shared" si="34"/>
        <v>34.679119690128644</v>
      </c>
      <c r="O78" s="635">
        <f t="shared" si="34"/>
        <v>36.05033704852324</v>
      </c>
      <c r="P78" s="635">
        <f t="shared" si="34"/>
        <v>35.60769125879083</v>
      </c>
      <c r="Q78" s="635">
        <f t="shared" si="34"/>
        <v>35.036525097726177</v>
      </c>
      <c r="R78" s="635">
        <f t="shared" si="34"/>
        <v>34.458664032794616</v>
      </c>
      <c r="S78" s="635">
        <f t="shared" si="34"/>
        <v>33.820409919675178</v>
      </c>
      <c r="T78" s="635">
        <f t="shared" si="34"/>
        <v>33.123469259028113</v>
      </c>
    </row>
    <row r="79" spans="1:22" s="636" customFormat="1" ht="12">
      <c r="A79" s="632">
        <v>15</v>
      </c>
      <c r="B79" s="633" t="s">
        <v>517</v>
      </c>
      <c r="C79" s="634"/>
      <c r="D79" s="634"/>
      <c r="E79" s="634"/>
      <c r="F79" s="634">
        <f t="shared" ref="F79:T79" si="35">F77-F78</f>
        <v>51.722457367151307</v>
      </c>
      <c r="G79" s="634">
        <f t="shared" si="35"/>
        <v>76.294611560704396</v>
      </c>
      <c r="H79" s="634">
        <f t="shared" si="35"/>
        <v>69.467460876784344</v>
      </c>
      <c r="I79" s="634">
        <f t="shared" si="35"/>
        <v>59.48057873184176</v>
      </c>
      <c r="J79" s="634">
        <f t="shared" si="35"/>
        <v>58.937332374848069</v>
      </c>
      <c r="K79" s="634">
        <f t="shared" si="35"/>
        <v>58.435880304079284</v>
      </c>
      <c r="L79" s="634">
        <f t="shared" si="35"/>
        <v>58.154400729831821</v>
      </c>
      <c r="M79" s="634">
        <f t="shared" si="35"/>
        <v>57.960608382501832</v>
      </c>
      <c r="N79" s="634">
        <f t="shared" si="35"/>
        <v>57.661737477568536</v>
      </c>
      <c r="O79" s="634">
        <f t="shared" si="35"/>
        <v>58.148247787279082</v>
      </c>
      <c r="P79" s="634">
        <f t="shared" si="35"/>
        <v>55.565543165162218</v>
      </c>
      <c r="Q79" s="634">
        <f t="shared" si="35"/>
        <v>53.005334079210904</v>
      </c>
      <c r="R79" s="634">
        <f t="shared" si="35"/>
        <v>50.655363783643637</v>
      </c>
      <c r="S79" s="634">
        <f t="shared" si="35"/>
        <v>48.382438423768527</v>
      </c>
      <c r="T79" s="634">
        <f t="shared" si="35"/>
        <v>46.161477342006066</v>
      </c>
    </row>
    <row r="80" spans="1:22" s="627" customFormat="1" ht="12">
      <c r="A80" s="624">
        <v>16</v>
      </c>
      <c r="B80" s="622" t="s">
        <v>507</v>
      </c>
      <c r="C80" s="631"/>
      <c r="D80" s="631"/>
      <c r="E80" s="631"/>
      <c r="F80" s="631">
        <f>F79</f>
        <v>51.722457367151307</v>
      </c>
      <c r="G80" s="631">
        <f>F80+G79</f>
        <v>128.01706892785569</v>
      </c>
      <c r="H80" s="631">
        <f t="shared" ref="H80:T80" si="36">G80+H79</f>
        <v>197.48452980464003</v>
      </c>
      <c r="I80" s="631">
        <f t="shared" si="36"/>
        <v>256.96510853648181</v>
      </c>
      <c r="J80" s="631">
        <f t="shared" si="36"/>
        <v>315.9024409113299</v>
      </c>
      <c r="K80" s="631">
        <f t="shared" si="36"/>
        <v>374.33832121540917</v>
      </c>
      <c r="L80" s="631">
        <f t="shared" si="36"/>
        <v>432.49272194524099</v>
      </c>
      <c r="M80" s="631">
        <f t="shared" si="36"/>
        <v>490.45333032774283</v>
      </c>
      <c r="N80" s="631">
        <f t="shared" si="36"/>
        <v>548.11506780531136</v>
      </c>
      <c r="O80" s="631">
        <f t="shared" si="36"/>
        <v>606.2633155925904</v>
      </c>
      <c r="P80" s="631">
        <f t="shared" si="36"/>
        <v>661.82885875775264</v>
      </c>
      <c r="Q80" s="631">
        <f t="shared" si="36"/>
        <v>714.83419283696355</v>
      </c>
      <c r="R80" s="631">
        <f t="shared" si="36"/>
        <v>765.48955662060723</v>
      </c>
      <c r="S80" s="631">
        <f t="shared" si="36"/>
        <v>813.87199504437581</v>
      </c>
      <c r="T80" s="631">
        <f t="shared" si="36"/>
        <v>860.03347238638185</v>
      </c>
    </row>
    <row r="81" spans="1:20" s="627" customFormat="1" ht="12">
      <c r="A81" s="628"/>
      <c r="B81" s="637" t="s">
        <v>518</v>
      </c>
      <c r="C81" s="638"/>
      <c r="D81" s="638"/>
      <c r="E81" s="638"/>
      <c r="F81" s="638">
        <f t="shared" ref="F81:T81" si="37">F71/F10</f>
        <v>0.38285898597428897</v>
      </c>
      <c r="G81" s="638">
        <f t="shared" si="37"/>
        <v>0.37406162077696142</v>
      </c>
      <c r="H81" s="638">
        <f t="shared" si="37"/>
        <v>0.36440134976017485</v>
      </c>
      <c r="I81" s="638">
        <f t="shared" si="37"/>
        <v>0.35508624540216527</v>
      </c>
      <c r="J81" s="638">
        <f t="shared" si="37"/>
        <v>0.34714694371933164</v>
      </c>
      <c r="K81" s="638">
        <f t="shared" si="37"/>
        <v>0.33839871276517064</v>
      </c>
      <c r="L81" s="638">
        <f t="shared" si="37"/>
        <v>0.32970969491870816</v>
      </c>
      <c r="M81" s="638">
        <f t="shared" si="37"/>
        <v>0.32066822124439986</v>
      </c>
      <c r="N81" s="638">
        <f t="shared" si="37"/>
        <v>0.31059896797494879</v>
      </c>
      <c r="O81" s="638">
        <f t="shared" si="37"/>
        <v>0.30319980766888449</v>
      </c>
      <c r="P81" s="638">
        <f t="shared" si="37"/>
        <v>0.29522517235970225</v>
      </c>
      <c r="Q81" s="638">
        <f t="shared" si="37"/>
        <v>0.28697106218676249</v>
      </c>
      <c r="R81" s="638">
        <f t="shared" si="37"/>
        <v>0.27925348102481934</v>
      </c>
      <c r="S81" s="638">
        <f t="shared" si="37"/>
        <v>0.27157979320149117</v>
      </c>
      <c r="T81" s="638">
        <f t="shared" si="37"/>
        <v>0.26388838589455382</v>
      </c>
    </row>
    <row r="82" spans="1:20" s="627" customFormat="1" ht="12">
      <c r="C82" s="639"/>
      <c r="D82" s="639"/>
      <c r="E82" s="639"/>
      <c r="F82" s="639"/>
      <c r="G82" s="639"/>
      <c r="H82" s="640"/>
      <c r="I82" s="639"/>
      <c r="J82" s="639"/>
      <c r="K82" s="640"/>
      <c r="L82" s="639"/>
    </row>
    <row r="83" spans="1:20" s="627" customFormat="1" ht="12">
      <c r="A83" s="859" t="s">
        <v>519</v>
      </c>
      <c r="B83" s="860"/>
      <c r="C83" s="860"/>
      <c r="D83" s="860"/>
      <c r="E83" s="860"/>
      <c r="F83" s="860"/>
      <c r="G83" s="860"/>
      <c r="H83" s="860"/>
      <c r="I83" s="860"/>
      <c r="J83" s="860"/>
      <c r="K83" s="860"/>
      <c r="L83" s="860"/>
      <c r="M83" s="860"/>
      <c r="N83" s="860"/>
      <c r="O83" s="860"/>
      <c r="P83" s="860"/>
      <c r="Q83" s="860"/>
      <c r="R83" s="860"/>
      <c r="S83" s="861"/>
    </row>
    <row r="84" spans="1:20" s="627" customFormat="1" ht="12">
      <c r="C84" s="862" t="s">
        <v>520</v>
      </c>
      <c r="D84" s="863"/>
      <c r="S84" s="641"/>
      <c r="T84" s="641"/>
    </row>
    <row r="85" spans="1:20" s="627" customFormat="1" ht="12">
      <c r="A85" s="642" t="s">
        <v>521</v>
      </c>
      <c r="B85" s="643" t="s">
        <v>470</v>
      </c>
      <c r="C85" s="644">
        <v>-2</v>
      </c>
      <c r="D85" s="644">
        <v>-1</v>
      </c>
      <c r="E85" s="645" t="s">
        <v>522</v>
      </c>
      <c r="F85" s="645" t="s">
        <v>471</v>
      </c>
      <c r="G85" s="645" t="s">
        <v>472</v>
      </c>
      <c r="H85" s="645" t="s">
        <v>473</v>
      </c>
      <c r="I85" s="645" t="s">
        <v>474</v>
      </c>
      <c r="J85" s="645" t="s">
        <v>475</v>
      </c>
      <c r="K85" s="645" t="s">
        <v>476</v>
      </c>
      <c r="L85" s="645" t="s">
        <v>477</v>
      </c>
      <c r="M85" s="645" t="s">
        <v>478</v>
      </c>
      <c r="N85" s="645" t="s">
        <v>479</v>
      </c>
      <c r="O85" s="645" t="s">
        <v>480</v>
      </c>
      <c r="P85" s="645" t="s">
        <v>481</v>
      </c>
      <c r="Q85" s="645" t="s">
        <v>482</v>
      </c>
      <c r="R85" s="645" t="s">
        <v>483</v>
      </c>
      <c r="S85" s="645" t="s">
        <v>484</v>
      </c>
      <c r="T85" s="641">
        <f>+S85+1</f>
        <v>16</v>
      </c>
    </row>
    <row r="86" spans="1:20" s="627" customFormat="1" ht="12">
      <c r="B86" s="646" t="s">
        <v>523</v>
      </c>
      <c r="C86" s="622"/>
      <c r="D86" s="622"/>
      <c r="E86" s="647"/>
      <c r="F86" s="647"/>
      <c r="G86" s="647"/>
      <c r="H86" s="647"/>
      <c r="I86" s="647"/>
      <c r="J86" s="647"/>
      <c r="K86" s="647"/>
      <c r="L86" s="647"/>
      <c r="M86" s="647"/>
      <c r="N86" s="647"/>
      <c r="O86" s="647"/>
      <c r="P86" s="647"/>
      <c r="Q86" s="647"/>
      <c r="R86" s="647"/>
      <c r="S86" s="647"/>
    </row>
    <row r="87" spans="1:20" s="627" customFormat="1" ht="12">
      <c r="A87" s="648">
        <v>1.1000000000000001</v>
      </c>
      <c r="B87" s="649" t="s">
        <v>512</v>
      </c>
      <c r="C87" s="648">
        <v>0</v>
      </c>
      <c r="D87" s="648">
        <v>0</v>
      </c>
      <c r="E87" s="650">
        <f t="shared" ref="E87:S87" si="38">F71</f>
        <v>107.02324929942293</v>
      </c>
      <c r="F87" s="650">
        <f t="shared" si="38"/>
        <v>134.43950609310409</v>
      </c>
      <c r="G87" s="650">
        <f t="shared" si="38"/>
        <v>138.24353476152035</v>
      </c>
      <c r="H87" s="650">
        <f t="shared" si="38"/>
        <v>134.70964841897194</v>
      </c>
      <c r="I87" s="650">
        <f t="shared" si="38"/>
        <v>131.69770258261499</v>
      </c>
      <c r="J87" s="650">
        <f t="shared" si="38"/>
        <v>128.37887192842203</v>
      </c>
      <c r="K87" s="650">
        <f t="shared" si="38"/>
        <v>125.08250504753244</v>
      </c>
      <c r="L87" s="650">
        <f t="shared" si="38"/>
        <v>121.65242642402507</v>
      </c>
      <c r="M87" s="650">
        <f t="shared" si="38"/>
        <v>117.83243737817207</v>
      </c>
      <c r="N87" s="650">
        <f t="shared" si="38"/>
        <v>115.02540585743083</v>
      </c>
      <c r="O87" s="650">
        <f t="shared" si="38"/>
        <v>112.00005544558155</v>
      </c>
      <c r="P87" s="650">
        <f t="shared" si="38"/>
        <v>108.86868019856558</v>
      </c>
      <c r="Q87" s="650">
        <f t="shared" si="38"/>
        <v>105.94084883806676</v>
      </c>
      <c r="R87" s="650">
        <f t="shared" si="38"/>
        <v>103.02966936507221</v>
      </c>
      <c r="S87" s="650">
        <f t="shared" si="38"/>
        <v>100.11176762266268</v>
      </c>
      <c r="T87" s="631">
        <f>R71</f>
        <v>105.94084883806676</v>
      </c>
    </row>
    <row r="88" spans="1:20" s="627" customFormat="1" ht="12">
      <c r="A88" s="651">
        <v>2</v>
      </c>
      <c r="B88" s="652" t="s">
        <v>524</v>
      </c>
      <c r="C88" s="648">
        <v>0</v>
      </c>
      <c r="D88" s="648">
        <v>0</v>
      </c>
      <c r="E88" s="650">
        <f>-E112</f>
        <v>17.994183626635348</v>
      </c>
      <c r="F88" s="631">
        <f t="shared" ref="F88:T88" si="39">-F112</f>
        <v>0</v>
      </c>
      <c r="G88" s="631">
        <f t="shared" si="39"/>
        <v>0</v>
      </c>
      <c r="H88" s="631">
        <f t="shared" si="39"/>
        <v>0</v>
      </c>
      <c r="I88" s="631">
        <f t="shared" si="39"/>
        <v>0</v>
      </c>
      <c r="J88" s="631">
        <f t="shared" si="39"/>
        <v>0</v>
      </c>
      <c r="K88" s="631">
        <f t="shared" si="39"/>
        <v>9.7311465913347934</v>
      </c>
      <c r="L88" s="631">
        <f t="shared" si="39"/>
        <v>16.912549996349952</v>
      </c>
      <c r="M88" s="631">
        <f t="shared" si="39"/>
        <v>0</v>
      </c>
      <c r="N88" s="631">
        <f t="shared" si="39"/>
        <v>0</v>
      </c>
      <c r="O88" s="631">
        <f t="shared" si="39"/>
        <v>0</v>
      </c>
      <c r="P88" s="631">
        <f t="shared" si="39"/>
        <v>0</v>
      </c>
      <c r="Q88" s="631">
        <f t="shared" si="39"/>
        <v>0</v>
      </c>
      <c r="R88" s="631">
        <f t="shared" si="39"/>
        <v>0</v>
      </c>
      <c r="S88" s="631">
        <f t="shared" si="39"/>
        <v>0</v>
      </c>
      <c r="T88" s="631" t="e">
        <f t="shared" si="39"/>
        <v>#REF!</v>
      </c>
    </row>
    <row r="89" spans="1:20" s="627" customFormat="1" ht="12">
      <c r="A89" s="653">
        <v>3</v>
      </c>
      <c r="B89" s="654" t="s">
        <v>525</v>
      </c>
      <c r="C89" s="648">
        <v>0</v>
      </c>
      <c r="D89" s="655">
        <f>'Bal sheet'!D45+Capex!B32*0</f>
        <v>140.13104542189078</v>
      </c>
      <c r="E89" s="656">
        <f>Capex!B30</f>
        <v>10.757689068401602</v>
      </c>
      <c r="F89" s="648">
        <v>0</v>
      </c>
      <c r="G89" s="648">
        <v>0</v>
      </c>
      <c r="H89" s="648">
        <v>0</v>
      </c>
      <c r="I89" s="648">
        <v>0</v>
      </c>
      <c r="J89" s="648">
        <v>0</v>
      </c>
      <c r="K89" s="648">
        <v>0</v>
      </c>
      <c r="L89" s="648">
        <v>0</v>
      </c>
      <c r="M89" s="648">
        <v>0</v>
      </c>
      <c r="N89" s="648">
        <v>0</v>
      </c>
      <c r="O89" s="648">
        <v>0</v>
      </c>
      <c r="P89" s="648">
        <v>0</v>
      </c>
      <c r="Q89" s="648">
        <v>0</v>
      </c>
      <c r="R89" s="648">
        <v>0</v>
      </c>
      <c r="S89" s="648">
        <v>0</v>
      </c>
      <c r="T89" s="648">
        <v>0</v>
      </c>
    </row>
    <row r="90" spans="1:20" s="627" customFormat="1" ht="12">
      <c r="A90" s="653">
        <v>4</v>
      </c>
      <c r="B90" s="654" t="s">
        <v>526</v>
      </c>
      <c r="C90" s="635">
        <f>'Bal sheet'!C46</f>
        <v>113.08507124476117</v>
      </c>
      <c r="D90" s="648">
        <v>0</v>
      </c>
      <c r="E90" s="650">
        <v>0</v>
      </c>
      <c r="F90" s="650">
        <v>0</v>
      </c>
      <c r="G90" s="650">
        <v>0</v>
      </c>
      <c r="H90" s="650">
        <v>0</v>
      </c>
      <c r="I90" s="650">
        <v>0</v>
      </c>
      <c r="J90" s="650">
        <v>0</v>
      </c>
      <c r="K90" s="650">
        <v>0</v>
      </c>
      <c r="L90" s="650">
        <v>0</v>
      </c>
      <c r="M90" s="650">
        <v>0</v>
      </c>
      <c r="N90" s="650">
        <v>0</v>
      </c>
      <c r="O90" s="650">
        <v>0</v>
      </c>
      <c r="P90" s="650">
        <v>0</v>
      </c>
      <c r="Q90" s="650">
        <v>0</v>
      </c>
      <c r="R90" s="650">
        <v>0</v>
      </c>
      <c r="S90" s="650">
        <v>0</v>
      </c>
      <c r="T90" s="650">
        <v>0</v>
      </c>
    </row>
    <row r="91" spans="1:20" s="627" customFormat="1" ht="12">
      <c r="A91" s="653">
        <v>5</v>
      </c>
      <c r="B91" s="657" t="s">
        <v>527</v>
      </c>
      <c r="C91" s="658">
        <f>'Bal sheet'!C43</f>
        <v>1.775055439148825E-2</v>
      </c>
      <c r="D91" s="658">
        <f>'Bal sheet'!D43</f>
        <v>2.5361268493150683E-2</v>
      </c>
      <c r="E91" s="658">
        <f>'Bal sheet'!E43</f>
        <v>6.3527326012499996</v>
      </c>
      <c r="F91" s="658">
        <f>'Bal sheet'!F43</f>
        <v>8.1677990587500009</v>
      </c>
      <c r="G91" s="658">
        <f>'Bal sheet'!G43</f>
        <v>8.6215656731249997</v>
      </c>
      <c r="H91" s="658">
        <f>'Bal sheet'!H43</f>
        <v>8.6215656731249997</v>
      </c>
      <c r="I91" s="658">
        <f>'Bal sheet'!I43</f>
        <v>8.6215656731249997</v>
      </c>
      <c r="J91" s="658">
        <f>'Bal sheet'!J43</f>
        <v>8.6215656731249997</v>
      </c>
      <c r="K91" s="658">
        <f>'Bal sheet'!K43</f>
        <v>8.6215656731249997</v>
      </c>
      <c r="L91" s="658">
        <f>'Bal sheet'!L43</f>
        <v>8.6215656731249997</v>
      </c>
      <c r="M91" s="658">
        <f>'Bal sheet'!M43</f>
        <v>8.6215656731249997</v>
      </c>
      <c r="N91" s="658">
        <f>'Bal sheet'!N43</f>
        <v>8.6215656731249997</v>
      </c>
      <c r="O91" s="658">
        <f>'Bal sheet'!O43</f>
        <v>8.6215656731249997</v>
      </c>
      <c r="P91" s="658">
        <f>'Bal sheet'!P43</f>
        <v>8.6215656731249997</v>
      </c>
      <c r="Q91" s="658">
        <f>'Bal sheet'!Q43</f>
        <v>8.6215656731249997</v>
      </c>
      <c r="R91" s="658">
        <f>'Bal sheet'!R43</f>
        <v>8.6215656731249997</v>
      </c>
      <c r="S91" s="658">
        <f>'Bal sheet'!S43</f>
        <v>8.6215656731249997</v>
      </c>
      <c r="T91" s="631" t="e">
        <f>+IF('[5]bal sheet'!#REF!-'[5]bal sheet'!#REF!&lt;0,0,'[5]bal sheet'!#REF!-'[5]bal sheet'!#REF!)</f>
        <v>#REF!</v>
      </c>
    </row>
    <row r="92" spans="1:20" s="627" customFormat="1" ht="12">
      <c r="A92" s="653">
        <v>6</v>
      </c>
      <c r="B92" s="659" t="s">
        <v>528</v>
      </c>
      <c r="C92" s="648">
        <v>0</v>
      </c>
      <c r="D92" s="648">
        <v>0</v>
      </c>
      <c r="E92" s="660">
        <v>0</v>
      </c>
      <c r="F92" s="648">
        <f>+IF('Bal sheet'!F32-'Bal sheet'!E32&gt;0,0,-('Bal sheet'!F32-'Bal sheet'!E32))</f>
        <v>0</v>
      </c>
      <c r="G92" s="648">
        <f>+IF('Bal sheet'!G32-'Bal sheet'!F32&gt;0,0,-('Bal sheet'!G32-'Bal sheet'!F32))</f>
        <v>0</v>
      </c>
      <c r="H92" s="648">
        <f>+IF('Bal sheet'!H32-'Bal sheet'!G32&gt;0,0,-('Bal sheet'!H32-'Bal sheet'!G32))</f>
        <v>0</v>
      </c>
      <c r="I92" s="648">
        <f>+IF('Bal sheet'!I32-'Bal sheet'!H32&gt;0,0,-('Bal sheet'!I32-'Bal sheet'!H32))</f>
        <v>0</v>
      </c>
      <c r="J92" s="648">
        <f>+IF('Bal sheet'!J32-'Bal sheet'!I32&gt;0,0,-('Bal sheet'!J32-'Bal sheet'!I32))</f>
        <v>0</v>
      </c>
      <c r="K92" s="648">
        <f>+IF('Bal sheet'!K32-'Bal sheet'!J32&gt;0,0,-('Bal sheet'!K32-'Bal sheet'!J32))</f>
        <v>0</v>
      </c>
      <c r="L92" s="648">
        <f>+IF('Bal sheet'!L32-'Bal sheet'!K32&gt;0,0,-('Bal sheet'!L32-'Bal sheet'!K32))</f>
        <v>0</v>
      </c>
      <c r="M92" s="648">
        <f>+IF('Bal sheet'!M32-'Bal sheet'!L32&gt;0,0,-('Bal sheet'!M32-'Bal sheet'!L32))</f>
        <v>0</v>
      </c>
      <c r="N92" s="648">
        <f>+IF('Bal sheet'!N32-'Bal sheet'!M32&gt;0,0,-('Bal sheet'!N32-'Bal sheet'!M32))</f>
        <v>0</v>
      </c>
      <c r="O92" s="648">
        <f>+IF('Bal sheet'!O32-'Bal sheet'!N32&gt;0,0,-('Bal sheet'!O32-'Bal sheet'!N32))</f>
        <v>0</v>
      </c>
      <c r="P92" s="648">
        <f>+IF('Bal sheet'!P32-'Bal sheet'!O32&gt;0,0,-('Bal sheet'!P32-'Bal sheet'!O32))</f>
        <v>0</v>
      </c>
      <c r="Q92" s="648">
        <f>+IF('Bal sheet'!Q32-'Bal sheet'!P32&gt;0,0,-('Bal sheet'!Q32-'Bal sheet'!P32))</f>
        <v>0</v>
      </c>
      <c r="R92" s="648">
        <f>+IF('Bal sheet'!R32-'Bal sheet'!Q32&gt;0,0,-('Bal sheet'!R32-'Bal sheet'!Q32))</f>
        <v>0</v>
      </c>
      <c r="S92" s="648">
        <f>+IF('Bal sheet'!S32-'Bal sheet'!R32&gt;0,0,-('Bal sheet'!S32-'Bal sheet'!R32))</f>
        <v>0</v>
      </c>
      <c r="T92" s="648">
        <f>+IF('Bal sheet'!T32-'Bal sheet'!S32&gt;0,0,-('Bal sheet'!T32-'Bal sheet'!S32))</f>
        <v>73.913577103112473</v>
      </c>
    </row>
    <row r="93" spans="1:20" s="627" customFormat="1" ht="12">
      <c r="A93" s="653"/>
      <c r="B93" s="661" t="s">
        <v>529</v>
      </c>
      <c r="C93" s="650">
        <f>SUM(C87:C92)</f>
        <v>113.10282179915265</v>
      </c>
      <c r="D93" s="650">
        <f t="shared" ref="D93" si="40">SUM(D87:D92)</f>
        <v>140.15640669038393</v>
      </c>
      <c r="E93" s="650">
        <f>SUM(E87:E92)</f>
        <v>142.12785459570989</v>
      </c>
      <c r="F93" s="631">
        <f>SUM(F87:F92)</f>
        <v>142.60730515185409</v>
      </c>
      <c r="G93" s="631">
        <f t="shared" ref="G93:T93" si="41">SUM(G87:G92)</f>
        <v>146.86510043464534</v>
      </c>
      <c r="H93" s="631">
        <f t="shared" si="41"/>
        <v>143.33121409209693</v>
      </c>
      <c r="I93" s="631">
        <f t="shared" si="41"/>
        <v>140.31926825573998</v>
      </c>
      <c r="J93" s="631">
        <f t="shared" si="41"/>
        <v>137.00043760154702</v>
      </c>
      <c r="K93" s="631">
        <f t="shared" si="41"/>
        <v>143.43521731199223</v>
      </c>
      <c r="L93" s="631">
        <f t="shared" si="41"/>
        <v>147.18654209350001</v>
      </c>
      <c r="M93" s="631">
        <f t="shared" si="41"/>
        <v>126.45400305129708</v>
      </c>
      <c r="N93" s="631">
        <f t="shared" si="41"/>
        <v>123.64697153055583</v>
      </c>
      <c r="O93" s="631">
        <f t="shared" si="41"/>
        <v>120.62162111870656</v>
      </c>
      <c r="P93" s="631">
        <f t="shared" si="41"/>
        <v>117.49024587169059</v>
      </c>
      <c r="Q93" s="631">
        <f t="shared" si="41"/>
        <v>114.56241451119176</v>
      </c>
      <c r="R93" s="631">
        <f t="shared" si="41"/>
        <v>111.65123503819721</v>
      </c>
      <c r="S93" s="631">
        <f t="shared" si="41"/>
        <v>108.73333329578769</v>
      </c>
      <c r="T93" s="631" t="e">
        <f t="shared" si="41"/>
        <v>#REF!</v>
      </c>
    </row>
    <row r="94" spans="1:20" s="627" customFormat="1" ht="12">
      <c r="A94" s="653"/>
      <c r="B94" s="662" t="s">
        <v>530</v>
      </c>
      <c r="C94" s="648"/>
      <c r="D94" s="648"/>
      <c r="E94" s="650">
        <f>SUM(E87,E90:E92)</f>
        <v>113.37598190067293</v>
      </c>
      <c r="F94" s="650">
        <f t="shared" ref="F94:T94" si="42">SUM(F87,F90:F92)</f>
        <v>142.60730515185409</v>
      </c>
      <c r="G94" s="650">
        <f t="shared" si="42"/>
        <v>146.86510043464534</v>
      </c>
      <c r="H94" s="650">
        <f t="shared" si="42"/>
        <v>143.33121409209693</v>
      </c>
      <c r="I94" s="650">
        <f t="shared" si="42"/>
        <v>140.31926825573998</v>
      </c>
      <c r="J94" s="650">
        <f t="shared" si="42"/>
        <v>137.00043760154702</v>
      </c>
      <c r="K94" s="650">
        <f t="shared" si="42"/>
        <v>133.70407072065743</v>
      </c>
      <c r="L94" s="650">
        <f t="shared" si="42"/>
        <v>130.27399209715006</v>
      </c>
      <c r="M94" s="650">
        <f t="shared" si="42"/>
        <v>126.45400305129708</v>
      </c>
      <c r="N94" s="650">
        <f t="shared" si="42"/>
        <v>123.64697153055583</v>
      </c>
      <c r="O94" s="650">
        <f t="shared" si="42"/>
        <v>120.62162111870656</v>
      </c>
      <c r="P94" s="650">
        <f t="shared" si="42"/>
        <v>117.49024587169059</v>
      </c>
      <c r="Q94" s="650">
        <f t="shared" si="42"/>
        <v>114.56241451119176</v>
      </c>
      <c r="R94" s="650">
        <f t="shared" si="42"/>
        <v>111.65123503819721</v>
      </c>
      <c r="S94" s="650">
        <f t="shared" si="42"/>
        <v>108.73333329578769</v>
      </c>
      <c r="T94" s="650" t="e">
        <f t="shared" si="42"/>
        <v>#REF!</v>
      </c>
    </row>
    <row r="95" spans="1:20" s="627" customFormat="1" ht="12">
      <c r="A95" s="663" t="s">
        <v>44</v>
      </c>
      <c r="B95" s="664" t="s">
        <v>531</v>
      </c>
      <c r="C95" s="648"/>
      <c r="D95" s="648"/>
      <c r="E95" s="660"/>
      <c r="F95" s="648"/>
      <c r="G95" s="648"/>
      <c r="H95" s="648"/>
      <c r="I95" s="648"/>
      <c r="J95" s="648"/>
      <c r="K95" s="648"/>
      <c r="L95" s="648"/>
      <c r="M95" s="648"/>
      <c r="N95" s="648"/>
      <c r="O95" s="648"/>
      <c r="P95" s="648"/>
      <c r="Q95" s="648"/>
      <c r="R95" s="648"/>
      <c r="S95" s="648"/>
      <c r="T95" s="648"/>
    </row>
    <row r="96" spans="1:20" s="627" customFormat="1" ht="12">
      <c r="A96" s="653">
        <v>1</v>
      </c>
      <c r="B96" s="654" t="s">
        <v>532</v>
      </c>
      <c r="C96" s="635">
        <f>+'Bal sheet'!C35</f>
        <v>113.08507124476117</v>
      </c>
      <c r="D96" s="655">
        <f>'Bal sheet'!D45+Capex!B32</f>
        <v>174.60501633253389</v>
      </c>
      <c r="E96" s="660">
        <v>0</v>
      </c>
      <c r="F96" s="648">
        <v>0</v>
      </c>
      <c r="G96" s="648">
        <v>0</v>
      </c>
      <c r="H96" s="648">
        <v>0</v>
      </c>
      <c r="I96" s="648">
        <v>0</v>
      </c>
      <c r="J96" s="648">
        <v>0</v>
      </c>
      <c r="K96" s="648">
        <v>0</v>
      </c>
      <c r="L96" s="648">
        <v>0</v>
      </c>
      <c r="M96" s="648">
        <v>0</v>
      </c>
      <c r="N96" s="648">
        <v>0</v>
      </c>
      <c r="O96" s="648">
        <v>0</v>
      </c>
      <c r="P96" s="648">
        <v>0</v>
      </c>
      <c r="Q96" s="648">
        <v>0</v>
      </c>
      <c r="R96" s="648">
        <v>0</v>
      </c>
      <c r="S96" s="648">
        <v>0</v>
      </c>
      <c r="T96" s="648">
        <v>1</v>
      </c>
    </row>
    <row r="97" spans="1:20" s="627" customFormat="1" ht="12">
      <c r="A97" s="653">
        <v>2</v>
      </c>
      <c r="B97" s="659" t="s">
        <v>533</v>
      </c>
      <c r="C97" s="648">
        <v>0</v>
      </c>
      <c r="D97" s="648">
        <v>0</v>
      </c>
      <c r="E97" s="660">
        <v>0</v>
      </c>
      <c r="F97" s="631">
        <f>+IF('Bal sheet'!F32-'Bal sheet'!E32&gt;0,0,-('Bal sheet'!F32-'Bal sheet'!E32))</f>
        <v>0</v>
      </c>
      <c r="G97" s="631">
        <f>+IF('Bal sheet'!G32-'Bal sheet'!F32&gt;0,0,-('Bal sheet'!G32-'Bal sheet'!F32))</f>
        <v>0</v>
      </c>
      <c r="H97" s="631">
        <f>+IF('Bal sheet'!H32-'Bal sheet'!G32&gt;0,0,-('Bal sheet'!H32-'Bal sheet'!G32))</f>
        <v>0</v>
      </c>
      <c r="I97" s="631">
        <f>+IF('Bal sheet'!I32-'Bal sheet'!H32&gt;0,0,-('Bal sheet'!I32-'Bal sheet'!H32))</f>
        <v>0</v>
      </c>
      <c r="J97" s="631">
        <f>+IF('Bal sheet'!J32-'Bal sheet'!I32&gt;0,0,-('Bal sheet'!J32-'Bal sheet'!I32))</f>
        <v>0</v>
      </c>
      <c r="K97" s="631">
        <f>+IF('Bal sheet'!K32-'Bal sheet'!J32&gt;0,0,-('Bal sheet'!K32-'Bal sheet'!J32))</f>
        <v>0</v>
      </c>
      <c r="L97" s="631">
        <f>+IF('Bal sheet'!L32-'Bal sheet'!K32&gt;0,0,-('Bal sheet'!L32-'Bal sheet'!K32))</f>
        <v>0</v>
      </c>
      <c r="M97" s="631">
        <f>+IF('Bal sheet'!M32-'Bal sheet'!L32&gt;0,0,-('Bal sheet'!M32-'Bal sheet'!L32))</f>
        <v>0</v>
      </c>
      <c r="N97" s="631">
        <f>+IF('Bal sheet'!N32-'Bal sheet'!M32&gt;0,0,-('Bal sheet'!N32-'Bal sheet'!M32))</f>
        <v>0</v>
      </c>
      <c r="O97" s="631">
        <f>+IF('Bal sheet'!O32-'Bal sheet'!N32&gt;0,0,-('Bal sheet'!O32-'Bal sheet'!N32))</f>
        <v>0</v>
      </c>
      <c r="P97" s="631">
        <f>+IF('Bal sheet'!P32-'Bal sheet'!O32&gt;0,0,-('Bal sheet'!P32-'Bal sheet'!O32))</f>
        <v>0</v>
      </c>
      <c r="Q97" s="631">
        <f>+IF('Bal sheet'!Q32-'Bal sheet'!P32&gt;0,0,-('Bal sheet'!Q32-'Bal sheet'!P32))</f>
        <v>0</v>
      </c>
      <c r="R97" s="631">
        <f>+IF('Bal sheet'!R32-'Bal sheet'!Q32&gt;0,0,-('Bal sheet'!R32-'Bal sheet'!Q32))</f>
        <v>0</v>
      </c>
      <c r="S97" s="631">
        <f>+IF('Bal sheet'!S32-'Bal sheet'!R32&gt;0,0,-('Bal sheet'!S32-'Bal sheet'!R32))</f>
        <v>0</v>
      </c>
      <c r="T97" s="631">
        <f>+IF('Bal sheet'!T32-'Bal sheet'!S32&gt;0,0,-('Bal sheet'!T32-'Bal sheet'!S32))</f>
        <v>73.913577103112473</v>
      </c>
    </row>
    <row r="98" spans="1:20" s="627" customFormat="1" ht="12">
      <c r="A98" s="653">
        <v>3</v>
      </c>
      <c r="B98" s="659" t="s">
        <v>534</v>
      </c>
      <c r="C98" s="650">
        <f>'Bal sheet'!C32</f>
        <v>1.775055439148825E-2</v>
      </c>
      <c r="D98" s="650">
        <f>'Bal sheet'!D32</f>
        <v>2.5361268493150683E-2</v>
      </c>
      <c r="E98" s="650">
        <f>'Bal sheet'!E32</f>
        <v>49.383488874856404</v>
      </c>
      <c r="F98" s="650">
        <f>'Bal sheet'!F32</f>
        <v>63.976078751675153</v>
      </c>
      <c r="G98" s="650">
        <f>'Bal sheet'!G32</f>
        <v>68.091065383376403</v>
      </c>
      <c r="H98" s="650">
        <f>'Bal sheet'!H32</f>
        <v>68.632306993053248</v>
      </c>
      <c r="I98" s="650">
        <f>'Bal sheet'!I32</f>
        <v>69.091887174094964</v>
      </c>
      <c r="J98" s="650">
        <f>'Bal sheet'!J32</f>
        <v>69.599889979860691</v>
      </c>
      <c r="K98" s="650">
        <f>'Bal sheet'!K32</f>
        <v>70.104216423362587</v>
      </c>
      <c r="L98" s="650">
        <f>'Bal sheet'!L32</f>
        <v>70.62932475274161</v>
      </c>
      <c r="M98" s="650">
        <f>'Bal sheet'!M32</f>
        <v>71.215338916152234</v>
      </c>
      <c r="N98" s="650">
        <f>'Bal sheet'!N32</f>
        <v>71.6425381511946</v>
      </c>
      <c r="O98" s="650">
        <f>'Bal sheet'!O32</f>
        <v>72.103764002732859</v>
      </c>
      <c r="P98" s="650">
        <f>'Bal sheet'!P32</f>
        <v>72.581426629037551</v>
      </c>
      <c r="Q98" s="650">
        <f>'Bal sheet'!Q32</f>
        <v>73.027038802121155</v>
      </c>
      <c r="R98" s="650">
        <f>'Bal sheet'!R32</f>
        <v>73.469869440464208</v>
      </c>
      <c r="S98" s="650">
        <f>'Bal sheet'!S32</f>
        <v>73.913577103112473</v>
      </c>
      <c r="T98" s="631" t="e">
        <f>+IF('[5]bal sheet'!#REF!-'[5]bal sheet'!#REF!&lt;0,0,'[5]bal sheet'!#REF!-'[5]bal sheet'!#REF!)</f>
        <v>#REF!</v>
      </c>
    </row>
    <row r="99" spans="1:20" s="627" customFormat="1" ht="12">
      <c r="A99" s="651">
        <v>4</v>
      </c>
      <c r="B99" s="652" t="s">
        <v>535</v>
      </c>
      <c r="C99" s="648">
        <v>0</v>
      </c>
      <c r="D99" s="648">
        <v>0</v>
      </c>
      <c r="E99" s="650">
        <v>0</v>
      </c>
      <c r="F99" s="631">
        <f>E115*$C$69</f>
        <v>1.6194765263971813</v>
      </c>
      <c r="G99" s="631">
        <f t="shared" ref="G99:S99" si="43">F115*$C$69</f>
        <v>1.4438384812407461</v>
      </c>
      <c r="H99" s="631">
        <f t="shared" si="43"/>
        <v>0.8197119064259526</v>
      </c>
      <c r="I99" s="631">
        <f t="shared" si="43"/>
        <v>8.6347128581925878E-2</v>
      </c>
      <c r="J99" s="631">
        <f t="shared" si="43"/>
        <v>0</v>
      </c>
      <c r="K99" s="631">
        <f t="shared" si="43"/>
        <v>0</v>
      </c>
      <c r="L99" s="631">
        <f t="shared" si="43"/>
        <v>0.87580319322013134</v>
      </c>
      <c r="M99" s="631">
        <f t="shared" si="43"/>
        <v>2.3979326928916267</v>
      </c>
      <c r="N99" s="631">
        <f t="shared" si="43"/>
        <v>0.3834089093484172</v>
      </c>
      <c r="O99" s="631">
        <f t="shared" si="43"/>
        <v>0</v>
      </c>
      <c r="P99" s="631">
        <f t="shared" si="43"/>
        <v>0</v>
      </c>
      <c r="Q99" s="631">
        <f t="shared" si="43"/>
        <v>0</v>
      </c>
      <c r="R99" s="631">
        <f t="shared" si="43"/>
        <v>0</v>
      </c>
      <c r="S99" s="631">
        <f t="shared" si="43"/>
        <v>0</v>
      </c>
      <c r="T99" s="631">
        <f t="shared" ref="T99" si="44">S115*$C$90</f>
        <v>0</v>
      </c>
    </row>
    <row r="100" spans="1:20" s="627" customFormat="1" ht="12">
      <c r="A100" s="653">
        <v>5</v>
      </c>
      <c r="B100" s="654" t="s">
        <v>536</v>
      </c>
      <c r="C100" s="648">
        <v>0</v>
      </c>
      <c r="D100" s="631">
        <f>+D132</f>
        <v>34.473970910643125</v>
      </c>
      <c r="E100" s="650">
        <f t="shared" ref="E100:T100" si="45">E132</f>
        <v>37.318073510771185</v>
      </c>
      <c r="F100" s="631">
        <f t="shared" si="45"/>
        <v>32.653314321924789</v>
      </c>
      <c r="G100" s="631">
        <f t="shared" si="45"/>
        <v>27.988555133078389</v>
      </c>
      <c r="H100" s="631">
        <f t="shared" si="45"/>
        <v>23.323795944231989</v>
      </c>
      <c r="I100" s="631">
        <f t="shared" si="45"/>
        <v>18.659036755385589</v>
      </c>
      <c r="J100" s="631">
        <f t="shared" si="45"/>
        <v>13.994277566539189</v>
      </c>
      <c r="K100" s="631">
        <f t="shared" si="45"/>
        <v>9.329518377692791</v>
      </c>
      <c r="L100" s="631">
        <f t="shared" si="45"/>
        <v>4.664759188846392</v>
      </c>
      <c r="M100" s="631">
        <f t="shared" si="45"/>
        <v>-6.2527760746888817E-15</v>
      </c>
      <c r="N100" s="631">
        <f t="shared" si="45"/>
        <v>-6.2527760746888817E-15</v>
      </c>
      <c r="O100" s="631">
        <f t="shared" si="45"/>
        <v>-6.2527760746888817E-15</v>
      </c>
      <c r="P100" s="631">
        <f t="shared" si="45"/>
        <v>-6.2527760746888817E-15</v>
      </c>
      <c r="Q100" s="631">
        <f t="shared" si="45"/>
        <v>-6.2527760746888817E-15</v>
      </c>
      <c r="R100" s="631">
        <f t="shared" si="45"/>
        <v>-6.2527760746888817E-15</v>
      </c>
      <c r="S100" s="631">
        <f t="shared" si="45"/>
        <v>-6.2527760746888817E-15</v>
      </c>
      <c r="T100" s="631">
        <f t="shared" si="45"/>
        <v>0</v>
      </c>
    </row>
    <row r="101" spans="1:20" s="627" customFormat="1" ht="12">
      <c r="A101" s="651">
        <v>6</v>
      </c>
      <c r="B101" s="665" t="s">
        <v>537</v>
      </c>
      <c r="C101" s="648">
        <v>0</v>
      </c>
      <c r="D101" s="648">
        <v>0</v>
      </c>
      <c r="E101" s="650">
        <f>E113</f>
        <v>0</v>
      </c>
      <c r="F101" s="631">
        <f t="shared" ref="F101:T101" si="46">F113</f>
        <v>1.9515338350714995</v>
      </c>
      <c r="G101" s="631">
        <f t="shared" si="46"/>
        <v>6.934739720164373</v>
      </c>
      <c r="H101" s="631">
        <f t="shared" si="46"/>
        <v>8.148497531600297</v>
      </c>
      <c r="I101" s="631">
        <f t="shared" si="46"/>
        <v>0.9594125397991764</v>
      </c>
      <c r="J101" s="631">
        <f t="shared" si="46"/>
        <v>0</v>
      </c>
      <c r="K101" s="631">
        <f t="shared" si="46"/>
        <v>0</v>
      </c>
      <c r="L101" s="631">
        <f t="shared" si="46"/>
        <v>0</v>
      </c>
      <c r="M101" s="631">
        <f t="shared" si="46"/>
        <v>22.383597594924552</v>
      </c>
      <c r="N101" s="631">
        <f t="shared" si="46"/>
        <v>4.2600989927601915</v>
      </c>
      <c r="O101" s="631">
        <f t="shared" si="46"/>
        <v>0</v>
      </c>
      <c r="P101" s="631">
        <f t="shared" si="46"/>
        <v>0</v>
      </c>
      <c r="Q101" s="631">
        <f t="shared" si="46"/>
        <v>0</v>
      </c>
      <c r="R101" s="631">
        <f t="shared" si="46"/>
        <v>0</v>
      </c>
      <c r="S101" s="631">
        <f t="shared" si="46"/>
        <v>0</v>
      </c>
      <c r="T101" s="631" t="e">
        <f t="shared" si="46"/>
        <v>#REF!</v>
      </c>
    </row>
    <row r="102" spans="1:20" s="627" customFormat="1" ht="12">
      <c r="A102" s="653">
        <v>7</v>
      </c>
      <c r="B102" s="654" t="s">
        <v>538</v>
      </c>
      <c r="C102" s="648">
        <v>0</v>
      </c>
      <c r="D102" s="648">
        <v>0</v>
      </c>
      <c r="E102" s="650">
        <f t="shared" ref="E102:T102" si="47">E130</f>
        <v>42.406901716785441</v>
      </c>
      <c r="F102" s="631">
        <f t="shared" si="47"/>
        <v>42.406901716785441</v>
      </c>
      <c r="G102" s="631">
        <f t="shared" si="47"/>
        <v>42.406901716785441</v>
      </c>
      <c r="H102" s="631">
        <f t="shared" si="47"/>
        <v>42.406901716785441</v>
      </c>
      <c r="I102" s="631">
        <f t="shared" si="47"/>
        <v>42.406901716785441</v>
      </c>
      <c r="J102" s="631">
        <f t="shared" si="47"/>
        <v>42.406901716785441</v>
      </c>
      <c r="K102" s="631">
        <f t="shared" si="47"/>
        <v>42.406901716785441</v>
      </c>
      <c r="L102" s="631">
        <f t="shared" si="47"/>
        <v>42.406901716785441</v>
      </c>
      <c r="M102" s="631">
        <f t="shared" si="47"/>
        <v>0</v>
      </c>
      <c r="N102" s="631">
        <f t="shared" si="47"/>
        <v>0</v>
      </c>
      <c r="O102" s="631">
        <f t="shared" si="47"/>
        <v>0</v>
      </c>
      <c r="P102" s="631">
        <f t="shared" si="47"/>
        <v>0</v>
      </c>
      <c r="Q102" s="631">
        <f t="shared" si="47"/>
        <v>0</v>
      </c>
      <c r="R102" s="631">
        <f t="shared" si="47"/>
        <v>0</v>
      </c>
      <c r="S102" s="631">
        <f t="shared" si="47"/>
        <v>0</v>
      </c>
      <c r="T102" s="631">
        <f t="shared" si="47"/>
        <v>0</v>
      </c>
    </row>
    <row r="103" spans="1:20" s="627" customFormat="1" ht="12">
      <c r="A103" s="653">
        <v>8</v>
      </c>
      <c r="B103" s="654" t="s">
        <v>516</v>
      </c>
      <c r="C103" s="648">
        <v>0</v>
      </c>
      <c r="D103" s="648">
        <v>0</v>
      </c>
      <c r="E103" s="658">
        <f t="shared" ref="E103:T103" si="48">C78</f>
        <v>0</v>
      </c>
      <c r="F103" s="635">
        <f t="shared" si="48"/>
        <v>0</v>
      </c>
      <c r="G103" s="635">
        <f t="shared" si="48"/>
        <v>0</v>
      </c>
      <c r="H103" s="635">
        <f t="shared" si="48"/>
        <v>0</v>
      </c>
      <c r="I103" s="635">
        <f t="shared" si="48"/>
        <v>0</v>
      </c>
      <c r="J103" s="635">
        <f t="shared" si="48"/>
        <v>15.295938541182704</v>
      </c>
      <c r="K103" s="635">
        <f t="shared" si="48"/>
        <v>26.413693532423277</v>
      </c>
      <c r="L103" s="635">
        <f t="shared" si="48"/>
        <v>28.609753241906436</v>
      </c>
      <c r="M103" s="635">
        <f t="shared" si="48"/>
        <v>30.457133847328656</v>
      </c>
      <c r="N103" s="635">
        <f t="shared" si="48"/>
        <v>32.107005729532929</v>
      </c>
      <c r="O103" s="635">
        <f t="shared" si="48"/>
        <v>33.535478642201937</v>
      </c>
      <c r="P103" s="635">
        <f t="shared" si="48"/>
        <v>34.679119690128644</v>
      </c>
      <c r="Q103" s="635">
        <f t="shared" si="48"/>
        <v>36.05033704852324</v>
      </c>
      <c r="R103" s="635">
        <f t="shared" si="48"/>
        <v>35.60769125879083</v>
      </c>
      <c r="S103" s="635">
        <f t="shared" si="48"/>
        <v>35.036525097726177</v>
      </c>
      <c r="T103" s="635">
        <f t="shared" si="48"/>
        <v>34.458664032794616</v>
      </c>
    </row>
    <row r="104" spans="1:20" s="627" customFormat="1" ht="12">
      <c r="A104" s="653"/>
      <c r="B104" s="666" t="s">
        <v>539</v>
      </c>
      <c r="C104" s="650">
        <f>SUM(C96:C103)</f>
        <v>113.10282179915265</v>
      </c>
      <c r="D104" s="650">
        <f t="shared" ref="D104" si="49">SUM(D96:D103)</f>
        <v>209.10434851167017</v>
      </c>
      <c r="E104" s="650">
        <f>SUM(E96:E103)</f>
        <v>129.10846410241305</v>
      </c>
      <c r="F104" s="631">
        <f t="shared" ref="F104:T104" si="50">SUM(F96:F103)</f>
        <v>142.60730515185406</v>
      </c>
      <c r="G104" s="631">
        <f t="shared" si="50"/>
        <v>146.86510043464534</v>
      </c>
      <c r="H104" s="631">
        <f t="shared" si="50"/>
        <v>143.33121409209693</v>
      </c>
      <c r="I104" s="631">
        <f t="shared" si="50"/>
        <v>131.20358531464709</v>
      </c>
      <c r="J104" s="631">
        <f t="shared" si="50"/>
        <v>141.29700780436804</v>
      </c>
      <c r="K104" s="631">
        <f t="shared" si="50"/>
        <v>148.25433005026409</v>
      </c>
      <c r="L104" s="631">
        <f t="shared" si="50"/>
        <v>147.18654209350001</v>
      </c>
      <c r="M104" s="631">
        <f t="shared" si="50"/>
        <v>126.45400305129706</v>
      </c>
      <c r="N104" s="631">
        <f t="shared" si="50"/>
        <v>108.39305178283614</v>
      </c>
      <c r="O104" s="631">
        <f t="shared" si="50"/>
        <v>105.6392426449348</v>
      </c>
      <c r="P104" s="631">
        <f t="shared" si="50"/>
        <v>107.2605463191662</v>
      </c>
      <c r="Q104" s="631">
        <f t="shared" si="50"/>
        <v>109.07737585064439</v>
      </c>
      <c r="R104" s="631">
        <f t="shared" si="50"/>
        <v>109.07756069925503</v>
      </c>
      <c r="S104" s="631">
        <f t="shared" si="50"/>
        <v>108.95010220083864</v>
      </c>
      <c r="T104" s="631" t="e">
        <f t="shared" si="50"/>
        <v>#REF!</v>
      </c>
    </row>
    <row r="105" spans="1:20" s="627" customFormat="1" ht="12">
      <c r="A105" s="653"/>
      <c r="B105" s="662" t="s">
        <v>540</v>
      </c>
      <c r="C105" s="648"/>
      <c r="D105" s="648"/>
      <c r="E105" s="650">
        <f>SUM(E96:E100,E102:E103)</f>
        <v>129.10846410241305</v>
      </c>
      <c r="F105" s="631">
        <f t="shared" ref="F105:T105" si="51">SUM(F96:F100,F102:F103)</f>
        <v>140.65577131678259</v>
      </c>
      <c r="G105" s="631">
        <f t="shared" si="51"/>
        <v>139.93036071448097</v>
      </c>
      <c r="H105" s="631">
        <f t="shared" si="51"/>
        <v>135.18271656049663</v>
      </c>
      <c r="I105" s="631">
        <f t="shared" si="51"/>
        <v>130.24417277484793</v>
      </c>
      <c r="J105" s="631">
        <f t="shared" si="51"/>
        <v>141.29700780436804</v>
      </c>
      <c r="K105" s="631">
        <f t="shared" si="51"/>
        <v>148.25433005026409</v>
      </c>
      <c r="L105" s="631">
        <f t="shared" si="51"/>
        <v>147.18654209350001</v>
      </c>
      <c r="M105" s="631">
        <f t="shared" si="51"/>
        <v>104.07040545637253</v>
      </c>
      <c r="N105" s="631">
        <f t="shared" si="51"/>
        <v>104.13295279007595</v>
      </c>
      <c r="O105" s="631">
        <f t="shared" si="51"/>
        <v>105.6392426449348</v>
      </c>
      <c r="P105" s="631">
        <f t="shared" si="51"/>
        <v>107.2605463191662</v>
      </c>
      <c r="Q105" s="631">
        <f t="shared" si="51"/>
        <v>109.07737585064439</v>
      </c>
      <c r="R105" s="631">
        <f t="shared" si="51"/>
        <v>109.07756069925503</v>
      </c>
      <c r="S105" s="631">
        <f t="shared" si="51"/>
        <v>108.95010220083864</v>
      </c>
      <c r="T105" s="631" t="e">
        <f t="shared" si="51"/>
        <v>#REF!</v>
      </c>
    </row>
    <row r="106" spans="1:20" s="627" customFormat="1" ht="12">
      <c r="A106" s="653"/>
      <c r="B106" s="662" t="s">
        <v>541</v>
      </c>
      <c r="C106" s="648"/>
      <c r="D106" s="648"/>
      <c r="E106" s="667"/>
      <c r="F106" s="622"/>
      <c r="G106" s="622"/>
      <c r="H106" s="622"/>
      <c r="I106" s="622"/>
      <c r="J106" s="622"/>
      <c r="K106" s="622"/>
      <c r="L106" s="622"/>
      <c r="M106" s="622"/>
      <c r="N106" s="622"/>
      <c r="O106" s="622"/>
      <c r="P106" s="622"/>
      <c r="Q106" s="622"/>
      <c r="R106" s="622"/>
      <c r="S106" s="622"/>
      <c r="T106" s="622"/>
    </row>
    <row r="107" spans="1:20" s="627" customFormat="1" ht="12">
      <c r="A107" s="653"/>
      <c r="B107" s="662" t="s">
        <v>542</v>
      </c>
      <c r="C107" s="648"/>
      <c r="D107" s="648"/>
      <c r="E107" s="650">
        <f>E94-E105-E106</f>
        <v>-15.732482201740126</v>
      </c>
      <c r="F107" s="631">
        <f>F94-F105-F106-E112</f>
        <v>19.945717461706849</v>
      </c>
      <c r="G107" s="631">
        <f t="shared" ref="G107:T107" si="52">G94-G105-G106-F112</f>
        <v>6.934739720164373</v>
      </c>
      <c r="H107" s="631">
        <f t="shared" si="52"/>
        <v>8.1484975316002988</v>
      </c>
      <c r="I107" s="631">
        <f t="shared" si="52"/>
        <v>10.07509548089206</v>
      </c>
      <c r="J107" s="631">
        <f t="shared" si="52"/>
        <v>-4.296570202821016</v>
      </c>
      <c r="K107" s="631">
        <f t="shared" si="52"/>
        <v>-14.550259329606661</v>
      </c>
      <c r="L107" s="631">
        <f t="shared" si="52"/>
        <v>-7.1814034050151587</v>
      </c>
      <c r="M107" s="631">
        <f t="shared" si="52"/>
        <v>39.296147591274504</v>
      </c>
      <c r="N107" s="631">
        <f t="shared" si="52"/>
        <v>19.514018740479884</v>
      </c>
      <c r="O107" s="631">
        <f t="shared" si="52"/>
        <v>14.98237847377176</v>
      </c>
      <c r="P107" s="631">
        <f t="shared" si="52"/>
        <v>10.229699552524394</v>
      </c>
      <c r="Q107" s="631">
        <f t="shared" si="52"/>
        <v>5.4850386605473744</v>
      </c>
      <c r="R107" s="631">
        <f t="shared" si="52"/>
        <v>2.5736743389421832</v>
      </c>
      <c r="S107" s="631">
        <f t="shared" si="52"/>
        <v>-0.21676890505095514</v>
      </c>
      <c r="T107" s="631" t="e">
        <f t="shared" si="52"/>
        <v>#REF!</v>
      </c>
    </row>
    <row r="108" spans="1:20" s="627" customFormat="1" ht="12">
      <c r="A108" s="653"/>
      <c r="B108" s="662" t="s">
        <v>543</v>
      </c>
      <c r="C108" s="648"/>
      <c r="D108" s="648"/>
      <c r="E108" s="650">
        <f>0+E107-0</f>
        <v>-15.732482201740126</v>
      </c>
      <c r="F108" s="631">
        <f>E108+F107-E113</f>
        <v>4.2132352599667229</v>
      </c>
      <c r="G108" s="631">
        <f t="shared" ref="G108:T108" si="53">F108+G107-F113</f>
        <v>9.1964411450595964</v>
      </c>
      <c r="H108" s="631">
        <f t="shared" si="53"/>
        <v>10.41019895649552</v>
      </c>
      <c r="I108" s="631">
        <f t="shared" si="53"/>
        <v>12.336796905787283</v>
      </c>
      <c r="J108" s="631">
        <f t="shared" si="53"/>
        <v>7.0808141631670907</v>
      </c>
      <c r="K108" s="631">
        <f t="shared" si="53"/>
        <v>-7.46944516643957</v>
      </c>
      <c r="L108" s="631">
        <f t="shared" si="53"/>
        <v>-14.650848571454729</v>
      </c>
      <c r="M108" s="631">
        <f t="shared" si="53"/>
        <v>24.645299019819774</v>
      </c>
      <c r="N108" s="631">
        <f t="shared" si="53"/>
        <v>21.775720165375105</v>
      </c>
      <c r="O108" s="631">
        <f t="shared" si="53"/>
        <v>32.497999646386674</v>
      </c>
      <c r="P108" s="631">
        <f t="shared" si="53"/>
        <v>42.727699198911068</v>
      </c>
      <c r="Q108" s="631">
        <f t="shared" si="53"/>
        <v>48.212737859458443</v>
      </c>
      <c r="R108" s="631">
        <f t="shared" si="53"/>
        <v>50.786412198400626</v>
      </c>
      <c r="S108" s="631">
        <f t="shared" si="53"/>
        <v>50.569643293349671</v>
      </c>
      <c r="T108" s="631" t="e">
        <f t="shared" si="53"/>
        <v>#REF!</v>
      </c>
    </row>
    <row r="109" spans="1:20" s="627" customFormat="1" ht="12">
      <c r="A109" s="653"/>
      <c r="B109" s="662" t="s">
        <v>544</v>
      </c>
      <c r="C109" s="648"/>
      <c r="D109" s="648"/>
      <c r="E109" s="650">
        <f>+$C$59</f>
        <v>2.2617014248952234</v>
      </c>
      <c r="F109" s="650">
        <f t="shared" ref="F109:S109" si="54">+$C$59</f>
        <v>2.2617014248952234</v>
      </c>
      <c r="G109" s="650">
        <f t="shared" si="54"/>
        <v>2.2617014248952234</v>
      </c>
      <c r="H109" s="650">
        <f t="shared" si="54"/>
        <v>2.2617014248952234</v>
      </c>
      <c r="I109" s="650">
        <f t="shared" si="54"/>
        <v>2.2617014248952234</v>
      </c>
      <c r="J109" s="650">
        <f t="shared" si="54"/>
        <v>2.2617014248952234</v>
      </c>
      <c r="K109" s="650">
        <f t="shared" si="54"/>
        <v>2.2617014248952234</v>
      </c>
      <c r="L109" s="650">
        <f t="shared" si="54"/>
        <v>2.2617014248952234</v>
      </c>
      <c r="M109" s="650">
        <f t="shared" si="54"/>
        <v>2.2617014248952234</v>
      </c>
      <c r="N109" s="650">
        <f t="shared" si="54"/>
        <v>2.2617014248952234</v>
      </c>
      <c r="O109" s="650">
        <f t="shared" si="54"/>
        <v>2.2617014248952234</v>
      </c>
      <c r="P109" s="650">
        <f t="shared" si="54"/>
        <v>2.2617014248952234</v>
      </c>
      <c r="Q109" s="650">
        <f t="shared" si="54"/>
        <v>2.2617014248952234</v>
      </c>
      <c r="R109" s="650">
        <f t="shared" si="54"/>
        <v>2.2617014248952234</v>
      </c>
      <c r="S109" s="650">
        <f t="shared" si="54"/>
        <v>2.2617014248952234</v>
      </c>
      <c r="T109" s="650">
        <f t="shared" ref="T109" si="55">+$C$93</f>
        <v>113.10282179915265</v>
      </c>
    </row>
    <row r="110" spans="1:20" s="627" customFormat="1" ht="12">
      <c r="A110" s="653"/>
      <c r="B110" s="662" t="s">
        <v>545</v>
      </c>
      <c r="C110" s="648"/>
      <c r="D110" s="648"/>
      <c r="E110" s="650">
        <f>E108-E109</f>
        <v>-17.994183626635348</v>
      </c>
      <c r="F110" s="631">
        <f t="shared" ref="F110:T110" si="56">F108-F109</f>
        <v>1.9515338350714995</v>
      </c>
      <c r="G110" s="631">
        <f t="shared" si="56"/>
        <v>6.934739720164373</v>
      </c>
      <c r="H110" s="631">
        <f t="shared" si="56"/>
        <v>8.148497531600297</v>
      </c>
      <c r="I110" s="631">
        <f t="shared" si="56"/>
        <v>10.07509548089206</v>
      </c>
      <c r="J110" s="631">
        <f t="shared" si="56"/>
        <v>4.8191127382718673</v>
      </c>
      <c r="K110" s="631">
        <f t="shared" si="56"/>
        <v>-9.7311465913347934</v>
      </c>
      <c r="L110" s="631">
        <f t="shared" si="56"/>
        <v>-16.912549996349952</v>
      </c>
      <c r="M110" s="631">
        <f t="shared" si="56"/>
        <v>22.383597594924552</v>
      </c>
      <c r="N110" s="631">
        <f t="shared" si="56"/>
        <v>19.514018740479884</v>
      </c>
      <c r="O110" s="631">
        <f t="shared" si="56"/>
        <v>30.236298221491452</v>
      </c>
      <c r="P110" s="631">
        <f t="shared" si="56"/>
        <v>40.465997774015847</v>
      </c>
      <c r="Q110" s="631">
        <f t="shared" si="56"/>
        <v>45.951036434563221</v>
      </c>
      <c r="R110" s="631">
        <f t="shared" si="56"/>
        <v>48.524710773505404</v>
      </c>
      <c r="S110" s="631">
        <f t="shared" si="56"/>
        <v>48.307941868454449</v>
      </c>
      <c r="T110" s="631" t="e">
        <f t="shared" si="56"/>
        <v>#REF!</v>
      </c>
    </row>
    <row r="111" spans="1:20" s="627" customFormat="1" ht="12">
      <c r="A111" s="653"/>
      <c r="B111" s="662"/>
      <c r="C111" s="648"/>
      <c r="D111" s="648"/>
      <c r="E111" s="660"/>
      <c r="F111" s="648"/>
      <c r="G111" s="648"/>
      <c r="H111" s="648"/>
      <c r="I111" s="648"/>
      <c r="J111" s="648"/>
      <c r="K111" s="648"/>
      <c r="L111" s="648"/>
      <c r="M111" s="648"/>
      <c r="N111" s="648"/>
      <c r="O111" s="648"/>
      <c r="P111" s="648"/>
      <c r="Q111" s="648"/>
      <c r="R111" s="648"/>
      <c r="S111" s="648"/>
      <c r="T111" s="648"/>
    </row>
    <row r="112" spans="1:20" s="627" customFormat="1" ht="12">
      <c r="A112" s="653"/>
      <c r="B112" s="662" t="s">
        <v>524</v>
      </c>
      <c r="C112" s="648"/>
      <c r="D112" s="648"/>
      <c r="E112" s="650">
        <f>MIN(E110,0)</f>
        <v>-17.994183626635348</v>
      </c>
      <c r="F112" s="631">
        <f t="shared" ref="F112:T112" si="57">MIN(F110,0)</f>
        <v>0</v>
      </c>
      <c r="G112" s="631">
        <f t="shared" si="57"/>
        <v>0</v>
      </c>
      <c r="H112" s="631">
        <f t="shared" si="57"/>
        <v>0</v>
      </c>
      <c r="I112" s="631">
        <f t="shared" si="57"/>
        <v>0</v>
      </c>
      <c r="J112" s="631">
        <f t="shared" si="57"/>
        <v>0</v>
      </c>
      <c r="K112" s="631">
        <f t="shared" si="57"/>
        <v>-9.7311465913347934</v>
      </c>
      <c r="L112" s="631">
        <f t="shared" si="57"/>
        <v>-16.912549996349952</v>
      </c>
      <c r="M112" s="631">
        <f t="shared" si="57"/>
        <v>0</v>
      </c>
      <c r="N112" s="631">
        <f t="shared" si="57"/>
        <v>0</v>
      </c>
      <c r="O112" s="631">
        <f t="shared" si="57"/>
        <v>0</v>
      </c>
      <c r="P112" s="631">
        <f t="shared" si="57"/>
        <v>0</v>
      </c>
      <c r="Q112" s="631">
        <f t="shared" si="57"/>
        <v>0</v>
      </c>
      <c r="R112" s="631">
        <f t="shared" si="57"/>
        <v>0</v>
      </c>
      <c r="S112" s="631">
        <f t="shared" si="57"/>
        <v>0</v>
      </c>
      <c r="T112" s="631" t="e">
        <f t="shared" si="57"/>
        <v>#REF!</v>
      </c>
    </row>
    <row r="113" spans="1:20" s="627" customFormat="1" ht="12">
      <c r="A113" s="653"/>
      <c r="B113" s="662" t="s">
        <v>546</v>
      </c>
      <c r="C113" s="648"/>
      <c r="D113" s="648"/>
      <c r="E113" s="650">
        <f>IF(E110&gt;0,MIN(E110,B115),0)</f>
        <v>0</v>
      </c>
      <c r="F113" s="631">
        <f t="shared" ref="F113:T113" si="58">IF(F110&gt;0,MIN(F110,E115),0)</f>
        <v>1.9515338350714995</v>
      </c>
      <c r="G113" s="631">
        <f t="shared" si="58"/>
        <v>6.934739720164373</v>
      </c>
      <c r="H113" s="631">
        <f t="shared" si="58"/>
        <v>8.148497531600297</v>
      </c>
      <c r="I113" s="631">
        <f t="shared" si="58"/>
        <v>0.9594125397991764</v>
      </c>
      <c r="J113" s="631">
        <f t="shared" si="58"/>
        <v>0</v>
      </c>
      <c r="K113" s="631">
        <f t="shared" si="58"/>
        <v>0</v>
      </c>
      <c r="L113" s="631">
        <f t="shared" si="58"/>
        <v>0</v>
      </c>
      <c r="M113" s="631">
        <f t="shared" si="58"/>
        <v>22.383597594924552</v>
      </c>
      <c r="N113" s="631">
        <f t="shared" si="58"/>
        <v>4.2600989927601915</v>
      </c>
      <c r="O113" s="631">
        <f t="shared" si="58"/>
        <v>0</v>
      </c>
      <c r="P113" s="631">
        <f t="shared" si="58"/>
        <v>0</v>
      </c>
      <c r="Q113" s="631">
        <f t="shared" si="58"/>
        <v>0</v>
      </c>
      <c r="R113" s="631">
        <f t="shared" si="58"/>
        <v>0</v>
      </c>
      <c r="S113" s="631">
        <f t="shared" si="58"/>
        <v>0</v>
      </c>
      <c r="T113" s="631" t="e">
        <f t="shared" si="58"/>
        <v>#REF!</v>
      </c>
    </row>
    <row r="114" spans="1:20" s="627" customFormat="1" ht="12">
      <c r="A114" s="653"/>
      <c r="B114" s="668" t="s">
        <v>547</v>
      </c>
      <c r="C114" s="648"/>
      <c r="D114" s="648"/>
      <c r="E114" s="660"/>
      <c r="F114" s="648"/>
      <c r="G114" s="648"/>
      <c r="H114" s="648"/>
      <c r="I114" s="648"/>
      <c r="J114" s="648"/>
      <c r="K114" s="648"/>
      <c r="L114" s="648"/>
      <c r="M114" s="648"/>
      <c r="N114" s="648"/>
      <c r="O114" s="648"/>
      <c r="P114" s="648"/>
      <c r="Q114" s="648"/>
      <c r="R114" s="648"/>
      <c r="S114" s="648"/>
      <c r="T114" s="648"/>
    </row>
    <row r="115" spans="1:20" s="627" customFormat="1" ht="12">
      <c r="A115" s="653"/>
      <c r="B115" s="662" t="s">
        <v>548</v>
      </c>
      <c r="C115" s="648"/>
      <c r="D115" s="648"/>
      <c r="E115" s="650">
        <f>-E113-E112</f>
        <v>17.994183626635348</v>
      </c>
      <c r="F115" s="631">
        <f>E115-F112-F113</f>
        <v>16.042649791563846</v>
      </c>
      <c r="G115" s="631">
        <f t="shared" ref="G115:T115" si="59">F115-G112-G113</f>
        <v>9.1079100713994734</v>
      </c>
      <c r="H115" s="631">
        <f t="shared" si="59"/>
        <v>0.9594125397991764</v>
      </c>
      <c r="I115" s="631">
        <f t="shared" si="59"/>
        <v>0</v>
      </c>
      <c r="J115" s="631">
        <f t="shared" si="59"/>
        <v>0</v>
      </c>
      <c r="K115" s="631">
        <f t="shared" si="59"/>
        <v>9.7311465913347934</v>
      </c>
      <c r="L115" s="631">
        <f t="shared" si="59"/>
        <v>26.643696587684744</v>
      </c>
      <c r="M115" s="631">
        <f t="shared" si="59"/>
        <v>4.2600989927601915</v>
      </c>
      <c r="N115" s="631">
        <f t="shared" si="59"/>
        <v>0</v>
      </c>
      <c r="O115" s="631">
        <f t="shared" si="59"/>
        <v>0</v>
      </c>
      <c r="P115" s="631">
        <f t="shared" si="59"/>
        <v>0</v>
      </c>
      <c r="Q115" s="631">
        <f t="shared" si="59"/>
        <v>0</v>
      </c>
      <c r="R115" s="631">
        <f t="shared" si="59"/>
        <v>0</v>
      </c>
      <c r="S115" s="631">
        <f t="shared" si="59"/>
        <v>0</v>
      </c>
      <c r="T115" s="631" t="e">
        <f t="shared" si="59"/>
        <v>#REF!</v>
      </c>
    </row>
    <row r="116" spans="1:20" s="627" customFormat="1" ht="12">
      <c r="A116" s="653"/>
      <c r="B116" s="662"/>
      <c r="C116" s="648"/>
      <c r="D116" s="648"/>
      <c r="E116" s="660"/>
      <c r="F116" s="648"/>
      <c r="G116" s="648"/>
      <c r="H116" s="648"/>
      <c r="I116" s="648"/>
      <c r="J116" s="648"/>
      <c r="K116" s="648"/>
      <c r="L116" s="648"/>
      <c r="M116" s="648"/>
      <c r="N116" s="648"/>
      <c r="O116" s="648"/>
      <c r="P116" s="648"/>
      <c r="Q116" s="648"/>
      <c r="R116" s="648"/>
      <c r="S116" s="648"/>
      <c r="T116" s="648"/>
    </row>
    <row r="117" spans="1:20" s="627" customFormat="1" ht="12">
      <c r="A117" s="663" t="s">
        <v>549</v>
      </c>
      <c r="B117" s="666" t="s">
        <v>550</v>
      </c>
      <c r="C117" s="648"/>
      <c r="D117" s="648"/>
      <c r="E117" s="650">
        <f>E93-E104-E89</f>
        <v>2.2617014248952376</v>
      </c>
      <c r="F117" s="650">
        <f t="shared" ref="F117:T117" si="60">F93-F104-F89</f>
        <v>2.8421709430404007E-14</v>
      </c>
      <c r="G117" s="650">
        <f t="shared" si="60"/>
        <v>0</v>
      </c>
      <c r="H117" s="650">
        <f t="shared" si="60"/>
        <v>0</v>
      </c>
      <c r="I117" s="650">
        <f t="shared" si="60"/>
        <v>9.1156829410928992</v>
      </c>
      <c r="J117" s="650">
        <f t="shared" si="60"/>
        <v>-4.296570202821016</v>
      </c>
      <c r="K117" s="650">
        <f t="shared" si="60"/>
        <v>-4.8191127382718548</v>
      </c>
      <c r="L117" s="650">
        <f t="shared" si="60"/>
        <v>0</v>
      </c>
      <c r="M117" s="650">
        <f t="shared" si="60"/>
        <v>1.4210854715202004E-14</v>
      </c>
      <c r="N117" s="650">
        <f t="shared" si="60"/>
        <v>15.253919747719692</v>
      </c>
      <c r="O117" s="650">
        <f t="shared" si="60"/>
        <v>14.98237847377176</v>
      </c>
      <c r="P117" s="650">
        <f t="shared" si="60"/>
        <v>10.229699552524394</v>
      </c>
      <c r="Q117" s="650">
        <f t="shared" si="60"/>
        <v>5.4850386605473744</v>
      </c>
      <c r="R117" s="650">
        <f t="shared" si="60"/>
        <v>2.5736743389421832</v>
      </c>
      <c r="S117" s="650">
        <f t="shared" si="60"/>
        <v>-0.21676890505095514</v>
      </c>
      <c r="T117" s="650" t="e">
        <f t="shared" si="60"/>
        <v>#REF!</v>
      </c>
    </row>
    <row r="118" spans="1:20" s="627" customFormat="1" ht="12">
      <c r="A118" s="663" t="s">
        <v>551</v>
      </c>
      <c r="B118" s="666" t="s">
        <v>552</v>
      </c>
      <c r="C118" s="648"/>
      <c r="D118" s="648"/>
      <c r="E118" s="650">
        <f>E117</f>
        <v>2.2617014248952376</v>
      </c>
      <c r="F118" s="631">
        <f>F117+E118</f>
        <v>2.261701424895266</v>
      </c>
      <c r="G118" s="631">
        <f t="shared" ref="G118:T118" si="61">G117+F118</f>
        <v>2.261701424895266</v>
      </c>
      <c r="H118" s="631">
        <f t="shared" si="61"/>
        <v>2.261701424895266</v>
      </c>
      <c r="I118" s="631">
        <f t="shared" si="61"/>
        <v>11.377384365988165</v>
      </c>
      <c r="J118" s="631">
        <f t="shared" si="61"/>
        <v>7.0808141631671493</v>
      </c>
      <c r="K118" s="631">
        <f t="shared" si="61"/>
        <v>2.2617014248952945</v>
      </c>
      <c r="L118" s="631">
        <f t="shared" si="61"/>
        <v>2.2617014248952945</v>
      </c>
      <c r="M118" s="631">
        <f t="shared" si="61"/>
        <v>2.2617014248953087</v>
      </c>
      <c r="N118" s="631">
        <f t="shared" si="61"/>
        <v>17.515621172614999</v>
      </c>
      <c r="O118" s="631">
        <f t="shared" si="61"/>
        <v>32.497999646386759</v>
      </c>
      <c r="P118" s="631">
        <f t="shared" si="61"/>
        <v>42.727699198911154</v>
      </c>
      <c r="Q118" s="631">
        <f t="shared" si="61"/>
        <v>48.212737859458528</v>
      </c>
      <c r="R118" s="631">
        <f t="shared" si="61"/>
        <v>50.786412198400711</v>
      </c>
      <c r="S118" s="631">
        <f t="shared" si="61"/>
        <v>50.569643293349756</v>
      </c>
      <c r="T118" s="631" t="e">
        <f t="shared" si="61"/>
        <v>#REF!</v>
      </c>
    </row>
    <row r="119" spans="1:20" s="627" customFormat="1" ht="12">
      <c r="E119" s="630">
        <f>+IF(E115-D115&gt;0,E115-D115,0)</f>
        <v>17.994183626635348</v>
      </c>
      <c r="F119" s="630">
        <f t="shared" ref="F119:S119" si="62">+IF(F115-E115&gt;0,F115-E115,0)</f>
        <v>0</v>
      </c>
      <c r="G119" s="630">
        <f t="shared" si="62"/>
        <v>0</v>
      </c>
      <c r="H119" s="630">
        <f t="shared" si="62"/>
        <v>0</v>
      </c>
      <c r="I119" s="630">
        <f t="shared" si="62"/>
        <v>0</v>
      </c>
      <c r="J119" s="630">
        <f t="shared" si="62"/>
        <v>0</v>
      </c>
      <c r="K119" s="630">
        <f t="shared" si="62"/>
        <v>9.7311465913347934</v>
      </c>
      <c r="L119" s="630">
        <f t="shared" si="62"/>
        <v>16.912549996349952</v>
      </c>
      <c r="M119" s="630">
        <f t="shared" si="62"/>
        <v>0</v>
      </c>
      <c r="N119" s="630">
        <f t="shared" si="62"/>
        <v>0</v>
      </c>
      <c r="O119" s="630">
        <f t="shared" si="62"/>
        <v>0</v>
      </c>
      <c r="P119" s="630">
        <f t="shared" si="62"/>
        <v>0</v>
      </c>
      <c r="Q119" s="630">
        <f t="shared" si="62"/>
        <v>0</v>
      </c>
      <c r="R119" s="630">
        <f t="shared" si="62"/>
        <v>0</v>
      </c>
      <c r="S119" s="630">
        <f t="shared" si="62"/>
        <v>0</v>
      </c>
    </row>
    <row r="120" spans="1:20" s="627" customFormat="1" ht="12">
      <c r="F120" s="639"/>
    </row>
    <row r="121" spans="1:20" s="627" customFormat="1" ht="12">
      <c r="A121" s="669" t="s">
        <v>376</v>
      </c>
      <c r="B121" s="670"/>
      <c r="C121" s="671"/>
      <c r="D121" s="671"/>
      <c r="E121" s="671"/>
      <c r="F121" s="671"/>
      <c r="G121" s="671"/>
      <c r="H121" s="671"/>
      <c r="I121" s="671"/>
      <c r="J121" s="671"/>
      <c r="K121" s="671"/>
      <c r="L121" s="671"/>
      <c r="M121" s="671"/>
      <c r="N121" s="671"/>
      <c r="O121" s="671"/>
      <c r="P121" s="671"/>
      <c r="Q121" s="671"/>
      <c r="R121" s="671"/>
    </row>
    <row r="122" spans="1:20" s="627" customFormat="1" ht="12">
      <c r="A122" s="672"/>
      <c r="B122" s="673"/>
      <c r="C122" s="671"/>
      <c r="D122" s="671"/>
      <c r="E122" s="671"/>
      <c r="F122" s="671"/>
      <c r="G122" s="671"/>
      <c r="H122" s="671"/>
      <c r="I122" s="671"/>
      <c r="J122" s="671"/>
      <c r="K122" s="671"/>
      <c r="L122" s="671"/>
      <c r="M122" s="671"/>
      <c r="N122" s="671"/>
      <c r="O122" s="671"/>
      <c r="P122" s="671"/>
      <c r="Q122" s="671"/>
      <c r="R122" s="671"/>
    </row>
    <row r="123" spans="1:20" s="627" customFormat="1" ht="12">
      <c r="A123" s="671"/>
      <c r="B123" s="674" t="s">
        <v>377</v>
      </c>
      <c r="C123" s="675">
        <v>1</v>
      </c>
      <c r="D123" s="671"/>
      <c r="E123" s="671"/>
      <c r="F123" s="671"/>
      <c r="G123" s="671"/>
      <c r="H123" s="671"/>
      <c r="I123" s="671"/>
      <c r="J123" s="671"/>
      <c r="K123" s="671"/>
      <c r="L123" s="671"/>
      <c r="M123" s="671"/>
      <c r="N123" s="671"/>
      <c r="O123" s="671"/>
      <c r="P123" s="671"/>
      <c r="Q123" s="671"/>
      <c r="R123" s="671"/>
    </row>
    <row r="124" spans="1:20" s="627" customFormat="1" ht="12">
      <c r="A124" s="671"/>
      <c r="B124" s="676" t="s">
        <v>378</v>
      </c>
      <c r="C124" s="677">
        <v>8</v>
      </c>
      <c r="D124" s="671"/>
      <c r="E124" s="671"/>
      <c r="F124" s="671"/>
      <c r="G124" s="671"/>
      <c r="H124" s="671"/>
      <c r="I124" s="671"/>
      <c r="J124" s="671"/>
      <c r="K124" s="671"/>
      <c r="L124" s="671"/>
      <c r="M124" s="671"/>
      <c r="N124" s="671"/>
      <c r="O124" s="671"/>
      <c r="P124" s="671"/>
      <c r="Q124" s="671"/>
      <c r="R124" s="671"/>
    </row>
    <row r="125" spans="1:20" s="627" customFormat="1" ht="12">
      <c r="A125" s="671"/>
      <c r="B125" s="676" t="s">
        <v>368</v>
      </c>
      <c r="C125" s="678">
        <v>0.11</v>
      </c>
      <c r="D125" s="671"/>
      <c r="E125" s="671"/>
      <c r="F125" s="671"/>
      <c r="G125" s="671"/>
      <c r="H125" s="671"/>
      <c r="I125" s="671"/>
      <c r="J125" s="671"/>
      <c r="K125" s="671"/>
      <c r="L125" s="671"/>
      <c r="M125" s="671"/>
      <c r="N125" s="671"/>
      <c r="O125" s="671"/>
      <c r="P125" s="671"/>
      <c r="Q125" s="671"/>
      <c r="R125" s="671"/>
    </row>
    <row r="126" spans="1:20" s="627" customFormat="1" ht="12">
      <c r="A126" s="671"/>
      <c r="B126" s="676" t="s">
        <v>379</v>
      </c>
      <c r="C126" s="679">
        <f>D54</f>
        <v>339.25521373428353</v>
      </c>
      <c r="D126" s="680"/>
      <c r="E126" s="671"/>
      <c r="F126" s="671"/>
      <c r="G126" s="671"/>
      <c r="H126" s="671"/>
      <c r="I126" s="671"/>
      <c r="J126" s="671"/>
      <c r="K126" s="671"/>
      <c r="L126" s="671"/>
      <c r="M126" s="671"/>
      <c r="N126" s="671"/>
      <c r="O126" s="671"/>
      <c r="P126" s="671"/>
      <c r="Q126" s="671"/>
      <c r="R126" s="671"/>
    </row>
    <row r="127" spans="1:20" s="627" customFormat="1" ht="12">
      <c r="A127" s="671"/>
      <c r="B127" s="676" t="s">
        <v>380</v>
      </c>
      <c r="C127" s="679">
        <f>C126/C124</f>
        <v>42.406901716785441</v>
      </c>
      <c r="D127" s="671"/>
      <c r="E127" s="671"/>
      <c r="F127" s="671"/>
      <c r="G127" s="671"/>
      <c r="H127" s="671"/>
      <c r="I127" s="671"/>
      <c r="J127" s="671"/>
      <c r="K127" s="671"/>
      <c r="L127" s="671"/>
      <c r="M127" s="671"/>
      <c r="N127" s="671"/>
      <c r="O127" s="671"/>
      <c r="P127" s="671"/>
      <c r="Q127" s="671"/>
      <c r="R127" s="671"/>
    </row>
    <row r="128" spans="1:20" s="627" customFormat="1" ht="12">
      <c r="A128" s="671"/>
      <c r="B128" s="671"/>
      <c r="C128" s="671"/>
      <c r="D128" s="671"/>
      <c r="E128" s="671"/>
      <c r="F128" s="671"/>
      <c r="G128" s="671"/>
      <c r="H128" s="671"/>
      <c r="I128" s="671"/>
      <c r="J128" s="671"/>
      <c r="K128" s="671"/>
      <c r="L128" s="671"/>
      <c r="M128" s="671"/>
      <c r="N128" s="671"/>
      <c r="O128" s="671"/>
      <c r="P128" s="671"/>
      <c r="Q128" s="671"/>
      <c r="R128" s="671"/>
    </row>
    <row r="129" spans="1:20" s="627" customFormat="1" ht="12">
      <c r="A129" s="681"/>
      <c r="B129" s="681"/>
      <c r="C129" s="682" t="s">
        <v>381</v>
      </c>
      <c r="D129" s="683">
        <v>-1</v>
      </c>
      <c r="E129" s="683">
        <v>1</v>
      </c>
      <c r="F129" s="683">
        <v>2</v>
      </c>
      <c r="G129" s="683">
        <v>3</v>
      </c>
      <c r="H129" s="683">
        <v>4</v>
      </c>
      <c r="I129" s="683">
        <v>5</v>
      </c>
      <c r="J129" s="683">
        <v>6</v>
      </c>
      <c r="K129" s="683">
        <v>7</v>
      </c>
      <c r="L129" s="683">
        <v>8</v>
      </c>
      <c r="M129" s="683">
        <v>9</v>
      </c>
      <c r="N129" s="683">
        <v>10</v>
      </c>
      <c r="O129" s="683">
        <v>11</v>
      </c>
      <c r="P129" s="683">
        <v>12</v>
      </c>
      <c r="Q129" s="683">
        <v>13</v>
      </c>
      <c r="R129" s="683">
        <v>14</v>
      </c>
      <c r="S129" s="683">
        <v>15</v>
      </c>
    </row>
    <row r="130" spans="1:20" s="627" customFormat="1" ht="12">
      <c r="A130" s="676"/>
      <c r="B130" s="676" t="s">
        <v>382</v>
      </c>
      <c r="C130" s="675"/>
      <c r="D130" s="675"/>
      <c r="E130" s="677">
        <f>IF(E129&lt;=$C$124,$C$127,0)</f>
        <v>42.406901716785441</v>
      </c>
      <c r="F130" s="677">
        <f t="shared" ref="F130:S130" si="63">IF(F129&lt;=$C$124,$C$127,0)</f>
        <v>42.406901716785441</v>
      </c>
      <c r="G130" s="677">
        <f t="shared" si="63"/>
        <v>42.406901716785441</v>
      </c>
      <c r="H130" s="677">
        <f t="shared" si="63"/>
        <v>42.406901716785441</v>
      </c>
      <c r="I130" s="677">
        <f t="shared" si="63"/>
        <v>42.406901716785441</v>
      </c>
      <c r="J130" s="677">
        <f t="shared" si="63"/>
        <v>42.406901716785441</v>
      </c>
      <c r="K130" s="677">
        <f t="shared" si="63"/>
        <v>42.406901716785441</v>
      </c>
      <c r="L130" s="677">
        <f t="shared" si="63"/>
        <v>42.406901716785441</v>
      </c>
      <c r="M130" s="677">
        <f t="shared" si="63"/>
        <v>0</v>
      </c>
      <c r="N130" s="677">
        <f t="shared" si="63"/>
        <v>0</v>
      </c>
      <c r="O130" s="677">
        <f t="shared" si="63"/>
        <v>0</v>
      </c>
      <c r="P130" s="677">
        <f t="shared" si="63"/>
        <v>0</v>
      </c>
      <c r="Q130" s="677">
        <f t="shared" si="63"/>
        <v>0</v>
      </c>
      <c r="R130" s="677">
        <f t="shared" si="63"/>
        <v>0</v>
      </c>
      <c r="S130" s="677">
        <f t="shared" si="63"/>
        <v>0</v>
      </c>
    </row>
    <row r="131" spans="1:20" s="627" customFormat="1" ht="12">
      <c r="A131" s="676"/>
      <c r="B131" s="676" t="s">
        <v>383</v>
      </c>
      <c r="C131" s="679">
        <v>0</v>
      </c>
      <c r="D131" s="679">
        <f>SUM(Capex!B24:B30)*'Cashflow '!C54</f>
        <v>313.39973555130115</v>
      </c>
      <c r="E131" s="679">
        <f>C126</f>
        <v>339.25521373428353</v>
      </c>
      <c r="F131" s="679">
        <f>E131-E130</f>
        <v>296.84831201749807</v>
      </c>
      <c r="G131" s="679">
        <f t="shared" ref="G131:S131" si="64">F131-F130</f>
        <v>254.44141030071262</v>
      </c>
      <c r="H131" s="679">
        <f t="shared" si="64"/>
        <v>212.03450858392716</v>
      </c>
      <c r="I131" s="679">
        <f t="shared" si="64"/>
        <v>169.62760686714171</v>
      </c>
      <c r="J131" s="679">
        <f t="shared" si="64"/>
        <v>127.22070515035627</v>
      </c>
      <c r="K131" s="679">
        <f t="shared" si="64"/>
        <v>84.813803433570826</v>
      </c>
      <c r="L131" s="679">
        <f t="shared" si="64"/>
        <v>42.406901716785384</v>
      </c>
      <c r="M131" s="679">
        <f t="shared" si="64"/>
        <v>-5.6843418860808015E-14</v>
      </c>
      <c r="N131" s="679">
        <f t="shared" si="64"/>
        <v>-5.6843418860808015E-14</v>
      </c>
      <c r="O131" s="679">
        <f t="shared" si="64"/>
        <v>-5.6843418860808015E-14</v>
      </c>
      <c r="P131" s="679">
        <f t="shared" si="64"/>
        <v>-5.6843418860808015E-14</v>
      </c>
      <c r="Q131" s="679">
        <f t="shared" si="64"/>
        <v>-5.6843418860808015E-14</v>
      </c>
      <c r="R131" s="679">
        <f t="shared" si="64"/>
        <v>-5.6843418860808015E-14</v>
      </c>
      <c r="S131" s="679">
        <f t="shared" si="64"/>
        <v>-5.6843418860808015E-14</v>
      </c>
    </row>
    <row r="132" spans="1:20" s="627" customFormat="1" ht="12">
      <c r="A132" s="676"/>
      <c r="B132" s="676" t="s">
        <v>368</v>
      </c>
      <c r="C132" s="677">
        <v>0</v>
      </c>
      <c r="D132" s="677">
        <f>D131*$C$125</f>
        <v>34.473970910643125</v>
      </c>
      <c r="E132" s="677">
        <f t="shared" ref="E132:S132" si="65">E131*$C$125</f>
        <v>37.318073510771185</v>
      </c>
      <c r="F132" s="677">
        <f t="shared" si="65"/>
        <v>32.653314321924789</v>
      </c>
      <c r="G132" s="677">
        <f t="shared" si="65"/>
        <v>27.988555133078389</v>
      </c>
      <c r="H132" s="677">
        <f t="shared" si="65"/>
        <v>23.323795944231989</v>
      </c>
      <c r="I132" s="677">
        <f t="shared" si="65"/>
        <v>18.659036755385589</v>
      </c>
      <c r="J132" s="677">
        <f t="shared" si="65"/>
        <v>13.994277566539189</v>
      </c>
      <c r="K132" s="677">
        <f t="shared" si="65"/>
        <v>9.329518377692791</v>
      </c>
      <c r="L132" s="677">
        <f t="shared" si="65"/>
        <v>4.664759188846392</v>
      </c>
      <c r="M132" s="677">
        <f t="shared" si="65"/>
        <v>-6.2527760746888817E-15</v>
      </c>
      <c r="N132" s="677">
        <f t="shared" si="65"/>
        <v>-6.2527760746888817E-15</v>
      </c>
      <c r="O132" s="677">
        <f t="shared" si="65"/>
        <v>-6.2527760746888817E-15</v>
      </c>
      <c r="P132" s="677">
        <f t="shared" si="65"/>
        <v>-6.2527760746888817E-15</v>
      </c>
      <c r="Q132" s="677">
        <f t="shared" si="65"/>
        <v>-6.2527760746888817E-15</v>
      </c>
      <c r="R132" s="677">
        <f t="shared" si="65"/>
        <v>-6.2527760746888817E-15</v>
      </c>
      <c r="S132" s="677">
        <f t="shared" si="65"/>
        <v>-6.2527760746888817E-15</v>
      </c>
    </row>
    <row r="133" spans="1:20" s="627" customFormat="1" ht="12"/>
    <row r="134" spans="1:20" s="627" customFormat="1" ht="12"/>
    <row r="135" spans="1:20" s="627" customFormat="1" ht="12">
      <c r="A135" s="864" t="s">
        <v>553</v>
      </c>
      <c r="B135" s="864"/>
      <c r="C135" s="864"/>
      <c r="D135" s="864"/>
      <c r="E135" s="864"/>
      <c r="F135" s="864"/>
      <c r="G135" s="864"/>
      <c r="H135" s="864"/>
      <c r="I135" s="864"/>
      <c r="J135" s="864"/>
      <c r="K135" s="864"/>
      <c r="L135" s="864"/>
      <c r="M135" s="864"/>
      <c r="N135" s="864"/>
      <c r="O135" s="864"/>
      <c r="P135" s="864"/>
      <c r="Q135" s="864"/>
    </row>
    <row r="136" spans="1:20" s="627" customFormat="1" ht="12">
      <c r="A136" s="865" t="s">
        <v>467</v>
      </c>
      <c r="B136" s="865"/>
      <c r="C136" s="865"/>
      <c r="D136" s="865"/>
      <c r="E136" s="865"/>
      <c r="F136" s="865"/>
      <c r="G136" s="865"/>
      <c r="H136" s="865"/>
      <c r="I136" s="865"/>
      <c r="J136" s="865"/>
      <c r="K136" s="865"/>
      <c r="L136" s="865"/>
      <c r="M136" s="865"/>
      <c r="N136" s="865"/>
      <c r="O136" s="865"/>
      <c r="P136" s="865"/>
      <c r="Q136" s="865"/>
    </row>
    <row r="137" spans="1:20" s="627" customFormat="1" ht="12">
      <c r="A137" s="684"/>
      <c r="B137" s="685"/>
      <c r="C137" s="614"/>
      <c r="D137" s="614"/>
      <c r="E137" s="614"/>
      <c r="F137" s="614"/>
      <c r="G137" s="614"/>
      <c r="H137" s="614"/>
      <c r="I137" s="614"/>
      <c r="J137" s="614"/>
      <c r="K137" s="614"/>
      <c r="L137" s="614"/>
      <c r="M137" s="614"/>
      <c r="N137" s="614"/>
      <c r="O137" s="614"/>
      <c r="P137" s="614"/>
      <c r="Q137" s="686"/>
    </row>
    <row r="138" spans="1:20" s="627" customFormat="1" ht="12">
      <c r="A138" s="687" t="s">
        <v>469</v>
      </c>
      <c r="B138" s="688" t="s">
        <v>470</v>
      </c>
      <c r="C138" s="689" t="s">
        <v>522</v>
      </c>
      <c r="D138" s="689" t="s">
        <v>471</v>
      </c>
      <c r="E138" s="689" t="s">
        <v>472</v>
      </c>
      <c r="F138" s="689" t="s">
        <v>473</v>
      </c>
      <c r="G138" s="689" t="s">
        <v>474</v>
      </c>
      <c r="H138" s="689" t="s">
        <v>475</v>
      </c>
      <c r="I138" s="689" t="s">
        <v>476</v>
      </c>
      <c r="J138" s="689" t="s">
        <v>477</v>
      </c>
      <c r="K138" s="689" t="s">
        <v>478</v>
      </c>
      <c r="L138" s="689" t="s">
        <v>479</v>
      </c>
      <c r="M138" s="689">
        <v>11</v>
      </c>
      <c r="N138" s="689" t="s">
        <v>481</v>
      </c>
      <c r="O138" s="689" t="s">
        <v>482</v>
      </c>
      <c r="P138" s="689" t="s">
        <v>483</v>
      </c>
      <c r="Q138" s="690" t="s">
        <v>484</v>
      </c>
      <c r="R138" s="690" t="s">
        <v>554</v>
      </c>
      <c r="S138" s="690" t="s">
        <v>555</v>
      </c>
      <c r="T138" s="690" t="s">
        <v>556</v>
      </c>
    </row>
    <row r="139" spans="1:20" s="627" customFormat="1" ht="12">
      <c r="A139" s="691" t="s">
        <v>485</v>
      </c>
      <c r="B139" s="692"/>
      <c r="C139" s="693"/>
      <c r="D139" s="693"/>
      <c r="E139" s="693"/>
      <c r="F139" s="693"/>
      <c r="G139" s="693"/>
      <c r="H139" s="693"/>
      <c r="I139" s="693"/>
      <c r="J139" s="693"/>
      <c r="K139" s="693"/>
      <c r="L139" s="693"/>
      <c r="M139" s="693"/>
      <c r="N139" s="693"/>
      <c r="O139" s="693"/>
      <c r="P139" s="693"/>
      <c r="Q139" s="694"/>
      <c r="R139" s="694"/>
      <c r="S139" s="694"/>
      <c r="T139" s="694"/>
    </row>
    <row r="140" spans="1:20" s="627" customFormat="1" ht="12">
      <c r="A140" s="695">
        <v>1</v>
      </c>
      <c r="B140" s="696" t="s">
        <v>557</v>
      </c>
      <c r="C140" s="697">
        <f>F77</f>
        <v>51.722457367151307</v>
      </c>
      <c r="D140" s="697">
        <f t="shared" ref="D140:Q140" si="66">G77</f>
        <v>76.294611560704396</v>
      </c>
      <c r="E140" s="697">
        <f t="shared" si="66"/>
        <v>84.763399417967051</v>
      </c>
      <c r="F140" s="697">
        <f t="shared" si="66"/>
        <v>85.894272264265041</v>
      </c>
      <c r="G140" s="697">
        <f t="shared" si="66"/>
        <v>87.547085616754501</v>
      </c>
      <c r="H140" s="697">
        <f t="shared" si="66"/>
        <v>88.893014151407939</v>
      </c>
      <c r="I140" s="697">
        <f t="shared" si="66"/>
        <v>90.26140645936475</v>
      </c>
      <c r="J140" s="697">
        <f t="shared" si="66"/>
        <v>91.496087024703769</v>
      </c>
      <c r="K140" s="697">
        <f t="shared" si="66"/>
        <v>92.34085716769718</v>
      </c>
      <c r="L140" s="697">
        <f t="shared" si="66"/>
        <v>94.198584835802322</v>
      </c>
      <c r="M140" s="697">
        <f t="shared" si="66"/>
        <v>91.173234423953048</v>
      </c>
      <c r="N140" s="697">
        <f t="shared" si="66"/>
        <v>88.041859176937081</v>
      </c>
      <c r="O140" s="697">
        <f t="shared" si="66"/>
        <v>85.114027816438252</v>
      </c>
      <c r="P140" s="697">
        <f t="shared" si="66"/>
        <v>82.202848343443705</v>
      </c>
      <c r="Q140" s="697">
        <f t="shared" si="66"/>
        <v>79.284946601034179</v>
      </c>
      <c r="R140" s="698">
        <f t="shared" ref="R140:T140" si="67">R77</f>
        <v>85.114027816438252</v>
      </c>
      <c r="S140" s="698">
        <f t="shared" si="67"/>
        <v>82.202848343443705</v>
      </c>
      <c r="T140" s="698">
        <f t="shared" si="67"/>
        <v>79.284946601034179</v>
      </c>
    </row>
    <row r="141" spans="1:20" s="627" customFormat="1" ht="12">
      <c r="A141" s="695">
        <v>2</v>
      </c>
      <c r="B141" s="696" t="s">
        <v>558</v>
      </c>
      <c r="C141" s="697">
        <f>F76</f>
        <v>20.826821021628508</v>
      </c>
      <c r="D141" s="697">
        <f t="shared" ref="D141:Q141" si="68">G76</f>
        <v>20.826821021628508</v>
      </c>
      <c r="E141" s="697">
        <f t="shared" si="68"/>
        <v>20.826821021628508</v>
      </c>
      <c r="F141" s="697">
        <f t="shared" si="68"/>
        <v>20.826821021628508</v>
      </c>
      <c r="G141" s="697">
        <f t="shared" si="68"/>
        <v>20.826821021628508</v>
      </c>
      <c r="H141" s="697">
        <f t="shared" si="68"/>
        <v>20.826821021628508</v>
      </c>
      <c r="I141" s="697">
        <f t="shared" si="68"/>
        <v>20.826821021628508</v>
      </c>
      <c r="J141" s="697">
        <f t="shared" si="68"/>
        <v>20.826821021628508</v>
      </c>
      <c r="K141" s="697">
        <f t="shared" si="68"/>
        <v>20.826821021628508</v>
      </c>
      <c r="L141" s="697">
        <f t="shared" si="68"/>
        <v>20.826821021628508</v>
      </c>
      <c r="M141" s="697">
        <f t="shared" si="68"/>
        <v>20.826821021628508</v>
      </c>
      <c r="N141" s="697">
        <f t="shared" si="68"/>
        <v>20.826821021628508</v>
      </c>
      <c r="O141" s="697">
        <f t="shared" si="68"/>
        <v>20.826821021628508</v>
      </c>
      <c r="P141" s="697">
        <f t="shared" si="68"/>
        <v>20.826821021628508</v>
      </c>
      <c r="Q141" s="697">
        <f t="shared" si="68"/>
        <v>20.826821021628508</v>
      </c>
      <c r="R141" s="698">
        <f t="shared" ref="R141:T141" si="69">R76</f>
        <v>20.826821021628508</v>
      </c>
      <c r="S141" s="698">
        <f t="shared" si="69"/>
        <v>20.826821021628508</v>
      </c>
      <c r="T141" s="698">
        <f t="shared" si="69"/>
        <v>20.826821021628508</v>
      </c>
    </row>
    <row r="142" spans="1:20" s="627" customFormat="1" ht="12">
      <c r="A142" s="695">
        <v>3</v>
      </c>
      <c r="B142" s="699" t="s">
        <v>559</v>
      </c>
      <c r="C142" s="697">
        <f>E169</f>
        <v>151.93592708413027</v>
      </c>
      <c r="D142" s="697">
        <f t="shared" ref="D142:R142" si="70">F169</f>
        <v>42.975763656749848</v>
      </c>
      <c r="E142" s="697">
        <f t="shared" si="70"/>
        <v>36.576522774960075</v>
      </c>
      <c r="F142" s="697">
        <f t="shared" si="70"/>
        <v>31.132455658766499</v>
      </c>
      <c r="G142" s="697">
        <f t="shared" si="70"/>
        <v>26.500757479996917</v>
      </c>
      <c r="H142" s="697">
        <f t="shared" si="70"/>
        <v>22.559997011038234</v>
      </c>
      <c r="I142" s="697">
        <f t="shared" si="70"/>
        <v>19.206915297119266</v>
      </c>
      <c r="J142" s="697">
        <f t="shared" si="70"/>
        <v>16.353704056514466</v>
      </c>
      <c r="K142" s="697">
        <f t="shared" si="70"/>
        <v>13.925691896604077</v>
      </c>
      <c r="L142" s="697">
        <f t="shared" si="70"/>
        <v>11.859377215823567</v>
      </c>
      <c r="M142" s="697">
        <f t="shared" si="70"/>
        <v>10.100755826789126</v>
      </c>
      <c r="N142" s="697">
        <f t="shared" si="70"/>
        <v>8.6038991267759393</v>
      </c>
      <c r="O142" s="697">
        <f t="shared" si="70"/>
        <v>7.3297452643642131</v>
      </c>
      <c r="P142" s="697">
        <f t="shared" si="70"/>
        <v>6.2450713806537799</v>
      </c>
      <c r="Q142" s="698">
        <f t="shared" si="70"/>
        <v>5.3216197889054921</v>
      </c>
      <c r="R142" s="698">
        <f t="shared" si="70"/>
        <v>4.5353550243844696</v>
      </c>
      <c r="S142" s="698" t="e">
        <f>#REF!</f>
        <v>#REF!</v>
      </c>
      <c r="T142" s="698" t="e">
        <f>#REF!</f>
        <v>#REF!</v>
      </c>
    </row>
    <row r="143" spans="1:20" s="627" customFormat="1" ht="12">
      <c r="A143" s="695">
        <v>4</v>
      </c>
      <c r="B143" s="696" t="s">
        <v>560</v>
      </c>
      <c r="C143" s="697">
        <f>C140+C141-C142</f>
        <v>-79.386648695350459</v>
      </c>
      <c r="D143" s="697">
        <f t="shared" ref="D143:T143" si="71">D140+D141-D142</f>
        <v>54.145668925583053</v>
      </c>
      <c r="E143" s="697">
        <f t="shared" si="71"/>
        <v>69.013697664635487</v>
      </c>
      <c r="F143" s="697">
        <f t="shared" si="71"/>
        <v>75.588637627127042</v>
      </c>
      <c r="G143" s="697">
        <f t="shared" si="71"/>
        <v>81.873149158386084</v>
      </c>
      <c r="H143" s="697">
        <f t="shared" si="71"/>
        <v>87.159838161998209</v>
      </c>
      <c r="I143" s="697">
        <f t="shared" si="71"/>
        <v>91.881312183873987</v>
      </c>
      <c r="J143" s="697">
        <f t="shared" si="71"/>
        <v>95.9692039898178</v>
      </c>
      <c r="K143" s="697">
        <f t="shared" si="71"/>
        <v>99.241986292721606</v>
      </c>
      <c r="L143" s="697">
        <f t="shared" si="71"/>
        <v>103.16602864160726</v>
      </c>
      <c r="M143" s="697">
        <f t="shared" si="71"/>
        <v>101.89929961879243</v>
      </c>
      <c r="N143" s="697">
        <f t="shared" si="71"/>
        <v>100.26478107178964</v>
      </c>
      <c r="O143" s="697">
        <f t="shared" si="71"/>
        <v>98.611103573702536</v>
      </c>
      <c r="P143" s="697">
        <f t="shared" si="71"/>
        <v>96.784597984418426</v>
      </c>
      <c r="Q143" s="698">
        <f t="shared" si="71"/>
        <v>94.790147833757189</v>
      </c>
      <c r="R143" s="698">
        <f t="shared" si="71"/>
        <v>101.40549381368228</v>
      </c>
      <c r="S143" s="698" t="e">
        <f t="shared" si="71"/>
        <v>#REF!</v>
      </c>
      <c r="T143" s="698" t="e">
        <f t="shared" si="71"/>
        <v>#REF!</v>
      </c>
    </row>
    <row r="144" spans="1:20" s="627" customFormat="1" ht="12">
      <c r="A144" s="695">
        <v>5</v>
      </c>
      <c r="B144" s="696" t="s">
        <v>561</v>
      </c>
      <c r="C144" s="697">
        <v>0</v>
      </c>
      <c r="D144" s="697">
        <f>IF(C145&gt;0,0,C145)</f>
        <v>-79.386648695350459</v>
      </c>
      <c r="E144" s="697">
        <f t="shared" ref="E144:T144" si="72">IF(D145&gt;0,0,D145)</f>
        <v>-25.240979769767407</v>
      </c>
      <c r="F144" s="697">
        <f t="shared" si="72"/>
        <v>0</v>
      </c>
      <c r="G144" s="697">
        <f t="shared" si="72"/>
        <v>0</v>
      </c>
      <c r="H144" s="697">
        <f t="shared" si="72"/>
        <v>0</v>
      </c>
      <c r="I144" s="697">
        <f t="shared" si="72"/>
        <v>0</v>
      </c>
      <c r="J144" s="697">
        <f t="shared" si="72"/>
        <v>0</v>
      </c>
      <c r="K144" s="697">
        <f t="shared" si="72"/>
        <v>0</v>
      </c>
      <c r="L144" s="697">
        <f t="shared" si="72"/>
        <v>0</v>
      </c>
      <c r="M144" s="697">
        <f t="shared" si="72"/>
        <v>0</v>
      </c>
      <c r="N144" s="697">
        <f t="shared" si="72"/>
        <v>0</v>
      </c>
      <c r="O144" s="697">
        <f t="shared" si="72"/>
        <v>0</v>
      </c>
      <c r="P144" s="697">
        <f t="shared" si="72"/>
        <v>0</v>
      </c>
      <c r="Q144" s="698">
        <f t="shared" si="72"/>
        <v>0</v>
      </c>
      <c r="R144" s="698">
        <f t="shared" si="72"/>
        <v>0</v>
      </c>
      <c r="S144" s="698">
        <f t="shared" si="72"/>
        <v>0</v>
      </c>
      <c r="T144" s="698" t="e">
        <f t="shared" si="72"/>
        <v>#REF!</v>
      </c>
    </row>
    <row r="145" spans="1:21" s="627" customFormat="1" ht="12">
      <c r="A145" s="695">
        <v>6</v>
      </c>
      <c r="B145" s="696" t="s">
        <v>562</v>
      </c>
      <c r="C145" s="697">
        <f>C143+C144</f>
        <v>-79.386648695350459</v>
      </c>
      <c r="D145" s="697">
        <f t="shared" ref="D145:T145" si="73">D143+D144</f>
        <v>-25.240979769767407</v>
      </c>
      <c r="E145" s="697">
        <f t="shared" si="73"/>
        <v>43.77271789486808</v>
      </c>
      <c r="F145" s="697">
        <f t="shared" si="73"/>
        <v>75.588637627127042</v>
      </c>
      <c r="G145" s="697">
        <f t="shared" si="73"/>
        <v>81.873149158386084</v>
      </c>
      <c r="H145" s="697">
        <f t="shared" si="73"/>
        <v>87.159838161998209</v>
      </c>
      <c r="I145" s="697">
        <f t="shared" si="73"/>
        <v>91.881312183873987</v>
      </c>
      <c r="J145" s="697">
        <f t="shared" si="73"/>
        <v>95.9692039898178</v>
      </c>
      <c r="K145" s="697">
        <f t="shared" si="73"/>
        <v>99.241986292721606</v>
      </c>
      <c r="L145" s="697">
        <f t="shared" si="73"/>
        <v>103.16602864160726</v>
      </c>
      <c r="M145" s="697">
        <f t="shared" si="73"/>
        <v>101.89929961879243</v>
      </c>
      <c r="N145" s="697">
        <f t="shared" si="73"/>
        <v>100.26478107178964</v>
      </c>
      <c r="O145" s="697">
        <f t="shared" si="73"/>
        <v>98.611103573702536</v>
      </c>
      <c r="P145" s="697">
        <f t="shared" si="73"/>
        <v>96.784597984418426</v>
      </c>
      <c r="Q145" s="698">
        <f t="shared" si="73"/>
        <v>94.790147833757189</v>
      </c>
      <c r="R145" s="698">
        <f t="shared" si="73"/>
        <v>101.40549381368228</v>
      </c>
      <c r="S145" s="698" t="e">
        <f t="shared" si="73"/>
        <v>#REF!</v>
      </c>
      <c r="T145" s="698" t="e">
        <f t="shared" si="73"/>
        <v>#REF!</v>
      </c>
    </row>
    <row r="146" spans="1:21" s="627" customFormat="1" ht="12">
      <c r="A146" s="695">
        <v>7</v>
      </c>
      <c r="B146" s="696" t="s">
        <v>563</v>
      </c>
      <c r="C146" s="697">
        <f>IF(C145&gt;0,C145*$C$65,0)</f>
        <v>0</v>
      </c>
      <c r="D146" s="697">
        <f t="shared" ref="D146:R146" si="74">IF(D145&gt;0,D145*$C$65,0)</f>
        <v>0</v>
      </c>
      <c r="E146" s="697">
        <f t="shared" si="74"/>
        <v>15.295938541182704</v>
      </c>
      <c r="F146" s="697">
        <f t="shared" si="74"/>
        <v>26.413693532423277</v>
      </c>
      <c r="G146" s="697">
        <f t="shared" si="74"/>
        <v>28.609753241906436</v>
      </c>
      <c r="H146" s="697">
        <f t="shared" si="74"/>
        <v>30.457133847328656</v>
      </c>
      <c r="I146" s="697">
        <f t="shared" si="74"/>
        <v>32.107005729532929</v>
      </c>
      <c r="J146" s="697">
        <f t="shared" si="74"/>
        <v>33.535478642201937</v>
      </c>
      <c r="K146" s="697">
        <f t="shared" si="74"/>
        <v>34.679119690128644</v>
      </c>
      <c r="L146" s="697">
        <f t="shared" si="74"/>
        <v>36.05033704852324</v>
      </c>
      <c r="M146" s="697">
        <f t="shared" si="74"/>
        <v>35.60769125879083</v>
      </c>
      <c r="N146" s="697">
        <f t="shared" si="74"/>
        <v>35.036525097726177</v>
      </c>
      <c r="O146" s="697">
        <f t="shared" si="74"/>
        <v>34.458664032794616</v>
      </c>
      <c r="P146" s="697">
        <f t="shared" si="74"/>
        <v>33.820409919675178</v>
      </c>
      <c r="Q146" s="697">
        <f t="shared" si="74"/>
        <v>33.123469259028113</v>
      </c>
      <c r="R146" s="697">
        <f t="shared" si="74"/>
        <v>35.435135758253139</v>
      </c>
      <c r="S146" s="697" t="e">
        <f>IF(S145&gt;0,S145*$C$125,0)</f>
        <v>#REF!</v>
      </c>
      <c r="T146" s="697" t="e">
        <f>IF(T145&gt;0,T145*$C$125,0)</f>
        <v>#REF!</v>
      </c>
    </row>
    <row r="147" spans="1:21" s="627" customFormat="1" ht="12">
      <c r="A147" s="695">
        <v>8</v>
      </c>
      <c r="B147" s="696" t="s">
        <v>564</v>
      </c>
      <c r="C147" s="697">
        <f>IF(C77&gt;0,C77*$D$65,0)</f>
        <v>0</v>
      </c>
      <c r="D147" s="697">
        <f t="shared" ref="D147:S147" si="75">IF(D77&gt;0,D77*$D$65,0)</f>
        <v>0</v>
      </c>
      <c r="E147" s="697">
        <f t="shared" si="75"/>
        <v>0</v>
      </c>
      <c r="F147" s="697">
        <f t="shared" si="75"/>
        <v>9.0369477511886771</v>
      </c>
      <c r="G147" s="697">
        <f t="shared" si="75"/>
        <v>13.330194531886272</v>
      </c>
      <c r="H147" s="697">
        <f t="shared" si="75"/>
        <v>14.809861146307204</v>
      </c>
      <c r="I147" s="697">
        <f t="shared" si="75"/>
        <v>15.007447250012389</v>
      </c>
      <c r="J147" s="697">
        <f t="shared" si="75"/>
        <v>15.296226798959347</v>
      </c>
      <c r="K147" s="697">
        <f t="shared" si="75"/>
        <v>15.531387432533997</v>
      </c>
      <c r="L147" s="697">
        <f t="shared" si="75"/>
        <v>15.770472936580211</v>
      </c>
      <c r="M147" s="697">
        <f t="shared" si="75"/>
        <v>15.986196324956245</v>
      </c>
      <c r="N147" s="697">
        <f t="shared" si="75"/>
        <v>16.133794564340054</v>
      </c>
      <c r="O147" s="697">
        <f t="shared" si="75"/>
        <v>16.458376742511383</v>
      </c>
      <c r="P147" s="697">
        <f t="shared" si="75"/>
        <v>15.929787518553077</v>
      </c>
      <c r="Q147" s="697">
        <f t="shared" si="75"/>
        <v>15.382673635394449</v>
      </c>
      <c r="R147" s="697">
        <f t="shared" si="75"/>
        <v>14.871122940088092</v>
      </c>
      <c r="S147" s="697">
        <f t="shared" si="75"/>
        <v>14.362481662566486</v>
      </c>
      <c r="T147" s="697">
        <f>IF(T77&gt;0,T77*$D$125,0)</f>
        <v>0</v>
      </c>
    </row>
    <row r="148" spans="1:21" s="627" customFormat="1" ht="12">
      <c r="A148" s="695">
        <v>9</v>
      </c>
      <c r="B148" s="696" t="s">
        <v>565</v>
      </c>
      <c r="C148" s="700">
        <f>IF(C146&gt;C147,C146,C147)</f>
        <v>0</v>
      </c>
      <c r="D148" s="700">
        <f t="shared" ref="D148:T148" si="76">IF(D146&gt;D147,D146,D147)</f>
        <v>0</v>
      </c>
      <c r="E148" s="700">
        <f t="shared" si="76"/>
        <v>15.295938541182704</v>
      </c>
      <c r="F148" s="700">
        <f t="shared" si="76"/>
        <v>26.413693532423277</v>
      </c>
      <c r="G148" s="700">
        <f t="shared" si="76"/>
        <v>28.609753241906436</v>
      </c>
      <c r="H148" s="700">
        <f t="shared" si="76"/>
        <v>30.457133847328656</v>
      </c>
      <c r="I148" s="700">
        <f t="shared" si="76"/>
        <v>32.107005729532929</v>
      </c>
      <c r="J148" s="700">
        <f t="shared" si="76"/>
        <v>33.535478642201937</v>
      </c>
      <c r="K148" s="700">
        <f t="shared" si="76"/>
        <v>34.679119690128644</v>
      </c>
      <c r="L148" s="700">
        <f t="shared" si="76"/>
        <v>36.05033704852324</v>
      </c>
      <c r="M148" s="700">
        <f t="shared" si="76"/>
        <v>35.60769125879083</v>
      </c>
      <c r="N148" s="700">
        <f t="shared" si="76"/>
        <v>35.036525097726177</v>
      </c>
      <c r="O148" s="700">
        <f t="shared" si="76"/>
        <v>34.458664032794616</v>
      </c>
      <c r="P148" s="700">
        <f t="shared" si="76"/>
        <v>33.820409919675178</v>
      </c>
      <c r="Q148" s="700">
        <f t="shared" si="76"/>
        <v>33.123469259028113</v>
      </c>
      <c r="R148" s="700">
        <f t="shared" si="76"/>
        <v>35.435135758253139</v>
      </c>
      <c r="S148" s="700" t="e">
        <f t="shared" si="76"/>
        <v>#REF!</v>
      </c>
      <c r="T148" s="700" t="e">
        <f t="shared" si="76"/>
        <v>#REF!</v>
      </c>
    </row>
    <row r="149" spans="1:21" s="627" customFormat="1" ht="12">
      <c r="A149" s="695">
        <v>10</v>
      </c>
      <c r="B149" s="701" t="s">
        <v>566</v>
      </c>
      <c r="C149" s="702">
        <f>IF(C147&gt;C146,SUM($C$147:C147),0)</f>
        <v>0</v>
      </c>
      <c r="D149" s="702">
        <f>IF(D147&gt;D146,SUM($C$147:D147),0)</f>
        <v>0</v>
      </c>
      <c r="E149" s="702">
        <f>IF(E147&gt;E146,SUM($C$147:E147),0)</f>
        <v>0</v>
      </c>
      <c r="F149" s="702">
        <f>IF(F147&gt;F146,SUM($C$147:F147),0)</f>
        <v>0</v>
      </c>
      <c r="G149" s="702">
        <f>IF(G147&gt;G146,SUM($C$147:G147),0)</f>
        <v>0</v>
      </c>
      <c r="H149" s="702">
        <f>IF(H147&gt;H146,SUM($C$147:H147),0)</f>
        <v>0</v>
      </c>
      <c r="I149" s="702">
        <f>IF(I147&gt;I146,SUM($C$147:I147),0)</f>
        <v>0</v>
      </c>
      <c r="J149" s="702">
        <f>IF(J147&gt;J146,SUM($C$147:J147),0)</f>
        <v>0</v>
      </c>
      <c r="K149" s="702">
        <f>IF(K147&gt;K146,SUM($C$147:K147),0)</f>
        <v>0</v>
      </c>
      <c r="L149" s="702">
        <f>IF(L147&gt;L146,SUM($C$147:L147),0)</f>
        <v>0</v>
      </c>
      <c r="M149" s="702">
        <f>IF(M147&gt;M146,SUM($C$147:M147),0)</f>
        <v>0</v>
      </c>
      <c r="N149" s="702">
        <f>IF(N147&gt;N146,SUM($C$147:N147),0)</f>
        <v>0</v>
      </c>
      <c r="O149" s="702">
        <f>IF(O147&gt;O146,SUM($C$147:O147),0)</f>
        <v>0</v>
      </c>
      <c r="P149" s="702">
        <f>IF(P147&gt;P146,SUM($C$147:P147),0)</f>
        <v>0</v>
      </c>
      <c r="Q149" s="702">
        <f>IF(Q147&gt;Q146,SUM($C$147:Q147),0)</f>
        <v>0</v>
      </c>
      <c r="R149" s="702">
        <f>IF(R147&gt;R146,SUM($C$147:R147),0)</f>
        <v>0</v>
      </c>
      <c r="S149" s="702" t="e">
        <f>IF(S147&gt;S146,SUM($C147:S$264),0)</f>
        <v>#REF!</v>
      </c>
      <c r="T149" s="702" t="e">
        <f>IF(T147&gt;T146,SUM($C147:T$264),0)</f>
        <v>#REF!</v>
      </c>
    </row>
    <row r="150" spans="1:21" s="627" customFormat="1" ht="12">
      <c r="A150" s="695">
        <v>11</v>
      </c>
      <c r="B150" s="696" t="s">
        <v>567</v>
      </c>
      <c r="C150" s="703">
        <f>IF(C156&gt;0,C156,0)</f>
        <v>0</v>
      </c>
      <c r="D150" s="703">
        <f t="shared" ref="D150:T150" si="77">IF(D156&gt;0,D156,0)</f>
        <v>0</v>
      </c>
      <c r="E150" s="703">
        <f t="shared" si="77"/>
        <v>0</v>
      </c>
      <c r="F150" s="703">
        <f t="shared" si="77"/>
        <v>0</v>
      </c>
      <c r="G150" s="703">
        <f t="shared" si="77"/>
        <v>0</v>
      </c>
      <c r="H150" s="703">
        <f t="shared" si="77"/>
        <v>0</v>
      </c>
      <c r="I150" s="703">
        <f t="shared" si="77"/>
        <v>0</v>
      </c>
      <c r="J150" s="703">
        <f t="shared" si="77"/>
        <v>0</v>
      </c>
      <c r="K150" s="703">
        <f t="shared" si="77"/>
        <v>0</v>
      </c>
      <c r="L150" s="703">
        <f t="shared" si="77"/>
        <v>0</v>
      </c>
      <c r="M150" s="703">
        <f t="shared" si="77"/>
        <v>0</v>
      </c>
      <c r="N150" s="703">
        <f t="shared" si="77"/>
        <v>0</v>
      </c>
      <c r="O150" s="703">
        <f t="shared" si="77"/>
        <v>0</v>
      </c>
      <c r="P150" s="703">
        <f t="shared" si="77"/>
        <v>0</v>
      </c>
      <c r="Q150" s="703">
        <f t="shared" si="77"/>
        <v>0</v>
      </c>
      <c r="R150" s="703">
        <f t="shared" si="77"/>
        <v>0</v>
      </c>
      <c r="S150" s="703" t="e">
        <f t="shared" si="77"/>
        <v>#REF!</v>
      </c>
      <c r="T150" s="703" t="e">
        <f t="shared" si="77"/>
        <v>#REF!</v>
      </c>
    </row>
    <row r="151" spans="1:21" s="627" customFormat="1" ht="12">
      <c r="A151" s="704">
        <v>12</v>
      </c>
      <c r="B151" s="692" t="s">
        <v>568</v>
      </c>
      <c r="C151" s="705">
        <f>IF(C147&gt;C146,C147,C146)-C150</f>
        <v>0</v>
      </c>
      <c r="D151" s="705">
        <f t="shared" ref="D151:T151" si="78">IF(D147&gt;D146,D147,D146)-D150</f>
        <v>0</v>
      </c>
      <c r="E151" s="705">
        <f t="shared" si="78"/>
        <v>15.295938541182704</v>
      </c>
      <c r="F151" s="705">
        <f t="shared" si="78"/>
        <v>26.413693532423277</v>
      </c>
      <c r="G151" s="705">
        <f t="shared" si="78"/>
        <v>28.609753241906436</v>
      </c>
      <c r="H151" s="705">
        <f t="shared" si="78"/>
        <v>30.457133847328656</v>
      </c>
      <c r="I151" s="705">
        <f>IF(I147&gt;I146,I147,I146)-I150</f>
        <v>32.107005729532929</v>
      </c>
      <c r="J151" s="705">
        <f t="shared" si="78"/>
        <v>33.535478642201937</v>
      </c>
      <c r="K151" s="705">
        <f t="shared" si="78"/>
        <v>34.679119690128644</v>
      </c>
      <c r="L151" s="705">
        <f t="shared" si="78"/>
        <v>36.05033704852324</v>
      </c>
      <c r="M151" s="705">
        <f t="shared" si="78"/>
        <v>35.60769125879083</v>
      </c>
      <c r="N151" s="705">
        <f t="shared" si="78"/>
        <v>35.036525097726177</v>
      </c>
      <c r="O151" s="705">
        <f t="shared" si="78"/>
        <v>34.458664032794616</v>
      </c>
      <c r="P151" s="705">
        <f t="shared" si="78"/>
        <v>33.820409919675178</v>
      </c>
      <c r="Q151" s="705">
        <f t="shared" si="78"/>
        <v>33.123469259028113</v>
      </c>
      <c r="R151" s="705">
        <f t="shared" si="78"/>
        <v>35.435135758253139</v>
      </c>
      <c r="S151" s="705" t="e">
        <f t="shared" si="78"/>
        <v>#REF!</v>
      </c>
      <c r="T151" s="705" t="e">
        <f t="shared" si="78"/>
        <v>#REF!</v>
      </c>
    </row>
    <row r="152" spans="1:21" s="627" customFormat="1" ht="12">
      <c r="A152" s="706"/>
      <c r="B152" s="706"/>
      <c r="C152" s="697"/>
      <c r="D152" s="697"/>
      <c r="E152" s="697"/>
      <c r="F152" s="697"/>
      <c r="G152" s="697"/>
      <c r="H152" s="697"/>
      <c r="I152" s="697"/>
      <c r="J152" s="697"/>
      <c r="K152" s="697"/>
      <c r="L152" s="697"/>
      <c r="M152" s="697"/>
      <c r="N152" s="697"/>
      <c r="O152" s="697"/>
      <c r="P152" s="697"/>
      <c r="Q152" s="697"/>
      <c r="R152" s="697"/>
      <c r="S152" s="697"/>
      <c r="T152" s="697"/>
    </row>
    <row r="153" spans="1:21" s="627" customFormat="1" ht="12">
      <c r="A153" s="707"/>
      <c r="B153" s="708" t="s">
        <v>569</v>
      </c>
      <c r="C153" s="709">
        <f>IF((C146-C147)&lt;0,0,(C146-C147))</f>
        <v>0</v>
      </c>
      <c r="D153" s="709">
        <f t="shared" ref="D153:T153" si="79">IF((D146-D147)&lt;0,0,(D146-D147))</f>
        <v>0</v>
      </c>
      <c r="E153" s="709">
        <f t="shared" si="79"/>
        <v>15.295938541182704</v>
      </c>
      <c r="F153" s="709">
        <f t="shared" si="79"/>
        <v>17.3767457812346</v>
      </c>
      <c r="G153" s="709">
        <f t="shared" si="79"/>
        <v>15.279558710020163</v>
      </c>
      <c r="H153" s="709">
        <f t="shared" si="79"/>
        <v>15.647272701021452</v>
      </c>
      <c r="I153" s="709">
        <f t="shared" si="79"/>
        <v>17.099558479520539</v>
      </c>
      <c r="J153" s="709">
        <f>IF((J146-J147)&lt;0,0,(J146-J147))</f>
        <v>18.239251843242592</v>
      </c>
      <c r="K153" s="709">
        <f t="shared" si="79"/>
        <v>19.147732257594647</v>
      </c>
      <c r="L153" s="709">
        <f t="shared" si="79"/>
        <v>20.279864111943027</v>
      </c>
      <c r="M153" s="709">
        <f t="shared" si="79"/>
        <v>19.621494933834583</v>
      </c>
      <c r="N153" s="709">
        <f t="shared" si="79"/>
        <v>18.902730533386123</v>
      </c>
      <c r="O153" s="709">
        <f t="shared" si="79"/>
        <v>18.000287290283232</v>
      </c>
      <c r="P153" s="709">
        <f t="shared" si="79"/>
        <v>17.890622401122101</v>
      </c>
      <c r="Q153" s="709">
        <f t="shared" si="79"/>
        <v>17.740795623633666</v>
      </c>
      <c r="R153" s="709">
        <f t="shared" si="79"/>
        <v>20.564012818165047</v>
      </c>
      <c r="S153" s="709" t="e">
        <f t="shared" si="79"/>
        <v>#REF!</v>
      </c>
      <c r="T153" s="709" t="e">
        <f t="shared" si="79"/>
        <v>#REF!</v>
      </c>
    </row>
    <row r="154" spans="1:21" s="627" customFormat="1" ht="12">
      <c r="A154" s="707"/>
      <c r="B154" s="708" t="s">
        <v>570</v>
      </c>
      <c r="C154" s="709">
        <f>C153</f>
        <v>0</v>
      </c>
      <c r="D154" s="709">
        <f>C154+D153</f>
        <v>0</v>
      </c>
      <c r="E154" s="709">
        <f t="shared" ref="E154:T154" si="80">D154+E153</f>
        <v>15.295938541182704</v>
      </c>
      <c r="F154" s="709">
        <f t="shared" si="80"/>
        <v>32.672684322417304</v>
      </c>
      <c r="G154" s="709">
        <f t="shared" si="80"/>
        <v>47.952243032437465</v>
      </c>
      <c r="H154" s="709">
        <f t="shared" si="80"/>
        <v>63.599515733458915</v>
      </c>
      <c r="I154" s="709">
        <f t="shared" si="80"/>
        <v>80.699074212979454</v>
      </c>
      <c r="J154" s="709">
        <f t="shared" si="80"/>
        <v>98.938326056222053</v>
      </c>
      <c r="K154" s="709">
        <f t="shared" si="80"/>
        <v>118.08605831381669</v>
      </c>
      <c r="L154" s="709">
        <f t="shared" si="80"/>
        <v>138.36592242575972</v>
      </c>
      <c r="M154" s="709">
        <f t="shared" si="80"/>
        <v>157.9874173595943</v>
      </c>
      <c r="N154" s="709">
        <f t="shared" si="80"/>
        <v>176.89014789298042</v>
      </c>
      <c r="O154" s="709">
        <f t="shared" si="80"/>
        <v>194.89043518326366</v>
      </c>
      <c r="P154" s="709">
        <f t="shared" si="80"/>
        <v>212.78105758438576</v>
      </c>
      <c r="Q154" s="709">
        <f t="shared" si="80"/>
        <v>230.52185320801942</v>
      </c>
      <c r="R154" s="709">
        <f t="shared" si="80"/>
        <v>251.08586602618448</v>
      </c>
      <c r="S154" s="709" t="e">
        <f t="shared" si="80"/>
        <v>#REF!</v>
      </c>
      <c r="T154" s="709" t="e">
        <f t="shared" si="80"/>
        <v>#REF!</v>
      </c>
    </row>
    <row r="155" spans="1:21" s="627" customFormat="1" ht="12">
      <c r="A155" s="707"/>
      <c r="B155" s="708" t="s">
        <v>571</v>
      </c>
      <c r="C155" s="709">
        <f>IF(C147&gt;C146,C147,0)</f>
        <v>0</v>
      </c>
      <c r="D155" s="709">
        <f t="shared" ref="D155:T155" si="81">IF(D147&gt;D146,D147,0)</f>
        <v>0</v>
      </c>
      <c r="E155" s="709">
        <f t="shared" si="81"/>
        <v>0</v>
      </c>
      <c r="F155" s="709">
        <f t="shared" si="81"/>
        <v>0</v>
      </c>
      <c r="G155" s="709">
        <f t="shared" si="81"/>
        <v>0</v>
      </c>
      <c r="H155" s="709">
        <f t="shared" si="81"/>
        <v>0</v>
      </c>
      <c r="I155" s="709">
        <f t="shared" si="81"/>
        <v>0</v>
      </c>
      <c r="J155" s="709">
        <f t="shared" si="81"/>
        <v>0</v>
      </c>
      <c r="K155" s="709">
        <f t="shared" si="81"/>
        <v>0</v>
      </c>
      <c r="L155" s="709">
        <f t="shared" si="81"/>
        <v>0</v>
      </c>
      <c r="M155" s="709">
        <f t="shared" si="81"/>
        <v>0</v>
      </c>
      <c r="N155" s="709">
        <f t="shared" si="81"/>
        <v>0</v>
      </c>
      <c r="O155" s="709">
        <f t="shared" si="81"/>
        <v>0</v>
      </c>
      <c r="P155" s="709">
        <f t="shared" si="81"/>
        <v>0</v>
      </c>
      <c r="Q155" s="709">
        <f t="shared" si="81"/>
        <v>0</v>
      </c>
      <c r="R155" s="709">
        <f t="shared" si="81"/>
        <v>0</v>
      </c>
      <c r="S155" s="709" t="e">
        <f t="shared" si="81"/>
        <v>#REF!</v>
      </c>
      <c r="T155" s="709" t="e">
        <f t="shared" si="81"/>
        <v>#REF!</v>
      </c>
      <c r="U155" s="710">
        <f>SUM(C155:R155)</f>
        <v>0</v>
      </c>
    </row>
    <row r="156" spans="1:21" s="627" customFormat="1" ht="12">
      <c r="A156" s="711"/>
      <c r="B156" s="708" t="s">
        <v>572</v>
      </c>
      <c r="C156" s="615">
        <f>IF(C154&lt;$U$155,C153,C153-(C154-$U$155))</f>
        <v>0</v>
      </c>
      <c r="D156" s="615">
        <f t="shared" ref="D156:R156" si="82">IF(D154&lt;$U$155,D153,D153-(D154-$U$155))</f>
        <v>0</v>
      </c>
      <c r="E156" s="615">
        <f t="shared" si="82"/>
        <v>0</v>
      </c>
      <c r="F156" s="615">
        <f t="shared" si="82"/>
        <v>-15.295938541182704</v>
      </c>
      <c r="G156" s="615">
        <f t="shared" si="82"/>
        <v>-32.672684322417304</v>
      </c>
      <c r="H156" s="615">
        <f t="shared" si="82"/>
        <v>-47.952243032437465</v>
      </c>
      <c r="I156" s="615">
        <f t="shared" si="82"/>
        <v>-63.599515733458915</v>
      </c>
      <c r="J156" s="615">
        <f t="shared" si="82"/>
        <v>-80.699074212979468</v>
      </c>
      <c r="K156" s="615">
        <f t="shared" si="82"/>
        <v>-98.938326056222053</v>
      </c>
      <c r="L156" s="615">
        <f t="shared" si="82"/>
        <v>-118.08605831381669</v>
      </c>
      <c r="M156" s="615">
        <f t="shared" si="82"/>
        <v>-138.36592242575972</v>
      </c>
      <c r="N156" s="615">
        <f t="shared" si="82"/>
        <v>-157.9874173595943</v>
      </c>
      <c r="O156" s="615">
        <f t="shared" si="82"/>
        <v>-176.89014789298042</v>
      </c>
      <c r="P156" s="615">
        <f t="shared" si="82"/>
        <v>-194.89043518326366</v>
      </c>
      <c r="Q156" s="615">
        <f t="shared" si="82"/>
        <v>-212.78105758438576</v>
      </c>
      <c r="R156" s="615">
        <f t="shared" si="82"/>
        <v>-230.52185320801942</v>
      </c>
      <c r="S156" s="615" t="e">
        <f>IF(S154&lt;#REF!,S153,S153-(S154-#REF!))</f>
        <v>#REF!</v>
      </c>
      <c r="T156" s="615" t="e">
        <f>IF(T154&lt;#REF!,T153,T153-(T154-#REF!))</f>
        <v>#REF!</v>
      </c>
    </row>
    <row r="157" spans="1:21" s="627" customFormat="1" ht="12"/>
    <row r="158" spans="1:21" s="627" customFormat="1" ht="12"/>
    <row r="159" spans="1:21" s="627" customFormat="1" ht="12"/>
    <row r="160" spans="1:21" s="627" customFormat="1" ht="12">
      <c r="A160" s="866" t="s">
        <v>573</v>
      </c>
      <c r="B160" s="866"/>
      <c r="C160" s="866"/>
      <c r="D160" s="866"/>
      <c r="E160" s="866"/>
      <c r="F160" s="866"/>
      <c r="G160" s="866"/>
      <c r="H160" s="866"/>
      <c r="I160" s="866"/>
      <c r="J160" s="866"/>
      <c r="K160" s="866"/>
      <c r="L160" s="866"/>
      <c r="M160" s="866"/>
      <c r="N160" s="866"/>
      <c r="O160" s="866"/>
      <c r="P160" s="866"/>
      <c r="Q160" s="866"/>
      <c r="R160" s="866"/>
      <c r="S160" s="866"/>
    </row>
    <row r="161" spans="1:20" s="627" customFormat="1" ht="2.25" customHeight="1">
      <c r="A161" s="712"/>
      <c r="B161" s="713"/>
      <c r="C161" s="714"/>
      <c r="D161" s="712"/>
      <c r="E161" s="715"/>
      <c r="F161" s="715"/>
      <c r="G161" s="715"/>
      <c r="H161" s="715"/>
      <c r="I161" s="715"/>
      <c r="J161" s="715"/>
      <c r="K161" s="714"/>
      <c r="L161" s="714"/>
      <c r="M161" s="714"/>
      <c r="N161" s="714"/>
      <c r="O161" s="714"/>
      <c r="P161" s="714"/>
      <c r="Q161" s="714"/>
      <c r="R161" s="714"/>
      <c r="S161" s="714"/>
    </row>
    <row r="162" spans="1:20" s="627" customFormat="1" ht="12">
      <c r="A162" s="716" t="s">
        <v>469</v>
      </c>
      <c r="B162" s="717" t="s">
        <v>574</v>
      </c>
      <c r="C162" s="717" t="s">
        <v>575</v>
      </c>
      <c r="D162" s="716" t="s">
        <v>576</v>
      </c>
      <c r="E162" s="718" t="s">
        <v>522</v>
      </c>
      <c r="F162" s="718" t="s">
        <v>471</v>
      </c>
      <c r="G162" s="718" t="s">
        <v>472</v>
      </c>
      <c r="H162" s="718" t="s">
        <v>473</v>
      </c>
      <c r="I162" s="718" t="s">
        <v>474</v>
      </c>
      <c r="J162" s="718" t="s">
        <v>475</v>
      </c>
      <c r="K162" s="718" t="s">
        <v>476</v>
      </c>
      <c r="L162" s="718" t="s">
        <v>477</v>
      </c>
      <c r="M162" s="718" t="s">
        <v>478</v>
      </c>
      <c r="N162" s="718" t="s">
        <v>479</v>
      </c>
      <c r="O162" s="718" t="s">
        <v>480</v>
      </c>
      <c r="P162" s="718" t="s">
        <v>481</v>
      </c>
      <c r="Q162" s="718" t="s">
        <v>482</v>
      </c>
      <c r="R162" s="718" t="s">
        <v>483</v>
      </c>
      <c r="S162" s="718" t="s">
        <v>484</v>
      </c>
      <c r="T162" s="718" t="s">
        <v>554</v>
      </c>
    </row>
    <row r="163" spans="1:20" s="627" customFormat="1" ht="12">
      <c r="A163" s="716" t="s">
        <v>485</v>
      </c>
      <c r="B163" s="717"/>
      <c r="C163" s="719"/>
      <c r="D163" s="716" t="s">
        <v>577</v>
      </c>
      <c r="E163" s="718" t="s">
        <v>312</v>
      </c>
      <c r="F163" s="718"/>
      <c r="G163" s="718"/>
      <c r="H163" s="718"/>
      <c r="I163" s="718"/>
      <c r="J163" s="719"/>
      <c r="K163" s="719"/>
      <c r="L163" s="719"/>
      <c r="M163" s="719"/>
      <c r="N163" s="719"/>
      <c r="O163" s="719"/>
      <c r="P163" s="719"/>
      <c r="Q163" s="719"/>
      <c r="R163" s="719"/>
      <c r="S163" s="719"/>
      <c r="T163" s="719"/>
    </row>
    <row r="164" spans="1:20" s="627" customFormat="1" ht="12">
      <c r="A164" s="720"/>
      <c r="B164" s="721"/>
      <c r="C164" s="722"/>
      <c r="D164" s="720"/>
      <c r="E164" s="723"/>
      <c r="F164" s="723"/>
      <c r="G164" s="723"/>
      <c r="H164" s="723"/>
      <c r="I164" s="723"/>
      <c r="J164" s="722"/>
      <c r="K164" s="722"/>
      <c r="L164" s="722"/>
      <c r="M164" s="722"/>
      <c r="N164" s="722"/>
      <c r="O164" s="722"/>
      <c r="P164" s="722"/>
      <c r="Q164" s="722"/>
      <c r="R164" s="722"/>
      <c r="S164" s="722"/>
      <c r="T164" s="722"/>
    </row>
    <row r="165" spans="1:20" s="627" customFormat="1" ht="12">
      <c r="A165" s="716">
        <v>1</v>
      </c>
      <c r="B165" s="724" t="s">
        <v>578</v>
      </c>
      <c r="C165" s="725"/>
      <c r="D165" s="726">
        <f>Depreciation!F9</f>
        <v>10.471925938379147</v>
      </c>
      <c r="E165" s="727">
        <f>+D165*0.1</f>
        <v>1.0471925938379147</v>
      </c>
      <c r="F165" s="727">
        <f>+E165*0.9</f>
        <v>0.94247333445412329</v>
      </c>
      <c r="G165" s="727">
        <f t="shared" ref="G165:T165" si="83">+F165*0.9</f>
        <v>0.84822600100871093</v>
      </c>
      <c r="H165" s="727">
        <f t="shared" si="83"/>
        <v>0.76340340090783987</v>
      </c>
      <c r="I165" s="727">
        <f t="shared" si="83"/>
        <v>0.68706306081705593</v>
      </c>
      <c r="J165" s="727">
        <f t="shared" si="83"/>
        <v>0.61835675473535034</v>
      </c>
      <c r="K165" s="727">
        <f t="shared" si="83"/>
        <v>0.55652107926181538</v>
      </c>
      <c r="L165" s="727">
        <f t="shared" si="83"/>
        <v>0.50086897133563391</v>
      </c>
      <c r="M165" s="727">
        <f t="shared" si="83"/>
        <v>0.4507820742020705</v>
      </c>
      <c r="N165" s="727">
        <f t="shared" si="83"/>
        <v>0.40570386678186349</v>
      </c>
      <c r="O165" s="727">
        <f t="shared" si="83"/>
        <v>0.36513348010367713</v>
      </c>
      <c r="P165" s="727">
        <f t="shared" si="83"/>
        <v>0.32862013209330942</v>
      </c>
      <c r="Q165" s="727">
        <f t="shared" si="83"/>
        <v>0.29575811888397852</v>
      </c>
      <c r="R165" s="727">
        <f t="shared" si="83"/>
        <v>0.26618230699558065</v>
      </c>
      <c r="S165" s="727">
        <f t="shared" si="83"/>
        <v>0.23956407629602258</v>
      </c>
      <c r="T165" s="727">
        <f t="shared" si="83"/>
        <v>0.21560766866642034</v>
      </c>
    </row>
    <row r="166" spans="1:20" s="627" customFormat="1" ht="12">
      <c r="A166" s="716">
        <v>2</v>
      </c>
      <c r="B166" s="724" t="s">
        <v>579</v>
      </c>
      <c r="C166" s="728"/>
      <c r="D166" s="726">
        <f>Depreciation!F10</f>
        <v>431.11066997226391</v>
      </c>
      <c r="E166" s="727">
        <f>+D166*0.35</f>
        <v>150.88873449029236</v>
      </c>
      <c r="F166" s="727">
        <f>(D166-E166)*0.15</f>
        <v>42.033290322295727</v>
      </c>
      <c r="G166" s="727">
        <f>+F166*0.85</f>
        <v>35.728296773951364</v>
      </c>
      <c r="H166" s="727">
        <f t="shared" ref="H166:T166" si="84">+G166*0.85</f>
        <v>30.369052257858659</v>
      </c>
      <c r="I166" s="727">
        <f t="shared" si="84"/>
        <v>25.813694419179861</v>
      </c>
      <c r="J166" s="727">
        <f t="shared" si="84"/>
        <v>21.941640256302883</v>
      </c>
      <c r="K166" s="727">
        <f t="shared" si="84"/>
        <v>18.65039421785745</v>
      </c>
      <c r="L166" s="727">
        <f t="shared" si="84"/>
        <v>15.852835085178832</v>
      </c>
      <c r="M166" s="727">
        <f t="shared" si="84"/>
        <v>13.474909822402006</v>
      </c>
      <c r="N166" s="727">
        <f t="shared" si="84"/>
        <v>11.453673349041704</v>
      </c>
      <c r="O166" s="727">
        <f t="shared" si="84"/>
        <v>9.7356223466854477</v>
      </c>
      <c r="P166" s="727">
        <f t="shared" si="84"/>
        <v>8.2752789946826297</v>
      </c>
      <c r="Q166" s="727">
        <f t="shared" si="84"/>
        <v>7.0339871454802347</v>
      </c>
      <c r="R166" s="727">
        <f t="shared" si="84"/>
        <v>5.9788890736581992</v>
      </c>
      <c r="S166" s="727">
        <f t="shared" si="84"/>
        <v>5.0820557126094696</v>
      </c>
      <c r="T166" s="727">
        <f t="shared" si="84"/>
        <v>4.3197473557180492</v>
      </c>
    </row>
    <row r="167" spans="1:20" s="627" customFormat="1" ht="12">
      <c r="A167" s="716"/>
      <c r="B167" s="724"/>
      <c r="C167" s="728"/>
      <c r="D167" s="729"/>
      <c r="E167" s="718"/>
      <c r="F167" s="718"/>
      <c r="G167" s="718"/>
      <c r="H167" s="718"/>
      <c r="I167" s="718"/>
      <c r="J167" s="719"/>
      <c r="K167" s="719"/>
      <c r="L167" s="719"/>
      <c r="M167" s="719"/>
      <c r="N167" s="719"/>
      <c r="O167" s="719"/>
      <c r="P167" s="719"/>
      <c r="Q167" s="719"/>
      <c r="R167" s="719"/>
      <c r="S167" s="719"/>
      <c r="T167" s="719"/>
    </row>
    <row r="168" spans="1:20" s="627" customFormat="1" ht="12">
      <c r="A168" s="716"/>
      <c r="B168" s="719"/>
      <c r="C168" s="725"/>
      <c r="D168" s="729"/>
      <c r="E168" s="718"/>
      <c r="F168" s="718"/>
      <c r="G168" s="718"/>
      <c r="H168" s="718"/>
      <c r="I168" s="718"/>
      <c r="J168" s="719"/>
      <c r="K168" s="719"/>
      <c r="L168" s="719"/>
      <c r="M168" s="719"/>
      <c r="N168" s="719"/>
      <c r="O168" s="719"/>
      <c r="P168" s="719"/>
      <c r="Q168" s="719"/>
      <c r="R168" s="719"/>
      <c r="S168" s="719"/>
      <c r="T168" s="719"/>
    </row>
    <row r="169" spans="1:20" s="627" customFormat="1" ht="12">
      <c r="A169" s="716"/>
      <c r="B169" s="730" t="s">
        <v>580</v>
      </c>
      <c r="C169" s="725"/>
      <c r="D169" s="716"/>
      <c r="E169" s="731">
        <f>SUM(E165:E168)</f>
        <v>151.93592708413027</v>
      </c>
      <c r="F169" s="731">
        <f t="shared" ref="F169:T169" si="85">SUM(F165:F168)</f>
        <v>42.975763656749848</v>
      </c>
      <c r="G169" s="731">
        <f t="shared" si="85"/>
        <v>36.576522774960075</v>
      </c>
      <c r="H169" s="731">
        <f t="shared" si="85"/>
        <v>31.132455658766499</v>
      </c>
      <c r="I169" s="731">
        <f t="shared" si="85"/>
        <v>26.500757479996917</v>
      </c>
      <c r="J169" s="731">
        <f t="shared" si="85"/>
        <v>22.559997011038234</v>
      </c>
      <c r="K169" s="731">
        <f t="shared" si="85"/>
        <v>19.206915297119266</v>
      </c>
      <c r="L169" s="731">
        <f t="shared" si="85"/>
        <v>16.353704056514466</v>
      </c>
      <c r="M169" s="731">
        <f t="shared" si="85"/>
        <v>13.925691896604077</v>
      </c>
      <c r="N169" s="731">
        <f t="shared" si="85"/>
        <v>11.859377215823567</v>
      </c>
      <c r="O169" s="731">
        <f t="shared" si="85"/>
        <v>10.100755826789126</v>
      </c>
      <c r="P169" s="731">
        <f t="shared" si="85"/>
        <v>8.6038991267759393</v>
      </c>
      <c r="Q169" s="731">
        <f t="shared" si="85"/>
        <v>7.3297452643642131</v>
      </c>
      <c r="R169" s="731">
        <f t="shared" si="85"/>
        <v>6.2450713806537799</v>
      </c>
      <c r="S169" s="731">
        <f t="shared" si="85"/>
        <v>5.3216197889054921</v>
      </c>
      <c r="T169" s="731">
        <f t="shared" si="85"/>
        <v>4.5353550243844696</v>
      </c>
    </row>
    <row r="170" spans="1:20" s="618" customFormat="1" ht="12">
      <c r="A170" s="616"/>
      <c r="B170" s="617"/>
      <c r="C170" s="617"/>
      <c r="D170" s="617"/>
      <c r="E170" s="617"/>
      <c r="F170" s="617"/>
      <c r="G170" s="617"/>
      <c r="H170" s="617"/>
      <c r="I170" s="617"/>
      <c r="J170" s="617"/>
      <c r="K170" s="617"/>
      <c r="L170" s="617"/>
      <c r="M170" s="617"/>
      <c r="N170" s="617"/>
      <c r="O170" s="617"/>
      <c r="P170" s="617"/>
      <c r="Q170" s="617"/>
      <c r="R170" s="617"/>
      <c r="S170" s="617"/>
      <c r="T170" s="617"/>
    </row>
    <row r="171" spans="1:20" s="618" customFormat="1" ht="12">
      <c r="A171" s="617"/>
      <c r="B171" s="617"/>
      <c r="C171" s="617"/>
      <c r="D171" s="617"/>
      <c r="E171" s="617"/>
      <c r="F171" s="617"/>
      <c r="G171" s="617"/>
      <c r="H171" s="617"/>
      <c r="I171" s="617"/>
      <c r="J171" s="617"/>
      <c r="K171" s="617"/>
      <c r="L171" s="617"/>
      <c r="M171" s="617"/>
      <c r="N171" s="617"/>
      <c r="O171" s="617"/>
      <c r="P171" s="617"/>
      <c r="Q171" s="617"/>
      <c r="R171" s="617"/>
      <c r="S171" s="617"/>
      <c r="T171" s="617"/>
    </row>
    <row r="172" spans="1:20" s="618" customFormat="1" ht="12">
      <c r="A172" s="617"/>
      <c r="B172" s="617"/>
      <c r="C172" s="617"/>
      <c r="D172" s="617"/>
      <c r="E172" s="617"/>
      <c r="F172" s="732"/>
      <c r="G172" s="733"/>
      <c r="H172" s="852"/>
      <c r="I172" s="852"/>
      <c r="J172" s="852"/>
      <c r="K172" s="852"/>
      <c r="L172" s="852"/>
      <c r="M172" s="732"/>
      <c r="N172" s="732"/>
      <c r="O172" s="732"/>
      <c r="P172" s="732"/>
      <c r="Q172" s="732"/>
      <c r="R172" s="732"/>
      <c r="S172" s="732"/>
      <c r="T172" s="732"/>
    </row>
    <row r="173" spans="1:20" s="618" customFormat="1" ht="12">
      <c r="A173" s="617"/>
      <c r="B173" s="734" t="s">
        <v>169</v>
      </c>
      <c r="C173" s="735">
        <v>0</v>
      </c>
      <c r="D173" s="736" t="s">
        <v>345</v>
      </c>
      <c r="E173" s="617"/>
      <c r="F173" s="732"/>
      <c r="G173" s="732"/>
      <c r="H173" s="732"/>
      <c r="I173" s="732"/>
      <c r="J173" s="732"/>
      <c r="K173" s="732"/>
      <c r="L173" s="732"/>
      <c r="M173" s="732"/>
      <c r="N173" s="732"/>
      <c r="O173" s="732"/>
      <c r="P173" s="732"/>
      <c r="Q173" s="732"/>
      <c r="R173" s="732"/>
      <c r="S173" s="732"/>
      <c r="T173" s="732"/>
    </row>
    <row r="174" spans="1:20" s="618" customFormat="1" ht="12">
      <c r="A174" s="617"/>
      <c r="B174" s="734" t="s">
        <v>152</v>
      </c>
      <c r="C174" s="737">
        <v>2</v>
      </c>
      <c r="D174" s="736" t="s">
        <v>346</v>
      </c>
      <c r="E174" s="617"/>
      <c r="F174" s="732"/>
      <c r="G174" s="732"/>
      <c r="H174" s="732"/>
      <c r="I174" s="732"/>
      <c r="J174" s="738"/>
      <c r="K174" s="738"/>
      <c r="L174" s="738"/>
      <c r="M174" s="738"/>
      <c r="N174" s="738"/>
      <c r="O174" s="738"/>
      <c r="P174" s="732"/>
      <c r="Q174" s="732"/>
      <c r="R174" s="732"/>
      <c r="S174" s="732"/>
      <c r="T174" s="732"/>
    </row>
    <row r="175" spans="1:20" s="618" customFormat="1" ht="12">
      <c r="A175" s="617"/>
      <c r="B175" s="617"/>
      <c r="C175" s="617"/>
      <c r="D175" s="617"/>
      <c r="E175" s="617"/>
      <c r="F175" s="732"/>
      <c r="G175" s="732"/>
      <c r="H175" s="732"/>
      <c r="I175" s="732"/>
      <c r="J175" s="732"/>
      <c r="K175" s="732"/>
      <c r="L175" s="732"/>
      <c r="M175" s="732"/>
      <c r="N175" s="732"/>
      <c r="O175" s="732"/>
      <c r="P175" s="732"/>
      <c r="Q175" s="732"/>
      <c r="R175" s="732"/>
      <c r="S175" s="732"/>
      <c r="T175" s="732"/>
    </row>
    <row r="176" spans="1:20" s="618" customFormat="1" ht="12" hidden="1">
      <c r="A176" s="616"/>
      <c r="B176" s="739" t="s">
        <v>270</v>
      </c>
      <c r="C176" s="739"/>
      <c r="D176" s="739"/>
      <c r="E176" s="739"/>
      <c r="F176" s="740">
        <f t="shared" ref="F176:T176" si="86">F10/(350000*F3)*10^7</f>
        <v>11409.673142857144</v>
      </c>
      <c r="G176" s="740">
        <f t="shared" si="86"/>
        <v>11409.673142857144</v>
      </c>
      <c r="H176" s="740">
        <f t="shared" si="86"/>
        <v>11409.673142857144</v>
      </c>
      <c r="I176" s="740">
        <f t="shared" si="86"/>
        <v>11409.673142857144</v>
      </c>
      <c r="J176" s="740">
        <f t="shared" si="86"/>
        <v>11409.673142857144</v>
      </c>
      <c r="K176" s="740">
        <f t="shared" si="86"/>
        <v>11409.673142857144</v>
      </c>
      <c r="L176" s="740">
        <f t="shared" si="86"/>
        <v>11409.673142857144</v>
      </c>
      <c r="M176" s="740">
        <f t="shared" si="86"/>
        <v>11409.673142857144</v>
      </c>
      <c r="N176" s="740">
        <f t="shared" si="86"/>
        <v>11409.673142857144</v>
      </c>
      <c r="O176" s="740">
        <f t="shared" si="86"/>
        <v>11409.673142857144</v>
      </c>
      <c r="P176" s="740">
        <f t="shared" si="86"/>
        <v>11409.673142857144</v>
      </c>
      <c r="Q176" s="740">
        <f t="shared" si="86"/>
        <v>11409.673142857144</v>
      </c>
      <c r="R176" s="740">
        <f t="shared" si="86"/>
        <v>11409.673142857144</v>
      </c>
      <c r="S176" s="740">
        <f t="shared" si="86"/>
        <v>11409.673142857144</v>
      </c>
      <c r="T176" s="740">
        <f t="shared" si="86"/>
        <v>11409.673142857144</v>
      </c>
    </row>
    <row r="177" spans="1:20" s="618" customFormat="1" ht="12" hidden="1">
      <c r="A177" s="616"/>
      <c r="B177" s="617" t="s">
        <v>271</v>
      </c>
      <c r="C177" s="617"/>
      <c r="D177" s="617"/>
      <c r="E177" s="617"/>
      <c r="F177" s="741">
        <f>F21/((350000*F3))*10^7</f>
        <v>7041.37725308478</v>
      </c>
      <c r="G177" s="741">
        <f>G21/((350000*G3))*10^7</f>
        <v>7141.7523145046334</v>
      </c>
      <c r="H177" s="741">
        <f>H21/((350000*H3))*10^7</f>
        <v>7251.9728492775848</v>
      </c>
      <c r="I177" s="741">
        <f t="shared" ref="I177:T177" si="87">I21/((350000))*10^7</f>
        <v>6990.3423880293749</v>
      </c>
      <c r="J177" s="741">
        <f t="shared" si="87"/>
        <v>7076.3979833538579</v>
      </c>
      <c r="K177" s="741">
        <f t="shared" si="87"/>
        <v>7171.2217163307996</v>
      </c>
      <c r="L177" s="741">
        <f t="shared" si="87"/>
        <v>7265.4036272133599</v>
      </c>
      <c r="M177" s="741">
        <f t="shared" si="87"/>
        <v>7363.4058735992849</v>
      </c>
      <c r="N177" s="741">
        <f t="shared" si="87"/>
        <v>7472.5484177665139</v>
      </c>
      <c r="O177" s="741">
        <f t="shared" si="87"/>
        <v>7552.7493183591205</v>
      </c>
      <c r="P177" s="741">
        <f t="shared" si="87"/>
        <v>7639.1879015548138</v>
      </c>
      <c r="Q177" s="741">
        <f t="shared" si="87"/>
        <v>7728.6557657552694</v>
      </c>
      <c r="R177" s="741">
        <f t="shared" si="87"/>
        <v>7812.3080903409509</v>
      </c>
      <c r="S177" s="741">
        <f t="shared" si="87"/>
        <v>7895.4846467122234</v>
      </c>
      <c r="T177" s="741">
        <f t="shared" si="87"/>
        <v>7978.8532679239242</v>
      </c>
    </row>
    <row r="178" spans="1:20" s="618" customFormat="1" ht="12" hidden="1">
      <c r="A178" s="616"/>
      <c r="B178" s="742" t="s">
        <v>167</v>
      </c>
      <c r="C178" s="742"/>
      <c r="D178" s="742"/>
      <c r="E178" s="742"/>
      <c r="F178" s="743">
        <f>F176-F177</f>
        <v>4368.2958897723638</v>
      </c>
      <c r="G178" s="743">
        <f t="shared" ref="G178:R178" si="88">G176-G177</f>
        <v>4267.9208283525104</v>
      </c>
      <c r="H178" s="743">
        <f t="shared" si="88"/>
        <v>4157.700293579559</v>
      </c>
      <c r="I178" s="743">
        <f t="shared" si="88"/>
        <v>4419.3307548277689</v>
      </c>
      <c r="J178" s="743">
        <f t="shared" si="88"/>
        <v>4333.275159503286</v>
      </c>
      <c r="K178" s="743">
        <f t="shared" si="88"/>
        <v>4238.4514265263442</v>
      </c>
      <c r="L178" s="743">
        <f t="shared" si="88"/>
        <v>4144.269515643784</v>
      </c>
      <c r="M178" s="743">
        <f t="shared" si="88"/>
        <v>4046.267269257859</v>
      </c>
      <c r="N178" s="743">
        <f t="shared" si="88"/>
        <v>3937.1247250906299</v>
      </c>
      <c r="O178" s="743">
        <f t="shared" si="88"/>
        <v>3856.9238244980234</v>
      </c>
      <c r="P178" s="743">
        <f t="shared" si="88"/>
        <v>3770.48524130233</v>
      </c>
      <c r="Q178" s="743">
        <f t="shared" si="88"/>
        <v>3681.0173771018744</v>
      </c>
      <c r="R178" s="743">
        <f t="shared" si="88"/>
        <v>3597.3650525161929</v>
      </c>
      <c r="S178" s="743">
        <f t="shared" ref="S178:T178" si="89">S176-S177</f>
        <v>3514.1884961449205</v>
      </c>
      <c r="T178" s="743">
        <f t="shared" si="89"/>
        <v>3430.8198749332196</v>
      </c>
    </row>
    <row r="179" spans="1:20" s="618" customFormat="1" ht="12">
      <c r="A179" s="616"/>
      <c r="B179" s="736" t="s">
        <v>347</v>
      </c>
      <c r="C179" s="617"/>
      <c r="D179" s="617"/>
      <c r="E179" s="617"/>
      <c r="F179" s="732"/>
      <c r="G179" s="738"/>
      <c r="H179" s="738"/>
      <c r="I179" s="738"/>
      <c r="J179" s="738"/>
      <c r="K179" s="738"/>
      <c r="L179" s="738"/>
      <c r="M179" s="732"/>
      <c r="N179" s="738"/>
      <c r="O179" s="732"/>
      <c r="P179" s="732"/>
      <c r="Q179" s="732"/>
      <c r="R179" s="732"/>
      <c r="S179" s="732"/>
      <c r="T179" s="732"/>
    </row>
    <row r="180" spans="1:20" s="618" customFormat="1" ht="12">
      <c r="A180" s="744"/>
      <c r="B180" s="745" t="s">
        <v>348</v>
      </c>
      <c r="F180" s="746"/>
      <c r="G180" s="746"/>
      <c r="H180" s="746"/>
      <c r="I180" s="746"/>
      <c r="J180" s="746"/>
      <c r="K180" s="746"/>
      <c r="L180" s="746"/>
      <c r="M180" s="746"/>
      <c r="N180" s="746"/>
      <c r="O180" s="746"/>
      <c r="P180" s="746"/>
      <c r="Q180" s="732"/>
      <c r="R180" s="732"/>
    </row>
    <row r="181" spans="1:20" s="618" customFormat="1" ht="12">
      <c r="A181" s="744"/>
      <c r="B181" s="745" t="s">
        <v>349</v>
      </c>
      <c r="F181" s="747"/>
      <c r="G181" s="747"/>
      <c r="H181" s="747"/>
      <c r="I181" s="747"/>
      <c r="J181" s="747"/>
      <c r="K181" s="747"/>
      <c r="L181" s="746"/>
      <c r="M181" s="746"/>
      <c r="N181" s="746"/>
      <c r="O181" s="746"/>
      <c r="P181" s="746"/>
      <c r="Q181" s="732"/>
      <c r="R181" s="732"/>
    </row>
    <row r="182" spans="1:20" s="618" customFormat="1" ht="12">
      <c r="A182" s="744"/>
      <c r="F182" s="748"/>
      <c r="G182" s="748"/>
      <c r="H182" s="748"/>
      <c r="I182" s="748"/>
      <c r="J182" s="748"/>
      <c r="K182" s="748"/>
      <c r="L182" s="746"/>
      <c r="M182" s="746"/>
      <c r="N182" s="746"/>
      <c r="O182" s="746"/>
      <c r="P182" s="746"/>
      <c r="Q182" s="732"/>
      <c r="R182" s="732"/>
    </row>
    <row r="183" spans="1:20">
      <c r="F183" s="177"/>
      <c r="G183" s="177"/>
      <c r="H183" s="177"/>
      <c r="I183" s="177"/>
      <c r="J183" s="177"/>
      <c r="K183" s="177"/>
    </row>
  </sheetData>
  <mergeCells count="14">
    <mergeCell ref="F4:T4"/>
    <mergeCell ref="A1:D1"/>
    <mergeCell ref="B5:B6"/>
    <mergeCell ref="H172:L172"/>
    <mergeCell ref="A7:E7"/>
    <mergeCell ref="A4:B4"/>
    <mergeCell ref="A2:B2"/>
    <mergeCell ref="A3:B3"/>
    <mergeCell ref="A83:S83"/>
    <mergeCell ref="C84:D84"/>
    <mergeCell ref="A135:Q135"/>
    <mergeCell ref="A136:Q136"/>
    <mergeCell ref="A160:S160"/>
    <mergeCell ref="B67:C67"/>
  </mergeCells>
  <hyperlinks>
    <hyperlink ref="B34" r:id="rId1" display="NPV@12%" xr:uid="{4C50BE4B-43D2-4EB7-A9AC-72D47A5A55A5}"/>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CC487-671F-441C-B12A-B90A4B9DEB8D}">
  <dimension ref="A2:S62"/>
  <sheetViews>
    <sheetView topLeftCell="A4" zoomScale="85" zoomScaleNormal="85" workbookViewId="0">
      <selection activeCell="C17" sqref="C17"/>
    </sheetView>
  </sheetViews>
  <sheetFormatPr defaultRowHeight="15"/>
  <cols>
    <col min="1" max="1" width="9.140625" style="3"/>
    <col min="2" max="2" width="30.140625" style="3" customWidth="1"/>
    <col min="3" max="3" width="14.140625" style="3" customWidth="1"/>
    <col min="4" max="9" width="10" style="3" bestFit="1" customWidth="1"/>
    <col min="10" max="10" width="9.7109375" style="3" bestFit="1" customWidth="1"/>
    <col min="11" max="18" width="10.7109375" style="3" bestFit="1" customWidth="1"/>
    <col min="19" max="16384" width="9.140625" style="3"/>
  </cols>
  <sheetData>
    <row r="2" spans="1:19">
      <c r="A2" s="768"/>
      <c r="B2" s="767" t="s">
        <v>635</v>
      </c>
      <c r="C2" s="768"/>
      <c r="D2" s="768"/>
      <c r="E2" s="768"/>
      <c r="F2" s="768"/>
      <c r="G2" s="768"/>
      <c r="H2" s="768"/>
      <c r="I2" s="768"/>
      <c r="J2" s="768"/>
      <c r="K2" s="768"/>
      <c r="L2" s="768"/>
      <c r="M2" s="768"/>
      <c r="N2" s="768"/>
      <c r="O2" s="768"/>
      <c r="P2" s="768"/>
      <c r="Q2" s="768"/>
      <c r="R2" s="768"/>
    </row>
    <row r="3" spans="1:19">
      <c r="A3" s="777" t="s">
        <v>592</v>
      </c>
      <c r="B3" s="777" t="s">
        <v>470</v>
      </c>
      <c r="C3" s="777" t="s">
        <v>634</v>
      </c>
      <c r="D3" s="777">
        <v>1</v>
      </c>
      <c r="E3" s="777">
        <v>2</v>
      </c>
      <c r="F3" s="777">
        <v>3</v>
      </c>
      <c r="G3" s="777">
        <v>4</v>
      </c>
      <c r="H3" s="777">
        <v>5</v>
      </c>
      <c r="I3" s="777">
        <v>6</v>
      </c>
      <c r="J3" s="777">
        <v>7</v>
      </c>
      <c r="K3" s="777">
        <v>8</v>
      </c>
      <c r="L3" s="777">
        <v>9</v>
      </c>
      <c r="M3" s="777">
        <v>10</v>
      </c>
      <c r="N3" s="777">
        <v>11</v>
      </c>
      <c r="O3" s="777">
        <v>12</v>
      </c>
      <c r="P3" s="777">
        <v>13</v>
      </c>
      <c r="Q3" s="777">
        <v>14</v>
      </c>
      <c r="R3" s="777">
        <v>15</v>
      </c>
    </row>
    <row r="4" spans="1:19">
      <c r="A4" s="773">
        <v>1</v>
      </c>
      <c r="B4" s="772" t="s">
        <v>646</v>
      </c>
      <c r="C4" s="784"/>
      <c r="D4" s="790">
        <f>'Cashflow '!F10</f>
        <v>279.536992</v>
      </c>
      <c r="E4" s="790">
        <f>'Cashflow '!G10</f>
        <v>359.40470400000004</v>
      </c>
      <c r="F4" s="790">
        <f>'Cashflow '!H10</f>
        <v>379.37163200000003</v>
      </c>
      <c r="G4" s="790">
        <f>'Cashflow '!I10</f>
        <v>379.37163200000003</v>
      </c>
      <c r="H4" s="790">
        <f>'Cashflow '!J10</f>
        <v>379.37163200000003</v>
      </c>
      <c r="I4" s="790">
        <f>'Cashflow '!K10</f>
        <v>379.37163200000003</v>
      </c>
      <c r="J4" s="790">
        <f>'Cashflow '!L10</f>
        <v>379.37163200000003</v>
      </c>
      <c r="K4" s="790">
        <f>'Cashflow '!M10</f>
        <v>379.37163200000003</v>
      </c>
      <c r="L4" s="790">
        <f>'Cashflow '!N10</f>
        <v>379.37163200000003</v>
      </c>
      <c r="M4" s="790">
        <f>'Cashflow '!O10</f>
        <v>379.37163200000003</v>
      </c>
      <c r="N4" s="790">
        <f>'Cashflow '!P10</f>
        <v>379.37163200000003</v>
      </c>
      <c r="O4" s="790">
        <f>'Cashflow '!Q10</f>
        <v>379.37163200000003</v>
      </c>
      <c r="P4" s="790">
        <f>'Cashflow '!R10</f>
        <v>379.37163200000003</v>
      </c>
      <c r="Q4" s="790">
        <f>'Cashflow '!S10</f>
        <v>379.37163200000003</v>
      </c>
      <c r="R4" s="790">
        <f>'Cashflow '!T10</f>
        <v>379.37163200000003</v>
      </c>
    </row>
    <row r="5" spans="1:19">
      <c r="A5" s="773">
        <v>2</v>
      </c>
      <c r="B5" s="772" t="s">
        <v>645</v>
      </c>
      <c r="C5" s="784"/>
      <c r="D5" s="790">
        <f>'Cashflow '!F15</f>
        <v>153.41000505177706</v>
      </c>
      <c r="E5" s="790">
        <f>'Cashflow '!G15</f>
        <v>200.02253930100915</v>
      </c>
      <c r="F5" s="790">
        <f>'Cashflow '!H15</f>
        <v>214.38638009548052</v>
      </c>
      <c r="G5" s="790">
        <f>'Cashflow '!I15</f>
        <v>217.53785988288405</v>
      </c>
      <c r="H5" s="790">
        <f>'Cashflow '!J15</f>
        <v>220.17006798746695</v>
      </c>
      <c r="I5" s="790">
        <f>'Cashflow '!K15</f>
        <v>223.12034689849901</v>
      </c>
      <c r="J5" s="790">
        <f>'Cashflow '!L15</f>
        <v>226.04322344286936</v>
      </c>
      <c r="K5" s="790">
        <f>'Cashflow '!M15</f>
        <v>229.09480695934809</v>
      </c>
      <c r="L5" s="790">
        <f>'Cashflow '!N15</f>
        <v>232.53122906373832</v>
      </c>
      <c r="M5" s="790">
        <f>'Cashflow '!O15</f>
        <v>234.94955384600115</v>
      </c>
      <c r="N5" s="790">
        <f>'Cashflow '!P15</f>
        <v>237.58098884907639</v>
      </c>
      <c r="O5" s="790">
        <f>'Cashflow '!Q15</f>
        <v>240.31317022084079</v>
      </c>
      <c r="P5" s="790">
        <f>'Cashflow '!R15</f>
        <v>242.83645850815964</v>
      </c>
      <c r="Q5" s="790">
        <f>'Cashflow '!S15</f>
        <v>245.33767403079366</v>
      </c>
      <c r="R5" s="790">
        <f>'Cashflow '!T15</f>
        <v>247.84011830590777</v>
      </c>
    </row>
    <row r="6" spans="1:19">
      <c r="A6" s="773">
        <v>3</v>
      </c>
      <c r="B6" s="772" t="s">
        <v>644</v>
      </c>
      <c r="C6" s="784"/>
      <c r="D6" s="790">
        <f>'Cashflow '!F16</f>
        <v>19.103737648799996</v>
      </c>
      <c r="E6" s="790">
        <f>'Cashflow '!G16</f>
        <v>24.942658605886795</v>
      </c>
      <c r="F6" s="790">
        <f>'Cashflow '!H16</f>
        <v>26.741717142999175</v>
      </c>
      <c r="G6" s="790">
        <f>'Cashflow '!I16</f>
        <v>27.124123698144061</v>
      </c>
      <c r="H6" s="790">
        <f>'Cashflow '!J16</f>
        <v>27.503861429918079</v>
      </c>
      <c r="I6" s="790">
        <f>'Cashflow '!K16</f>
        <v>27.872413173078982</v>
      </c>
      <c r="J6" s="790">
        <f>'Cashflow '!L16</f>
        <v>28.245903509598239</v>
      </c>
      <c r="K6" s="790">
        <f>'Cashflow '!M16</f>
        <v>28.624398616626859</v>
      </c>
      <c r="L6" s="790">
        <f>'Cashflow '!N16</f>
        <v>29.007965558089655</v>
      </c>
      <c r="M6" s="790">
        <f>'Cashflow '!O16</f>
        <v>29.39667229656806</v>
      </c>
      <c r="N6" s="790">
        <f>'Cashflow '!P16</f>
        <v>29.79058770534207</v>
      </c>
      <c r="O6" s="790">
        <f>'Cashflow '!Q16</f>
        <v>30.189781580593657</v>
      </c>
      <c r="P6" s="790">
        <f>'Cashflow '!R16</f>
        <v>30.594324653773612</v>
      </c>
      <c r="Q6" s="790">
        <f>'Cashflow '!S16</f>
        <v>31.004288604134182</v>
      </c>
      <c r="R6" s="790">
        <f>'Cashflow '!T16</f>
        <v>31.419746071429586</v>
      </c>
    </row>
    <row r="7" spans="1:19">
      <c r="A7" s="773">
        <v>4</v>
      </c>
      <c r="B7" s="772" t="s">
        <v>643</v>
      </c>
      <c r="C7" s="784"/>
      <c r="D7" s="790">
        <f t="shared" ref="D7:R7" si="0">D4-D5-D6</f>
        <v>107.02324929942294</v>
      </c>
      <c r="E7" s="790">
        <f t="shared" si="0"/>
        <v>134.43950609310409</v>
      </c>
      <c r="F7" s="790">
        <f t="shared" si="0"/>
        <v>138.24353476152035</v>
      </c>
      <c r="G7" s="790">
        <f t="shared" si="0"/>
        <v>134.70964841897194</v>
      </c>
      <c r="H7" s="790">
        <f t="shared" si="0"/>
        <v>131.69770258261499</v>
      </c>
      <c r="I7" s="790">
        <f t="shared" si="0"/>
        <v>128.37887192842203</v>
      </c>
      <c r="J7" s="790">
        <f t="shared" si="0"/>
        <v>125.08250504753244</v>
      </c>
      <c r="K7" s="790">
        <f t="shared" si="0"/>
        <v>121.65242642402508</v>
      </c>
      <c r="L7" s="790">
        <f t="shared" si="0"/>
        <v>117.83243737817206</v>
      </c>
      <c r="M7" s="790">
        <f t="shared" si="0"/>
        <v>115.02540585743083</v>
      </c>
      <c r="N7" s="790">
        <f t="shared" si="0"/>
        <v>112.00005544558158</v>
      </c>
      <c r="O7" s="790">
        <f t="shared" si="0"/>
        <v>108.86868019856558</v>
      </c>
      <c r="P7" s="790">
        <f t="shared" si="0"/>
        <v>105.94084883806678</v>
      </c>
      <c r="Q7" s="790">
        <f t="shared" si="0"/>
        <v>103.02966936507218</v>
      </c>
      <c r="R7" s="790">
        <f t="shared" si="0"/>
        <v>100.11176762266268</v>
      </c>
    </row>
    <row r="8" spans="1:19">
      <c r="A8" s="773">
        <v>5</v>
      </c>
      <c r="B8" s="772" t="s">
        <v>13</v>
      </c>
      <c r="C8" s="784"/>
      <c r="D8" s="791">
        <f>'Cashflow '!F76</f>
        <v>20.826821021628508</v>
      </c>
      <c r="E8" s="791">
        <f>'Cashflow '!G76</f>
        <v>20.826821021628508</v>
      </c>
      <c r="F8" s="791">
        <f>'Cashflow '!H76</f>
        <v>20.826821021628508</v>
      </c>
      <c r="G8" s="791">
        <f>'Cashflow '!I76</f>
        <v>20.826821021628508</v>
      </c>
      <c r="H8" s="791">
        <f>'Cashflow '!J76</f>
        <v>20.826821021628508</v>
      </c>
      <c r="I8" s="791">
        <f>'Cashflow '!K76</f>
        <v>20.826821021628508</v>
      </c>
      <c r="J8" s="791">
        <f>'Cashflow '!L76</f>
        <v>20.826821021628508</v>
      </c>
      <c r="K8" s="791">
        <f>'Cashflow '!M76</f>
        <v>20.826821021628508</v>
      </c>
      <c r="L8" s="791">
        <f>'Cashflow '!N76</f>
        <v>20.826821021628508</v>
      </c>
      <c r="M8" s="791">
        <f>'Cashflow '!O76</f>
        <v>20.826821021628508</v>
      </c>
      <c r="N8" s="791">
        <f>'Cashflow '!P76</f>
        <v>20.826821021628508</v>
      </c>
      <c r="O8" s="791">
        <f>'Cashflow '!Q76</f>
        <v>20.826821021628508</v>
      </c>
      <c r="P8" s="791">
        <f>'Cashflow '!R76</f>
        <v>20.826821021628508</v>
      </c>
      <c r="Q8" s="791">
        <f>'Cashflow '!S76</f>
        <v>20.826821021628508</v>
      </c>
      <c r="R8" s="791">
        <f>'Cashflow '!T76</f>
        <v>20.826821021628508</v>
      </c>
    </row>
    <row r="9" spans="1:19">
      <c r="A9" s="773">
        <v>6</v>
      </c>
      <c r="B9" s="772" t="s">
        <v>642</v>
      </c>
      <c r="C9" s="784"/>
      <c r="D9" s="791">
        <f t="shared" ref="D9:R9" si="1">+D7-D8</f>
        <v>86.196428277794439</v>
      </c>
      <c r="E9" s="791">
        <f t="shared" si="1"/>
        <v>113.61268507147558</v>
      </c>
      <c r="F9" s="791">
        <f t="shared" si="1"/>
        <v>117.41671373989185</v>
      </c>
      <c r="G9" s="791">
        <f t="shared" si="1"/>
        <v>113.88282739734343</v>
      </c>
      <c r="H9" s="791">
        <f t="shared" si="1"/>
        <v>110.87088156098649</v>
      </c>
      <c r="I9" s="791">
        <f t="shared" si="1"/>
        <v>107.55205090679353</v>
      </c>
      <c r="J9" s="791">
        <f t="shared" si="1"/>
        <v>104.25568402590393</v>
      </c>
      <c r="K9" s="791">
        <f t="shared" si="1"/>
        <v>100.82560540239658</v>
      </c>
      <c r="L9" s="791">
        <f t="shared" si="1"/>
        <v>97.005616356543555</v>
      </c>
      <c r="M9" s="791">
        <f t="shared" si="1"/>
        <v>94.198584835802322</v>
      </c>
      <c r="N9" s="791">
        <f t="shared" si="1"/>
        <v>91.173234423953076</v>
      </c>
      <c r="O9" s="791">
        <f t="shared" si="1"/>
        <v>88.041859176937081</v>
      </c>
      <c r="P9" s="791">
        <f t="shared" si="1"/>
        <v>85.114027816438281</v>
      </c>
      <c r="Q9" s="791">
        <f t="shared" si="1"/>
        <v>82.202848343443677</v>
      </c>
      <c r="R9" s="791">
        <f t="shared" si="1"/>
        <v>79.284946601034179</v>
      </c>
    </row>
    <row r="10" spans="1:19">
      <c r="A10" s="773"/>
      <c r="B10" s="772" t="s">
        <v>641</v>
      </c>
      <c r="C10" s="784"/>
      <c r="D10" s="789">
        <f>'Cashflow '!F78/'Cashflow '!F77</f>
        <v>0</v>
      </c>
      <c r="E10" s="789">
        <f>'Cashflow '!G78/'Cashflow '!G77</f>
        <v>0</v>
      </c>
      <c r="F10" s="789">
        <f>'Cashflow '!H78/'Cashflow '!H77</f>
        <v>0.18045451983064836</v>
      </c>
      <c r="G10" s="789">
        <f>'Cashflow '!I78/'Cashflow '!I77</f>
        <v>0.30751402667640132</v>
      </c>
      <c r="H10" s="789">
        <f>'Cashflow '!J78/'Cashflow '!J77</f>
        <v>0.32679275432592114</v>
      </c>
      <c r="I10" s="789">
        <f>'Cashflow '!K78/'Cashflow '!K77</f>
        <v>0.34262685474307608</v>
      </c>
      <c r="J10" s="789">
        <f>'Cashflow '!L78/'Cashflow '!L77</f>
        <v>0.35571133875459104</v>
      </c>
      <c r="K10" s="789">
        <f>'Cashflow '!M78/'Cashflow '!M77</f>
        <v>0.3665236375971731</v>
      </c>
      <c r="L10" s="789">
        <f>'Cashflow '!N78/'Cashflow '!N77</f>
        <v>0.37555553147128623</v>
      </c>
      <c r="M10" s="789">
        <f>'Cashflow '!O78/'Cashflow '!O77</f>
        <v>0.38270571804621728</v>
      </c>
      <c r="N10" s="789">
        <f>'Cashflow '!P78/'Cashflow '!P77</f>
        <v>0.39054983059190418</v>
      </c>
      <c r="O10" s="789">
        <f>'Cashflow '!Q78/'Cashflow '!Q77</f>
        <v>0.39795303535462068</v>
      </c>
      <c r="P10" s="789">
        <f>'Cashflow '!R78/'Cashflow '!R77</f>
        <v>0.40485293572418085</v>
      </c>
      <c r="Q10" s="789">
        <f>'Cashflow '!S78/'Cashflow '!S77</f>
        <v>0.41142625348422746</v>
      </c>
      <c r="R10" s="789">
        <f>'Cashflow '!T78/'Cashflow '!T77</f>
        <v>0.41777753128481082</v>
      </c>
      <c r="S10" s="788">
        <f>+AVERAGE(D10:R10)</f>
        <v>0.31069626452567056</v>
      </c>
    </row>
    <row r="11" spans="1:19">
      <c r="A11" s="773">
        <v>7</v>
      </c>
      <c r="B11" s="772" t="s">
        <v>640</v>
      </c>
      <c r="C11" s="784"/>
      <c r="D11" s="780">
        <f t="shared" ref="D11:R11" si="2">+IF(D9&gt;0,D9*D10,0)</f>
        <v>0</v>
      </c>
      <c r="E11" s="780">
        <f t="shared" si="2"/>
        <v>0</v>
      </c>
      <c r="F11" s="780">
        <f t="shared" si="2"/>
        <v>21.188376698024875</v>
      </c>
      <c r="G11" s="780">
        <f t="shared" si="2"/>
        <v>35.020566822250679</v>
      </c>
      <c r="H11" s="780">
        <f t="shared" si="2"/>
        <v>36.231800759857755</v>
      </c>
      <c r="I11" s="780">
        <f t="shared" si="2"/>
        <v>36.850220923361867</v>
      </c>
      <c r="J11" s="780">
        <f t="shared" si="2"/>
        <v>37.084928937629918</v>
      </c>
      <c r="K11" s="780">
        <f t="shared" si="2"/>
        <v>36.95496765502358</v>
      </c>
      <c r="L11" s="780">
        <f t="shared" si="2"/>
        <v>36.430995806481413</v>
      </c>
      <c r="M11" s="780">
        <f t="shared" si="2"/>
        <v>36.05033704852324</v>
      </c>
      <c r="N11" s="780">
        <f t="shared" si="2"/>
        <v>35.607691258790837</v>
      </c>
      <c r="O11" s="780">
        <f t="shared" si="2"/>
        <v>35.036525097726177</v>
      </c>
      <c r="P11" s="780">
        <f t="shared" si="2"/>
        <v>34.45866403279463</v>
      </c>
      <c r="Q11" s="780">
        <f t="shared" si="2"/>
        <v>33.820409919675164</v>
      </c>
      <c r="R11" s="780">
        <f t="shared" si="2"/>
        <v>33.123469259028113</v>
      </c>
    </row>
    <row r="12" spans="1:19">
      <c r="A12" s="787">
        <v>8</v>
      </c>
      <c r="B12" s="786" t="s">
        <v>639</v>
      </c>
      <c r="C12" s="160"/>
      <c r="D12" s="785">
        <f>+-'Bal sheet'!E55</f>
        <v>-43.030756273606407</v>
      </c>
      <c r="E12" s="785">
        <f>+-'Bal sheet'!F55</f>
        <v>-55.808279692925154</v>
      </c>
      <c r="F12" s="785">
        <f>+-'Bal sheet'!G55</f>
        <v>-59.469499710251405</v>
      </c>
      <c r="G12" s="785">
        <f>+-'Bal sheet'!H55</f>
        <v>-60.01074131992825</v>
      </c>
      <c r="H12" s="785">
        <f>+-'Bal sheet'!I55</f>
        <v>-60.470321500969966</v>
      </c>
      <c r="I12" s="785">
        <f>+-'Bal sheet'!J55</f>
        <v>-60.978324306735693</v>
      </c>
      <c r="J12" s="785">
        <f>+-'Bal sheet'!K55</f>
        <v>-61.482650750237589</v>
      </c>
      <c r="K12" s="785">
        <f>+-'Bal sheet'!L55</f>
        <v>-62.007759079616612</v>
      </c>
      <c r="L12" s="785">
        <f>+-'Bal sheet'!M55</f>
        <v>-62.593773243027236</v>
      </c>
      <c r="M12" s="785">
        <f>+-'Bal sheet'!N55</f>
        <v>-63.020972478069602</v>
      </c>
      <c r="N12" s="785">
        <f>+-'Bal sheet'!O55</f>
        <v>-63.482198329607861</v>
      </c>
      <c r="O12" s="785">
        <f>+-'Bal sheet'!P55</f>
        <v>-63.959860955912553</v>
      </c>
      <c r="P12" s="785">
        <f>+-'Bal sheet'!Q55</f>
        <v>-64.40547312899615</v>
      </c>
      <c r="Q12" s="785">
        <f>+-'Bal sheet'!R55</f>
        <v>-64.848303767339203</v>
      </c>
      <c r="R12" s="785">
        <f>+-'Bal sheet'!S55</f>
        <v>-65.292011429987468</v>
      </c>
    </row>
    <row r="13" spans="1:19">
      <c r="A13" s="773">
        <v>9</v>
      </c>
      <c r="B13" s="772" t="s">
        <v>638</v>
      </c>
      <c r="C13" s="784"/>
      <c r="D13" s="781"/>
      <c r="E13" s="781"/>
      <c r="F13" s="781"/>
      <c r="G13" s="781"/>
      <c r="H13" s="781"/>
      <c r="I13" s="781"/>
      <c r="J13" s="781"/>
      <c r="K13" s="781"/>
      <c r="L13" s="781"/>
      <c r="M13" s="781"/>
      <c r="N13" s="781"/>
      <c r="O13" s="781"/>
      <c r="P13" s="781"/>
      <c r="Q13" s="781"/>
      <c r="R13" s="781"/>
    </row>
    <row r="14" spans="1:19">
      <c r="A14" s="773">
        <v>10</v>
      </c>
      <c r="B14" s="772" t="s">
        <v>633</v>
      </c>
      <c r="C14" s="784"/>
      <c r="D14" s="781">
        <f t="shared" ref="D14:Q14" si="3">+D7-D11+D12</f>
        <v>63.992493025816536</v>
      </c>
      <c r="E14" s="781">
        <f t="shared" si="3"/>
        <v>78.631226400178932</v>
      </c>
      <c r="F14" s="781">
        <f t="shared" si="3"/>
        <v>57.585658353244064</v>
      </c>
      <c r="G14" s="781">
        <f t="shared" si="3"/>
        <v>39.678340276793001</v>
      </c>
      <c r="H14" s="781">
        <f t="shared" si="3"/>
        <v>34.99558032178728</v>
      </c>
      <c r="I14" s="781">
        <f t="shared" si="3"/>
        <v>30.550326698324476</v>
      </c>
      <c r="J14" s="781">
        <f t="shared" si="3"/>
        <v>26.514925359664936</v>
      </c>
      <c r="K14" s="781">
        <f t="shared" si="3"/>
        <v>22.689699689384888</v>
      </c>
      <c r="L14" s="781">
        <f t="shared" si="3"/>
        <v>18.807668328663404</v>
      </c>
      <c r="M14" s="781">
        <f t="shared" si="3"/>
        <v>15.954096330837992</v>
      </c>
      <c r="N14" s="781">
        <f t="shared" si="3"/>
        <v>12.910165857182882</v>
      </c>
      <c r="O14" s="781">
        <f t="shared" si="3"/>
        <v>9.8722941449268475</v>
      </c>
      <c r="P14" s="781">
        <f t="shared" si="3"/>
        <v>7.0767116762760054</v>
      </c>
      <c r="Q14" s="781">
        <f t="shared" si="3"/>
        <v>4.360955678057806</v>
      </c>
      <c r="R14" s="781">
        <f>+R7-R11+R12+R13</f>
        <v>1.6962869336471016</v>
      </c>
    </row>
    <row r="15" spans="1:19">
      <c r="A15" s="773">
        <v>11</v>
      </c>
      <c r="B15" s="783" t="s">
        <v>637</v>
      </c>
      <c r="C15" s="782">
        <f>-(Capex!B31-Capex!B30*0)</f>
        <v>-417.86631406840155</v>
      </c>
      <c r="D15" s="781"/>
      <c r="E15" s="781"/>
      <c r="F15" s="781"/>
      <c r="G15" s="781"/>
      <c r="H15" s="781"/>
      <c r="I15" s="781"/>
      <c r="J15" s="781"/>
      <c r="K15" s="781"/>
      <c r="L15" s="781"/>
      <c r="M15" s="781"/>
      <c r="N15" s="781"/>
      <c r="O15" s="781"/>
      <c r="P15" s="781"/>
      <c r="Q15" s="781"/>
      <c r="R15" s="781"/>
    </row>
    <row r="16" spans="1:19">
      <c r="A16" s="773">
        <v>12</v>
      </c>
      <c r="B16" s="772" t="s">
        <v>636</v>
      </c>
      <c r="C16" s="781">
        <f>C15</f>
        <v>-417.86631406840155</v>
      </c>
      <c r="D16" s="780">
        <f t="shared" ref="D16:R16" si="4">D14+D15</f>
        <v>63.992493025816536</v>
      </c>
      <c r="E16" s="780">
        <f t="shared" si="4"/>
        <v>78.631226400178932</v>
      </c>
      <c r="F16" s="780">
        <f t="shared" si="4"/>
        <v>57.585658353244064</v>
      </c>
      <c r="G16" s="780">
        <f t="shared" si="4"/>
        <v>39.678340276793001</v>
      </c>
      <c r="H16" s="780">
        <f t="shared" si="4"/>
        <v>34.99558032178728</v>
      </c>
      <c r="I16" s="780">
        <f t="shared" si="4"/>
        <v>30.550326698324476</v>
      </c>
      <c r="J16" s="780">
        <f t="shared" si="4"/>
        <v>26.514925359664936</v>
      </c>
      <c r="K16" s="780">
        <f t="shared" si="4"/>
        <v>22.689699689384888</v>
      </c>
      <c r="L16" s="780">
        <f t="shared" si="4"/>
        <v>18.807668328663404</v>
      </c>
      <c r="M16" s="780">
        <f t="shared" si="4"/>
        <v>15.954096330837992</v>
      </c>
      <c r="N16" s="780">
        <f t="shared" si="4"/>
        <v>12.910165857182882</v>
      </c>
      <c r="O16" s="780">
        <f t="shared" si="4"/>
        <v>9.8722941449268475</v>
      </c>
      <c r="P16" s="780">
        <f t="shared" si="4"/>
        <v>7.0767116762760054</v>
      </c>
      <c r="Q16" s="780">
        <f t="shared" si="4"/>
        <v>4.360955678057806</v>
      </c>
      <c r="R16" s="780">
        <f t="shared" si="4"/>
        <v>1.6962869336471016</v>
      </c>
    </row>
    <row r="17" spans="1:18">
      <c r="A17" s="770"/>
      <c r="B17" s="770" t="s">
        <v>635</v>
      </c>
      <c r="C17" s="769">
        <f>IRR(C16:R16,0.1)</f>
        <v>3.6969687665107109E-3</v>
      </c>
      <c r="D17" s="768"/>
      <c r="E17" s="768"/>
      <c r="F17" s="768"/>
      <c r="G17" s="768"/>
      <c r="H17" s="768"/>
      <c r="I17" s="768"/>
      <c r="J17" s="768"/>
      <c r="K17" s="768"/>
      <c r="L17" s="768"/>
      <c r="M17" s="768"/>
      <c r="N17" s="768"/>
      <c r="O17" s="768"/>
      <c r="P17" s="768"/>
      <c r="Q17" s="768"/>
      <c r="R17" s="768"/>
    </row>
    <row r="18" spans="1:18">
      <c r="A18" s="768"/>
      <c r="B18" s="779"/>
      <c r="C18" s="778"/>
      <c r="D18" s="778"/>
      <c r="E18" s="778"/>
      <c r="F18" s="778"/>
      <c r="G18" s="778"/>
      <c r="H18" s="778"/>
      <c r="I18" s="778"/>
      <c r="J18" s="778"/>
      <c r="K18" s="778"/>
      <c r="L18" s="778"/>
      <c r="M18" s="778"/>
      <c r="N18" s="778"/>
      <c r="O18" s="778"/>
      <c r="P18" s="778"/>
      <c r="Q18" s="778"/>
      <c r="R18" s="778"/>
    </row>
    <row r="19" spans="1:18">
      <c r="A19" s="768"/>
      <c r="B19" s="779"/>
      <c r="C19" s="778"/>
      <c r="D19" s="778"/>
      <c r="E19" s="778"/>
      <c r="F19" s="778"/>
      <c r="G19" s="778"/>
      <c r="H19" s="778"/>
      <c r="I19" s="778"/>
      <c r="J19" s="778"/>
      <c r="K19" s="778"/>
      <c r="L19" s="778"/>
      <c r="M19" s="778"/>
      <c r="N19" s="778"/>
      <c r="O19" s="778"/>
      <c r="P19" s="778"/>
      <c r="Q19" s="778"/>
      <c r="R19" s="778"/>
    </row>
    <row r="20" spans="1:18">
      <c r="A20" s="768"/>
      <c r="B20" s="767" t="s">
        <v>624</v>
      </c>
      <c r="C20" s="768"/>
      <c r="D20" s="768"/>
      <c r="E20" s="768"/>
      <c r="F20" s="768"/>
      <c r="G20" s="768"/>
      <c r="H20" s="768"/>
      <c r="I20" s="768"/>
      <c r="J20" s="768"/>
      <c r="K20" s="768"/>
      <c r="L20" s="768"/>
      <c r="M20" s="768"/>
      <c r="N20" s="768"/>
      <c r="O20" s="768"/>
      <c r="P20" s="768"/>
      <c r="Q20" s="768"/>
      <c r="R20" s="768"/>
    </row>
    <row r="21" spans="1:18">
      <c r="A21" s="777" t="s">
        <v>592</v>
      </c>
      <c r="B21" s="777" t="s">
        <v>470</v>
      </c>
      <c r="C21" s="777" t="s">
        <v>634</v>
      </c>
      <c r="D21" s="777">
        <v>1</v>
      </c>
      <c r="E21" s="777">
        <v>2</v>
      </c>
      <c r="F21" s="777">
        <v>3</v>
      </c>
      <c r="G21" s="777">
        <v>4</v>
      </c>
      <c r="H21" s="777">
        <v>5</v>
      </c>
      <c r="I21" s="777">
        <v>6</v>
      </c>
      <c r="J21" s="777">
        <v>7</v>
      </c>
      <c r="K21" s="777">
        <v>8</v>
      </c>
      <c r="L21" s="777">
        <v>9</v>
      </c>
      <c r="M21" s="777">
        <v>10</v>
      </c>
      <c r="N21" s="777">
        <v>11</v>
      </c>
      <c r="O21" s="777">
        <v>12</v>
      </c>
      <c r="P21" s="777">
        <v>13</v>
      </c>
      <c r="Q21" s="777">
        <v>14</v>
      </c>
      <c r="R21" s="777">
        <v>15</v>
      </c>
    </row>
    <row r="22" spans="1:18">
      <c r="A22" s="773">
        <v>1</v>
      </c>
      <c r="B22" s="772" t="s">
        <v>633</v>
      </c>
      <c r="C22" s="771">
        <v>0</v>
      </c>
      <c r="D22" s="771">
        <f t="shared" ref="D22:R22" si="5">D16</f>
        <v>63.992493025816536</v>
      </c>
      <c r="E22" s="771">
        <f t="shared" si="5"/>
        <v>78.631226400178932</v>
      </c>
      <c r="F22" s="771">
        <f t="shared" si="5"/>
        <v>57.585658353244064</v>
      </c>
      <c r="G22" s="771">
        <f t="shared" si="5"/>
        <v>39.678340276793001</v>
      </c>
      <c r="H22" s="771">
        <f t="shared" si="5"/>
        <v>34.99558032178728</v>
      </c>
      <c r="I22" s="771">
        <f t="shared" si="5"/>
        <v>30.550326698324476</v>
      </c>
      <c r="J22" s="771">
        <f t="shared" si="5"/>
        <v>26.514925359664936</v>
      </c>
      <c r="K22" s="771">
        <f t="shared" si="5"/>
        <v>22.689699689384888</v>
      </c>
      <c r="L22" s="771">
        <f t="shared" si="5"/>
        <v>18.807668328663404</v>
      </c>
      <c r="M22" s="771">
        <f t="shared" si="5"/>
        <v>15.954096330837992</v>
      </c>
      <c r="N22" s="771">
        <f t="shared" si="5"/>
        <v>12.910165857182882</v>
      </c>
      <c r="O22" s="771">
        <f t="shared" si="5"/>
        <v>9.8722941449268475</v>
      </c>
      <c r="P22" s="771">
        <f t="shared" si="5"/>
        <v>7.0767116762760054</v>
      </c>
      <c r="Q22" s="771">
        <f t="shared" si="5"/>
        <v>4.360955678057806</v>
      </c>
      <c r="R22" s="771">
        <f t="shared" si="5"/>
        <v>1.6962869336471016</v>
      </c>
    </row>
    <row r="23" spans="1:18">
      <c r="A23" s="773">
        <v>2</v>
      </c>
      <c r="B23" s="772" t="s">
        <v>632</v>
      </c>
      <c r="C23" s="774"/>
      <c r="D23" s="771">
        <f>'Cashflow '!F75</f>
        <v>34.473970910643125</v>
      </c>
      <c r="E23" s="771">
        <f>'Cashflow '!G75</f>
        <v>37.318073510771185</v>
      </c>
      <c r="F23" s="771">
        <f>'Cashflow '!H75</f>
        <v>32.653314321924789</v>
      </c>
      <c r="G23" s="771">
        <f>'Cashflow '!I75</f>
        <v>27.988555133078389</v>
      </c>
      <c r="H23" s="771">
        <f>'Cashflow '!J75</f>
        <v>23.323795944231989</v>
      </c>
      <c r="I23" s="771">
        <f>'Cashflow '!K75</f>
        <v>18.659036755385589</v>
      </c>
      <c r="J23" s="771">
        <f>'Cashflow '!L75</f>
        <v>13.994277566539189</v>
      </c>
      <c r="K23" s="771">
        <f>'Cashflow '!M75</f>
        <v>9.329518377692791</v>
      </c>
      <c r="L23" s="771">
        <f>'Cashflow '!N75</f>
        <v>4.664759188846392</v>
      </c>
      <c r="M23" s="771">
        <f>'Cashflow '!O75</f>
        <v>-6.2527760746888817E-15</v>
      </c>
      <c r="N23" s="771">
        <f>'Cashflow '!P75</f>
        <v>-6.2527760746888817E-15</v>
      </c>
      <c r="O23" s="771">
        <f>'Cashflow '!Q75</f>
        <v>-6.2527760746888817E-15</v>
      </c>
      <c r="P23" s="771">
        <f>'Cashflow '!R75</f>
        <v>-6.2527760746888817E-15</v>
      </c>
      <c r="Q23" s="771">
        <f>'Cashflow '!S75</f>
        <v>-6.2527760746888817E-15</v>
      </c>
      <c r="R23" s="771">
        <f>'Cashflow '!T75</f>
        <v>-6.2527760746888817E-15</v>
      </c>
    </row>
    <row r="24" spans="1:18">
      <c r="A24" s="773">
        <v>3</v>
      </c>
      <c r="B24" s="772" t="s">
        <v>631</v>
      </c>
      <c r="C24" s="774"/>
      <c r="D24" s="771">
        <f>'Cashflow '!E130</f>
        <v>42.406901716785441</v>
      </c>
      <c r="E24" s="771">
        <f>'Cashflow '!F130</f>
        <v>42.406901716785441</v>
      </c>
      <c r="F24" s="771">
        <f>'Cashflow '!G130</f>
        <v>42.406901716785441</v>
      </c>
      <c r="G24" s="771">
        <f>'Cashflow '!H130</f>
        <v>42.406901716785441</v>
      </c>
      <c r="H24" s="771">
        <f>'Cashflow '!I130</f>
        <v>42.406901716785441</v>
      </c>
      <c r="I24" s="771">
        <f>'Cashflow '!J130</f>
        <v>42.406901716785441</v>
      </c>
      <c r="J24" s="771">
        <f>'Cashflow '!K130</f>
        <v>42.406901716785441</v>
      </c>
      <c r="K24" s="771">
        <f>'Cashflow '!L130</f>
        <v>42.406901716785441</v>
      </c>
      <c r="L24" s="771">
        <f>'Cashflow '!M130</f>
        <v>0</v>
      </c>
      <c r="M24" s="771">
        <f>'Cashflow '!N130</f>
        <v>0</v>
      </c>
      <c r="N24" s="771">
        <f>'Cashflow '!O130</f>
        <v>0</v>
      </c>
      <c r="O24" s="771">
        <f>'Cashflow '!P130</f>
        <v>0</v>
      </c>
      <c r="P24" s="771">
        <f>'Cashflow '!Q130</f>
        <v>0</v>
      </c>
      <c r="Q24" s="771">
        <f>'Cashflow '!R130</f>
        <v>0</v>
      </c>
      <c r="R24" s="771">
        <f>'Cashflow '!S130</f>
        <v>0</v>
      </c>
    </row>
    <row r="25" spans="1:18">
      <c r="A25" s="773">
        <v>4</v>
      </c>
      <c r="B25" s="776" t="s">
        <v>630</v>
      </c>
      <c r="C25" s="774"/>
      <c r="D25" s="771">
        <f>'Cashflow '!F74</f>
        <v>0</v>
      </c>
      <c r="E25" s="771">
        <f>'Cashflow '!G74</f>
        <v>1.6194765263971813</v>
      </c>
      <c r="F25" s="771">
        <f>'Cashflow '!H74</f>
        <v>1.4438384812407461</v>
      </c>
      <c r="G25" s="771">
        <f>'Cashflow '!I74</f>
        <v>0.8197119064259526</v>
      </c>
      <c r="H25" s="771">
        <f>'Cashflow '!J74</f>
        <v>8.6347128581925878E-2</v>
      </c>
      <c r="I25" s="771">
        <f>'Cashflow '!K74</f>
        <v>0</v>
      </c>
      <c r="J25" s="771">
        <f>'Cashflow '!L74</f>
        <v>0</v>
      </c>
      <c r="K25" s="771">
        <f>'Cashflow '!M74</f>
        <v>0.87580319322013134</v>
      </c>
      <c r="L25" s="771">
        <f>'Cashflow '!N74</f>
        <v>2.3979326928916267</v>
      </c>
      <c r="M25" s="771">
        <f>'Cashflow '!O74</f>
        <v>0.3834089093484172</v>
      </c>
      <c r="N25" s="771">
        <f>'Cashflow '!P74</f>
        <v>0</v>
      </c>
      <c r="O25" s="771">
        <f>'Cashflow '!Q74</f>
        <v>0</v>
      </c>
      <c r="P25" s="771">
        <f>'Cashflow '!R74</f>
        <v>0</v>
      </c>
      <c r="Q25" s="771">
        <f>'Cashflow '!S74</f>
        <v>0</v>
      </c>
      <c r="R25" s="771">
        <f>'Cashflow '!T74</f>
        <v>0</v>
      </c>
    </row>
    <row r="26" spans="1:18">
      <c r="A26" s="775">
        <v>5</v>
      </c>
      <c r="B26" s="772" t="s">
        <v>629</v>
      </c>
      <c r="C26" s="774"/>
      <c r="D26" s="771">
        <f t="shared" ref="D26:R26" si="6">D22-D23-D24-D25</f>
        <v>-12.88837960161203</v>
      </c>
      <c r="E26" s="771">
        <f t="shared" si="6"/>
        <v>-2.7132253537748765</v>
      </c>
      <c r="F26" s="771">
        <f t="shared" si="6"/>
        <v>-18.918396166706913</v>
      </c>
      <c r="G26" s="771">
        <f t="shared" si="6"/>
        <v>-31.53682847949678</v>
      </c>
      <c r="H26" s="771">
        <f t="shared" si="6"/>
        <v>-30.821464467812078</v>
      </c>
      <c r="I26" s="771">
        <f t="shared" si="6"/>
        <v>-30.515611773846555</v>
      </c>
      <c r="J26" s="771">
        <f t="shared" si="6"/>
        <v>-29.886253923659694</v>
      </c>
      <c r="K26" s="771">
        <f t="shared" si="6"/>
        <v>-29.922523598313479</v>
      </c>
      <c r="L26" s="771">
        <f t="shared" si="6"/>
        <v>11.744976446925385</v>
      </c>
      <c r="M26" s="771">
        <f t="shared" si="6"/>
        <v>15.570687421489581</v>
      </c>
      <c r="N26" s="771">
        <f t="shared" si="6"/>
        <v>12.910165857182889</v>
      </c>
      <c r="O26" s="771">
        <f t="shared" si="6"/>
        <v>9.8722941449268546</v>
      </c>
      <c r="P26" s="771">
        <f t="shared" si="6"/>
        <v>7.0767116762760116</v>
      </c>
      <c r="Q26" s="771">
        <f t="shared" si="6"/>
        <v>4.3609556780578123</v>
      </c>
      <c r="R26" s="771">
        <f t="shared" si="6"/>
        <v>1.6962869336471078</v>
      </c>
    </row>
    <row r="27" spans="1:18">
      <c r="A27" s="775">
        <v>6</v>
      </c>
      <c r="B27" s="772" t="s">
        <v>628</v>
      </c>
      <c r="C27" s="774"/>
      <c r="D27" s="771">
        <f t="shared" ref="D27:R27" si="7">+D11</f>
        <v>0</v>
      </c>
      <c r="E27" s="771">
        <f t="shared" si="7"/>
        <v>0</v>
      </c>
      <c r="F27" s="771">
        <f t="shared" si="7"/>
        <v>21.188376698024875</v>
      </c>
      <c r="G27" s="771">
        <f t="shared" si="7"/>
        <v>35.020566822250679</v>
      </c>
      <c r="H27" s="771">
        <f t="shared" si="7"/>
        <v>36.231800759857755</v>
      </c>
      <c r="I27" s="771">
        <f t="shared" si="7"/>
        <v>36.850220923361867</v>
      </c>
      <c r="J27" s="771">
        <f t="shared" si="7"/>
        <v>37.084928937629918</v>
      </c>
      <c r="K27" s="771">
        <f t="shared" si="7"/>
        <v>36.95496765502358</v>
      </c>
      <c r="L27" s="771">
        <f t="shared" si="7"/>
        <v>36.430995806481413</v>
      </c>
      <c r="M27" s="771">
        <f t="shared" si="7"/>
        <v>36.05033704852324</v>
      </c>
      <c r="N27" s="771">
        <f t="shared" si="7"/>
        <v>35.607691258790837</v>
      </c>
      <c r="O27" s="771">
        <f t="shared" si="7"/>
        <v>35.036525097726177</v>
      </c>
      <c r="P27" s="771">
        <f t="shared" si="7"/>
        <v>34.45866403279463</v>
      </c>
      <c r="Q27" s="771">
        <f t="shared" si="7"/>
        <v>33.820409919675164</v>
      </c>
      <c r="R27" s="771">
        <f t="shared" si="7"/>
        <v>33.123469259028113</v>
      </c>
    </row>
    <row r="28" spans="1:18">
      <c r="A28" s="775">
        <v>7</v>
      </c>
      <c r="B28" s="772" t="s">
        <v>627</v>
      </c>
      <c r="C28" s="774"/>
      <c r="D28" s="771">
        <f>'Cashflow '!C151</f>
        <v>0</v>
      </c>
      <c r="E28" s="771">
        <f>'Cashflow '!D151</f>
        <v>0</v>
      </c>
      <c r="F28" s="771">
        <f>'Cashflow '!E151</f>
        <v>15.295938541182704</v>
      </c>
      <c r="G28" s="771">
        <f>'Cashflow '!F151</f>
        <v>26.413693532423277</v>
      </c>
      <c r="H28" s="771">
        <f>'Cashflow '!G151</f>
        <v>28.609753241906436</v>
      </c>
      <c r="I28" s="771">
        <f>'Cashflow '!H151</f>
        <v>30.457133847328656</v>
      </c>
      <c r="J28" s="771">
        <f>'Cashflow '!I151</f>
        <v>32.107005729532929</v>
      </c>
      <c r="K28" s="771">
        <f>'Cashflow '!J151</f>
        <v>33.535478642201937</v>
      </c>
      <c r="L28" s="771">
        <f>'Cashflow '!K151</f>
        <v>34.679119690128644</v>
      </c>
      <c r="M28" s="771">
        <f>'Cashflow '!L151</f>
        <v>36.05033704852324</v>
      </c>
      <c r="N28" s="771">
        <f>'Cashflow '!M151</f>
        <v>35.60769125879083</v>
      </c>
      <c r="O28" s="771">
        <f>'Cashflow '!N151</f>
        <v>35.036525097726177</v>
      </c>
      <c r="P28" s="771">
        <f>'Cashflow '!O151</f>
        <v>34.458664032794616</v>
      </c>
      <c r="Q28" s="771">
        <f>'Cashflow '!P151</f>
        <v>33.820409919675178</v>
      </c>
      <c r="R28" s="771">
        <f>'Cashflow '!Q151</f>
        <v>33.123469259028113</v>
      </c>
    </row>
    <row r="29" spans="1:18">
      <c r="A29" s="773">
        <v>8</v>
      </c>
      <c r="B29" s="772" t="s">
        <v>626</v>
      </c>
      <c r="C29" s="771">
        <f>-(Capex!B31-Capex!B30+Capex!B32-'Cashflow '!D54)</f>
        <v>-102.32738217635955</v>
      </c>
      <c r="D29" s="771"/>
      <c r="E29" s="771"/>
      <c r="F29" s="771"/>
      <c r="G29" s="771"/>
      <c r="H29" s="771"/>
      <c r="I29" s="771"/>
      <c r="J29" s="771"/>
      <c r="K29" s="771"/>
      <c r="L29" s="771"/>
      <c r="M29" s="771"/>
      <c r="N29" s="771"/>
      <c r="O29" s="771"/>
      <c r="P29" s="771"/>
      <c r="Q29" s="771"/>
      <c r="R29" s="771"/>
    </row>
    <row r="30" spans="1:18">
      <c r="A30" s="773">
        <v>9</v>
      </c>
      <c r="B30" s="772" t="s">
        <v>625</v>
      </c>
      <c r="C30" s="771">
        <f>C29</f>
        <v>-102.32738217635955</v>
      </c>
      <c r="D30" s="771">
        <f t="shared" ref="D30:R30" si="8">D26+D27-D28+D29</f>
        <v>-12.88837960161203</v>
      </c>
      <c r="E30" s="771">
        <f t="shared" si="8"/>
        <v>-2.7132253537748765</v>
      </c>
      <c r="F30" s="771">
        <f t="shared" si="8"/>
        <v>-13.025958009864741</v>
      </c>
      <c r="G30" s="771">
        <f t="shared" si="8"/>
        <v>-22.929955189669379</v>
      </c>
      <c r="H30" s="771">
        <f t="shared" si="8"/>
        <v>-23.199416949860758</v>
      </c>
      <c r="I30" s="771">
        <f t="shared" si="8"/>
        <v>-24.122524697813343</v>
      </c>
      <c r="J30" s="771">
        <f t="shared" si="8"/>
        <v>-24.908330715562705</v>
      </c>
      <c r="K30" s="771">
        <f t="shared" si="8"/>
        <v>-26.503034585491836</v>
      </c>
      <c r="L30" s="771">
        <f t="shared" si="8"/>
        <v>13.496852563278154</v>
      </c>
      <c r="M30" s="771">
        <f t="shared" si="8"/>
        <v>15.570687421489581</v>
      </c>
      <c r="N30" s="771">
        <f t="shared" si="8"/>
        <v>12.910165857182896</v>
      </c>
      <c r="O30" s="771">
        <f t="shared" si="8"/>
        <v>9.8722941449268546</v>
      </c>
      <c r="P30" s="771">
        <f t="shared" si="8"/>
        <v>7.0767116762760267</v>
      </c>
      <c r="Q30" s="771">
        <f t="shared" si="8"/>
        <v>4.3609556780577989</v>
      </c>
      <c r="R30" s="771">
        <f t="shared" si="8"/>
        <v>1.6962869336471087</v>
      </c>
    </row>
    <row r="31" spans="1:18">
      <c r="A31" s="770"/>
      <c r="B31" s="770" t="s">
        <v>624</v>
      </c>
      <c r="C31" s="769">
        <f>IRR(C30:R30,0.1)</f>
        <v>-0.17072875842901869</v>
      </c>
      <c r="D31" s="768"/>
      <c r="E31" s="768"/>
      <c r="F31" s="768"/>
      <c r="G31" s="768"/>
      <c r="H31" s="768"/>
      <c r="I31" s="768"/>
      <c r="J31" s="768"/>
      <c r="K31" s="768"/>
      <c r="L31" s="768"/>
      <c r="M31" s="768"/>
      <c r="N31" s="768"/>
      <c r="O31" s="768"/>
      <c r="P31" s="768"/>
      <c r="Q31" s="768"/>
      <c r="R31" s="768"/>
    </row>
    <row r="33" spans="2:18">
      <c r="B33" s="767"/>
      <c r="C33" s="766"/>
      <c r="D33" s="766"/>
      <c r="E33" s="766"/>
      <c r="F33" s="766"/>
      <c r="G33" s="766"/>
      <c r="H33" s="766"/>
      <c r="I33" s="766"/>
      <c r="J33" s="766"/>
      <c r="K33" s="766"/>
      <c r="L33" s="766"/>
    </row>
    <row r="34" spans="2:18">
      <c r="B34" s="3" t="s">
        <v>623</v>
      </c>
    </row>
    <row r="35" spans="2:18" hidden="1">
      <c r="B35" s="160" t="s">
        <v>622</v>
      </c>
      <c r="C35" s="160"/>
      <c r="D35" s="160"/>
      <c r="E35" s="160"/>
      <c r="F35" s="160"/>
      <c r="G35" s="160"/>
      <c r="H35" s="160"/>
      <c r="I35" s="160"/>
      <c r="J35" s="160"/>
      <c r="K35" s="160"/>
      <c r="L35" s="160"/>
      <c r="M35" s="160"/>
      <c r="N35" s="160"/>
      <c r="O35" s="160"/>
      <c r="P35" s="160"/>
      <c r="Q35" s="160"/>
      <c r="R35" s="160"/>
    </row>
    <row r="36" spans="2:18" hidden="1">
      <c r="B36" s="160" t="s">
        <v>621</v>
      </c>
      <c r="C36" s="764">
        <f>C16</f>
        <v>-417.86631406840155</v>
      </c>
      <c r="D36" s="166">
        <f>'[5]Nitric Acid'!C167+'[5]Nitric Acid'!C166</f>
        <v>2688.8627897812876</v>
      </c>
      <c r="E36" s="166">
        <f>'[5]Nitric Acid'!D167+'[5]Nitric Acid'!D166</f>
        <v>3743.3003890095601</v>
      </c>
      <c r="F36" s="166">
        <f>'[5]Nitric Acid'!E167+'[5]Nitric Acid'!E166</f>
        <v>5098.0554833684273</v>
      </c>
      <c r="G36" s="166">
        <f>'[5]Nitric Acid'!F167+'[5]Nitric Acid'!F166</f>
        <v>5500.3472264890779</v>
      </c>
      <c r="H36" s="166">
        <f>'[5]Nitric Acid'!G167+'[5]Nitric Acid'!G166</f>
        <v>5963.8470568367447</v>
      </c>
      <c r="I36" s="166">
        <f>'[5]Nitric Acid'!H167+'[5]Nitric Acid'!H166</f>
        <v>6459.375614345181</v>
      </c>
      <c r="J36" s="166">
        <f>'[5]Nitric Acid'!I167+'[5]Nitric Acid'!I166</f>
        <v>6989.212515848355</v>
      </c>
      <c r="K36" s="166">
        <f>'[5]Nitric Acid'!J167+'[5]Nitric Acid'!J166</f>
        <v>7525.8163190771829</v>
      </c>
      <c r="L36" s="166">
        <f>'[5]Nitric Acid'!K167+'[5]Nitric Acid'!K166</f>
        <v>7909.4045500775528</v>
      </c>
      <c r="M36" s="166">
        <f>'[5]Nitric Acid'!L167+'[5]Nitric Acid'!L166</f>
        <v>7835.738313936642</v>
      </c>
      <c r="N36" s="166">
        <f>'[5]Nitric Acid'!M167+'[5]Nitric Acid'!M166</f>
        <v>7759.1750739301415</v>
      </c>
      <c r="O36" s="166">
        <f>'[5]Nitric Acid'!N167+'[5]Nitric Acid'!N166</f>
        <v>7679.5935691030163</v>
      </c>
      <c r="P36" s="166">
        <f>'[5]Nitric Acid'!O167+'[5]Nitric Acid'!O166</f>
        <v>7596.8671831296224</v>
      </c>
      <c r="Q36" s="166">
        <f>'[5]Nitric Acid'!P167+'[5]Nitric Acid'!P166</f>
        <v>7510.8636977755077</v>
      </c>
      <c r="R36" s="166">
        <f>'[5]Nitric Acid'!Q167+'[5]Nitric Acid'!Q166</f>
        <v>7421.4450346691656</v>
      </c>
    </row>
    <row r="37" spans="2:18" hidden="1">
      <c r="B37" s="160" t="s">
        <v>19</v>
      </c>
      <c r="C37" s="765">
        <f>IRR(C36:R36,0.1)</f>
        <v>6.8131813280987714</v>
      </c>
      <c r="D37" s="160"/>
      <c r="E37" s="160"/>
      <c r="F37" s="160"/>
      <c r="G37" s="160"/>
      <c r="H37" s="160"/>
      <c r="I37" s="160"/>
      <c r="J37" s="160"/>
      <c r="K37" s="160"/>
      <c r="L37" s="160"/>
      <c r="M37" s="160"/>
      <c r="N37" s="160"/>
      <c r="O37" s="160"/>
      <c r="P37" s="160"/>
      <c r="Q37" s="160"/>
      <c r="R37" s="160"/>
    </row>
    <row r="38" spans="2:18" hidden="1">
      <c r="B38" s="160" t="s">
        <v>620</v>
      </c>
      <c r="C38" s="764">
        <f>C36</f>
        <v>-417.86631406840155</v>
      </c>
      <c r="D38" s="166">
        <f>'[5]Nitric Acid'!C169+'[5]Nitric Acid'!C166</f>
        <v>2596.8074005846629</v>
      </c>
      <c r="E38" s="166">
        <f>'[5]Nitric Acid'!D169+'[5]Nitric Acid'!D166</f>
        <v>3467.0136624757715</v>
      </c>
      <c r="F38" s="166">
        <f>'[5]Nitric Acid'!E169+'[5]Nitric Acid'!E166</f>
        <v>4585.0659467482574</v>
      </c>
      <c r="G38" s="166">
        <f>'[5]Nitric Acid'!F169+'[5]Nitric Acid'!F166</f>
        <v>4917.0692765108679</v>
      </c>
      <c r="H38" s="166">
        <f>'[5]Nitric Acid'!G169+'[5]Nitric Acid'!G166</f>
        <v>5299.5864165001904</v>
      </c>
      <c r="I38" s="166">
        <f>'[5]Nitric Acid'!H169+'[5]Nitric Acid'!H166</f>
        <v>5708.5362244407534</v>
      </c>
      <c r="J38" s="166">
        <f>'[5]Nitric Acid'!I169+'[5]Nitric Acid'!I166</f>
        <v>6145.8000225132928</v>
      </c>
      <c r="K38" s="166">
        <f>'[5]Nitric Acid'!J169+'[5]Nitric Acid'!J166</f>
        <v>6588.6484092419796</v>
      </c>
      <c r="L38" s="166">
        <f>'[5]Nitric Acid'!K169+'[5]Nitric Acid'!K166</f>
        <v>6905.2161045219646</v>
      </c>
      <c r="M38" s="166">
        <f>'[5]Nitric Acid'!L169+'[5]Nitric Acid'!L166</f>
        <v>6844.4208331595937</v>
      </c>
      <c r="N38" s="166">
        <f>'[5]Nitric Acid'!M169+'[5]Nitric Acid'!M166</f>
        <v>5517.1483596921034</v>
      </c>
      <c r="O38" s="166">
        <f>'[5]Nitric Acid'!N169+'[5]Nitric Acid'!N166</f>
        <v>5319.1091295302012</v>
      </c>
      <c r="P38" s="166">
        <f>'[5]Nitric Acid'!O169+'[5]Nitric Acid'!O166</f>
        <v>5218.3867350724922</v>
      </c>
      <c r="Q38" s="166">
        <f>'[5]Nitric Acid'!P169+'[5]Nitric Acid'!P166</f>
        <v>5122.412278983159</v>
      </c>
      <c r="R38" s="166">
        <f>'[5]Nitric Acid'!Q169+'[5]Nitric Acid'!Q166</f>
        <v>5030.0795197134412</v>
      </c>
    </row>
    <row r="39" spans="2:18" hidden="1">
      <c r="B39" s="160" t="s">
        <v>19</v>
      </c>
      <c r="C39" s="763">
        <f>IRR(C38:R38,0.1)</f>
        <v>6.539891060288479</v>
      </c>
      <c r="D39" s="160"/>
      <c r="E39" s="160"/>
      <c r="F39" s="160"/>
      <c r="G39" s="160"/>
      <c r="H39" s="160"/>
      <c r="I39" s="160"/>
      <c r="J39" s="160"/>
      <c r="K39" s="160"/>
      <c r="L39" s="160"/>
      <c r="M39" s="160"/>
      <c r="N39" s="160"/>
      <c r="O39" s="160"/>
      <c r="P39" s="160"/>
      <c r="Q39" s="160"/>
      <c r="R39" s="160"/>
    </row>
    <row r="40" spans="2:18" hidden="1"/>
    <row r="41" spans="2:18">
      <c r="B41" s="757" t="s">
        <v>617</v>
      </c>
      <c r="C41" s="761">
        <f>Capex!B31+Capex!B32</f>
        <v>452.34028497904467</v>
      </c>
      <c r="D41" s="757"/>
      <c r="E41" s="757"/>
      <c r="F41" s="757"/>
      <c r="G41" s="757"/>
      <c r="H41" s="757"/>
      <c r="I41" s="757"/>
      <c r="J41" s="757"/>
      <c r="K41" s="757"/>
      <c r="L41" s="757"/>
      <c r="M41" s="757"/>
      <c r="N41" s="757"/>
      <c r="O41" s="757"/>
      <c r="P41" s="757"/>
      <c r="Q41" s="757"/>
      <c r="R41" s="757"/>
    </row>
    <row r="42" spans="2:18">
      <c r="B42" s="757"/>
      <c r="C42" s="757"/>
      <c r="D42" s="757"/>
      <c r="E42" s="757"/>
      <c r="F42" s="757"/>
      <c r="G42" s="757"/>
      <c r="H42" s="757"/>
      <c r="I42" s="757"/>
      <c r="J42" s="757"/>
      <c r="K42" s="757"/>
      <c r="L42" s="757"/>
      <c r="M42" s="757"/>
      <c r="N42" s="757"/>
      <c r="O42" s="757"/>
      <c r="P42" s="757"/>
      <c r="Q42" s="757"/>
      <c r="R42" s="757"/>
    </row>
    <row r="43" spans="2:18">
      <c r="B43" s="757" t="s">
        <v>296</v>
      </c>
      <c r="C43" s="760"/>
      <c r="D43" s="756">
        <f>'Cashflow '!F79</f>
        <v>51.722457367151307</v>
      </c>
      <c r="E43" s="756">
        <f>'Cashflow '!G79</f>
        <v>76.294611560704396</v>
      </c>
      <c r="F43" s="756">
        <f>'Cashflow '!H79</f>
        <v>69.467460876784344</v>
      </c>
      <c r="G43" s="756">
        <f>'Cashflow '!I79</f>
        <v>59.48057873184176</v>
      </c>
      <c r="H43" s="756">
        <f>'Cashflow '!J79</f>
        <v>58.937332374848069</v>
      </c>
      <c r="I43" s="756">
        <f>'Cashflow '!K79</f>
        <v>58.435880304079284</v>
      </c>
      <c r="J43" s="756">
        <f>'Cashflow '!L79</f>
        <v>58.154400729831821</v>
      </c>
      <c r="K43" s="756">
        <f>'Cashflow '!M79</f>
        <v>57.960608382501832</v>
      </c>
      <c r="L43" s="756">
        <f>'Cashflow '!N79</f>
        <v>57.661737477568536</v>
      </c>
      <c r="M43" s="756">
        <f>'Cashflow '!O79</f>
        <v>58.148247787279082</v>
      </c>
      <c r="N43" s="756">
        <f>'Cashflow '!P79</f>
        <v>55.565543165162218</v>
      </c>
      <c r="O43" s="756">
        <f>'Cashflow '!Q79</f>
        <v>53.005334079210904</v>
      </c>
      <c r="P43" s="756">
        <f>'Cashflow '!R79</f>
        <v>50.655363783643637</v>
      </c>
      <c r="Q43" s="756">
        <f>'Cashflow '!S79</f>
        <v>48.382438423768527</v>
      </c>
      <c r="R43" s="756">
        <f>'Cashflow '!T79</f>
        <v>46.161477342006066</v>
      </c>
    </row>
    <row r="44" spans="2:18">
      <c r="B44" s="757" t="s">
        <v>616</v>
      </c>
      <c r="C44" s="757"/>
      <c r="D44" s="756">
        <f t="shared" ref="D44:R44" si="9">+D8</f>
        <v>20.826821021628508</v>
      </c>
      <c r="E44" s="756">
        <f t="shared" si="9"/>
        <v>20.826821021628508</v>
      </c>
      <c r="F44" s="756">
        <f t="shared" si="9"/>
        <v>20.826821021628508</v>
      </c>
      <c r="G44" s="756">
        <f t="shared" si="9"/>
        <v>20.826821021628508</v>
      </c>
      <c r="H44" s="756">
        <f t="shared" si="9"/>
        <v>20.826821021628508</v>
      </c>
      <c r="I44" s="756">
        <f t="shared" si="9"/>
        <v>20.826821021628508</v>
      </c>
      <c r="J44" s="756">
        <f t="shared" si="9"/>
        <v>20.826821021628508</v>
      </c>
      <c r="K44" s="756">
        <f t="shared" si="9"/>
        <v>20.826821021628508</v>
      </c>
      <c r="L44" s="756">
        <f t="shared" si="9"/>
        <v>20.826821021628508</v>
      </c>
      <c r="M44" s="756">
        <f t="shared" si="9"/>
        <v>20.826821021628508</v>
      </c>
      <c r="N44" s="756">
        <f t="shared" si="9"/>
        <v>20.826821021628508</v>
      </c>
      <c r="O44" s="756">
        <f t="shared" si="9"/>
        <v>20.826821021628508</v>
      </c>
      <c r="P44" s="756">
        <f t="shared" si="9"/>
        <v>20.826821021628508</v>
      </c>
      <c r="Q44" s="756">
        <f t="shared" si="9"/>
        <v>20.826821021628508</v>
      </c>
      <c r="R44" s="756">
        <f t="shared" si="9"/>
        <v>20.826821021628508</v>
      </c>
    </row>
    <row r="45" spans="2:18">
      <c r="B45" s="758" t="s">
        <v>613</v>
      </c>
      <c r="C45" s="757"/>
      <c r="D45" s="756">
        <f t="shared" ref="D45:R45" si="10">D23*(1-D10)</f>
        <v>34.473970910643125</v>
      </c>
      <c r="E45" s="756">
        <f t="shared" si="10"/>
        <v>37.318073510771185</v>
      </c>
      <c r="F45" s="756">
        <f t="shared" si="10"/>
        <v>26.760876165082617</v>
      </c>
      <c r="G45" s="756">
        <f t="shared" si="10"/>
        <v>19.381681843250991</v>
      </c>
      <c r="H45" s="756">
        <f t="shared" si="10"/>
        <v>15.701748426280668</v>
      </c>
      <c r="I45" s="756">
        <f t="shared" si="10"/>
        <v>12.265949679352373</v>
      </c>
      <c r="J45" s="756">
        <f t="shared" si="10"/>
        <v>9.016354358442193</v>
      </c>
      <c r="K45" s="756">
        <f t="shared" si="10"/>
        <v>5.9100293648711517</v>
      </c>
      <c r="L45" s="756">
        <f t="shared" si="10"/>
        <v>2.9128830724936194</v>
      </c>
      <c r="M45" s="756">
        <f t="shared" si="10"/>
        <v>-3.8598029172428653E-15</v>
      </c>
      <c r="N45" s="756">
        <f t="shared" si="10"/>
        <v>-3.810755437990027E-15</v>
      </c>
      <c r="O45" s="756">
        <f t="shared" si="10"/>
        <v>-3.7644648563736912E-15</v>
      </c>
      <c r="P45" s="756">
        <f t="shared" si="10"/>
        <v>-3.7213213244251682E-15</v>
      </c>
      <c r="Q45" s="756">
        <f t="shared" si="10"/>
        <v>-3.6802198404038208E-15</v>
      </c>
      <c r="R45" s="756">
        <f t="shared" si="10"/>
        <v>-3.6405067225286308E-15</v>
      </c>
    </row>
    <row r="46" spans="2:18">
      <c r="B46" s="757" t="s">
        <v>612</v>
      </c>
      <c r="C46" s="757"/>
      <c r="D46" s="756">
        <f t="shared" ref="D46:R46" si="11">+D43+D44+D45</f>
        <v>107.02324929942293</v>
      </c>
      <c r="E46" s="756">
        <f t="shared" si="11"/>
        <v>134.43950609310409</v>
      </c>
      <c r="F46" s="756">
        <f t="shared" si="11"/>
        <v>117.05515806349547</v>
      </c>
      <c r="G46" s="756">
        <f t="shared" si="11"/>
        <v>99.689081596721252</v>
      </c>
      <c r="H46" s="756">
        <f t="shared" si="11"/>
        <v>95.465901822757246</v>
      </c>
      <c r="I46" s="756">
        <f t="shared" si="11"/>
        <v>91.528651005060169</v>
      </c>
      <c r="J46" s="756">
        <f t="shared" si="11"/>
        <v>87.997576109902525</v>
      </c>
      <c r="K46" s="756">
        <f t="shared" si="11"/>
        <v>84.697458769001486</v>
      </c>
      <c r="L46" s="756">
        <f t="shared" si="11"/>
        <v>81.401441571690654</v>
      </c>
      <c r="M46" s="756">
        <f t="shared" si="11"/>
        <v>78.975068808907594</v>
      </c>
      <c r="N46" s="756">
        <f t="shared" si="11"/>
        <v>76.392364186790729</v>
      </c>
      <c r="O46" s="756">
        <f t="shared" si="11"/>
        <v>73.832155100839415</v>
      </c>
      <c r="P46" s="756">
        <f t="shared" si="11"/>
        <v>71.482184805272141</v>
      </c>
      <c r="Q46" s="756">
        <f t="shared" si="11"/>
        <v>69.209259445397038</v>
      </c>
      <c r="R46" s="756">
        <f t="shared" si="11"/>
        <v>66.98829836363457</v>
      </c>
    </row>
    <row r="47" spans="2:18">
      <c r="B47" s="757" t="s">
        <v>611</v>
      </c>
      <c r="C47" s="757"/>
      <c r="D47" s="756">
        <f>C41-D46</f>
        <v>345.31703567962177</v>
      </c>
      <c r="E47" s="756">
        <f t="shared" ref="E47:R47" si="12">D47-E46</f>
        <v>210.87752958651768</v>
      </c>
      <c r="F47" s="756">
        <f t="shared" si="12"/>
        <v>93.822371523022213</v>
      </c>
      <c r="G47" s="756">
        <f t="shared" si="12"/>
        <v>-5.8667100736990392</v>
      </c>
      <c r="H47" s="756">
        <f t="shared" si="12"/>
        <v>-101.33261189645629</v>
      </c>
      <c r="I47" s="756">
        <f t="shared" si="12"/>
        <v>-192.86126290151645</v>
      </c>
      <c r="J47" s="756">
        <f t="shared" si="12"/>
        <v>-280.85883901141898</v>
      </c>
      <c r="K47" s="756">
        <f t="shared" si="12"/>
        <v>-365.55629778042044</v>
      </c>
      <c r="L47" s="756">
        <f t="shared" si="12"/>
        <v>-446.9577393521111</v>
      </c>
      <c r="M47" s="756">
        <f t="shared" si="12"/>
        <v>-525.93280816101867</v>
      </c>
      <c r="N47" s="756">
        <f t="shared" si="12"/>
        <v>-602.32517234780937</v>
      </c>
      <c r="O47" s="756">
        <f t="shared" si="12"/>
        <v>-676.15732744864874</v>
      </c>
      <c r="P47" s="756">
        <f t="shared" si="12"/>
        <v>-747.63951225392088</v>
      </c>
      <c r="Q47" s="756">
        <f t="shared" si="12"/>
        <v>-816.84877169931792</v>
      </c>
      <c r="R47" s="756">
        <f t="shared" si="12"/>
        <v>-883.83707006295253</v>
      </c>
    </row>
    <row r="49" spans="2:18">
      <c r="B49" s="762" t="s">
        <v>610</v>
      </c>
      <c r="C49" s="755" t="s">
        <v>619</v>
      </c>
    </row>
    <row r="51" spans="2:18">
      <c r="B51" s="755" t="s">
        <v>618</v>
      </c>
    </row>
    <row r="52" spans="2:18">
      <c r="B52" s="757" t="s">
        <v>617</v>
      </c>
      <c r="C52" s="761">
        <f>+C41</f>
        <v>452.34028497904467</v>
      </c>
      <c r="D52" s="757"/>
      <c r="E52" s="757"/>
      <c r="F52" s="757"/>
      <c r="G52" s="757"/>
      <c r="H52" s="757"/>
      <c r="I52" s="757"/>
      <c r="J52" s="757"/>
      <c r="K52" s="757"/>
      <c r="L52" s="757"/>
      <c r="M52" s="757"/>
      <c r="N52" s="757"/>
      <c r="O52" s="757"/>
      <c r="P52" s="757"/>
      <c r="Q52" s="757"/>
      <c r="R52" s="757"/>
    </row>
    <row r="53" spans="2:18">
      <c r="B53" s="757"/>
      <c r="C53" s="757"/>
      <c r="D53" s="757"/>
      <c r="E53" s="757"/>
      <c r="F53" s="757"/>
      <c r="G53" s="757"/>
      <c r="H53" s="757"/>
      <c r="I53" s="757"/>
      <c r="J53" s="757"/>
      <c r="K53" s="757"/>
      <c r="L53" s="757"/>
      <c r="M53" s="757"/>
      <c r="N53" s="757"/>
      <c r="O53" s="757"/>
      <c r="P53" s="757"/>
      <c r="Q53" s="757"/>
      <c r="R53" s="757"/>
    </row>
    <row r="54" spans="2:18">
      <c r="B54" s="757" t="s">
        <v>296</v>
      </c>
      <c r="C54" s="760"/>
      <c r="D54" s="756">
        <f t="shared" ref="D54:R54" si="13">+D43</f>
        <v>51.722457367151307</v>
      </c>
      <c r="E54" s="756">
        <f t="shared" si="13"/>
        <v>76.294611560704396</v>
      </c>
      <c r="F54" s="756">
        <f t="shared" si="13"/>
        <v>69.467460876784344</v>
      </c>
      <c r="G54" s="756">
        <f t="shared" si="13"/>
        <v>59.48057873184176</v>
      </c>
      <c r="H54" s="756">
        <f t="shared" si="13"/>
        <v>58.937332374848069</v>
      </c>
      <c r="I54" s="756">
        <f t="shared" si="13"/>
        <v>58.435880304079284</v>
      </c>
      <c r="J54" s="756">
        <f t="shared" si="13"/>
        <v>58.154400729831821</v>
      </c>
      <c r="K54" s="756">
        <f t="shared" si="13"/>
        <v>57.960608382501832</v>
      </c>
      <c r="L54" s="756">
        <f t="shared" si="13"/>
        <v>57.661737477568536</v>
      </c>
      <c r="M54" s="756">
        <f t="shared" si="13"/>
        <v>58.148247787279082</v>
      </c>
      <c r="N54" s="756">
        <f t="shared" si="13"/>
        <v>55.565543165162218</v>
      </c>
      <c r="O54" s="756">
        <f t="shared" si="13"/>
        <v>53.005334079210904</v>
      </c>
      <c r="P54" s="756">
        <f t="shared" si="13"/>
        <v>50.655363783643637</v>
      </c>
      <c r="Q54" s="756">
        <f t="shared" si="13"/>
        <v>48.382438423768527</v>
      </c>
      <c r="R54" s="756">
        <f t="shared" si="13"/>
        <v>46.161477342006066</v>
      </c>
    </row>
    <row r="55" spans="2:18">
      <c r="B55" s="757" t="s">
        <v>616</v>
      </c>
      <c r="C55" s="757"/>
      <c r="D55" s="756">
        <f t="shared" ref="D55:R55" si="14">+D44</f>
        <v>20.826821021628508</v>
      </c>
      <c r="E55" s="756">
        <f t="shared" si="14"/>
        <v>20.826821021628508</v>
      </c>
      <c r="F55" s="756">
        <f t="shared" si="14"/>
        <v>20.826821021628508</v>
      </c>
      <c r="G55" s="756">
        <f t="shared" si="14"/>
        <v>20.826821021628508</v>
      </c>
      <c r="H55" s="756">
        <f t="shared" si="14"/>
        <v>20.826821021628508</v>
      </c>
      <c r="I55" s="756">
        <f t="shared" si="14"/>
        <v>20.826821021628508</v>
      </c>
      <c r="J55" s="756">
        <f t="shared" si="14"/>
        <v>20.826821021628508</v>
      </c>
      <c r="K55" s="756">
        <f t="shared" si="14"/>
        <v>20.826821021628508</v>
      </c>
      <c r="L55" s="756">
        <f t="shared" si="14"/>
        <v>20.826821021628508</v>
      </c>
      <c r="M55" s="756">
        <f t="shared" si="14"/>
        <v>20.826821021628508</v>
      </c>
      <c r="N55" s="756">
        <f t="shared" si="14"/>
        <v>20.826821021628508</v>
      </c>
      <c r="O55" s="756">
        <f t="shared" si="14"/>
        <v>20.826821021628508</v>
      </c>
      <c r="P55" s="756">
        <f t="shared" si="14"/>
        <v>20.826821021628508</v>
      </c>
      <c r="Q55" s="756">
        <f t="shared" si="14"/>
        <v>20.826821021628508</v>
      </c>
      <c r="R55" s="756">
        <f t="shared" si="14"/>
        <v>20.826821021628508</v>
      </c>
    </row>
    <row r="56" spans="2:18">
      <c r="B56" s="757" t="s">
        <v>615</v>
      </c>
      <c r="C56" s="757"/>
      <c r="D56" s="756">
        <f t="shared" ref="D56:R56" si="15">+D28</f>
        <v>0</v>
      </c>
      <c r="E56" s="756">
        <f t="shared" si="15"/>
        <v>0</v>
      </c>
      <c r="F56" s="756">
        <f t="shared" si="15"/>
        <v>15.295938541182704</v>
      </c>
      <c r="G56" s="756">
        <f t="shared" si="15"/>
        <v>26.413693532423277</v>
      </c>
      <c r="H56" s="756">
        <f t="shared" si="15"/>
        <v>28.609753241906436</v>
      </c>
      <c r="I56" s="756">
        <f t="shared" si="15"/>
        <v>30.457133847328656</v>
      </c>
      <c r="J56" s="756">
        <f t="shared" si="15"/>
        <v>32.107005729532929</v>
      </c>
      <c r="K56" s="756">
        <f t="shared" si="15"/>
        <v>33.535478642201937</v>
      </c>
      <c r="L56" s="756">
        <f t="shared" si="15"/>
        <v>34.679119690128644</v>
      </c>
      <c r="M56" s="756">
        <f t="shared" si="15"/>
        <v>36.05033704852324</v>
      </c>
      <c r="N56" s="756">
        <f t="shared" si="15"/>
        <v>35.60769125879083</v>
      </c>
      <c r="O56" s="756">
        <f t="shared" si="15"/>
        <v>35.036525097726177</v>
      </c>
      <c r="P56" s="756">
        <f t="shared" si="15"/>
        <v>34.458664032794616</v>
      </c>
      <c r="Q56" s="756">
        <f t="shared" si="15"/>
        <v>33.820409919675178</v>
      </c>
      <c r="R56" s="756">
        <f t="shared" si="15"/>
        <v>33.123469259028113</v>
      </c>
    </row>
    <row r="57" spans="2:18" ht="30">
      <c r="B57" s="759" t="s">
        <v>614</v>
      </c>
      <c r="C57" s="757"/>
      <c r="D57" s="756">
        <f>'Cashflow '!C143*'Cashflow '!$C$65</f>
        <v>-27.740870520103268</v>
      </c>
      <c r="E57" s="756">
        <f>'Cashflow '!D143*'Cashflow '!$C$65</f>
        <v>18.920662549355743</v>
      </c>
      <c r="F57" s="756">
        <f>'Cashflow '!E143*'Cashflow '!$C$65</f>
        <v>24.116146511930225</v>
      </c>
      <c r="G57" s="756">
        <f>'Cashflow '!F143*'Cashflow '!$C$65</f>
        <v>26.413693532423277</v>
      </c>
      <c r="H57" s="756">
        <f>'Cashflow '!G143*'Cashflow '!$C$65</f>
        <v>28.609753241906436</v>
      </c>
      <c r="I57" s="756">
        <f>'Cashflow '!H143*'Cashflow '!$C$65</f>
        <v>30.457133847328656</v>
      </c>
      <c r="J57" s="756">
        <f>'Cashflow '!I143*'Cashflow '!$C$65</f>
        <v>32.107005729532929</v>
      </c>
      <c r="K57" s="756">
        <f>'Cashflow '!J143*'Cashflow '!$C$65</f>
        <v>33.535478642201937</v>
      </c>
      <c r="L57" s="756">
        <f>'Cashflow '!K143*'Cashflow '!$C$65</f>
        <v>34.679119690128644</v>
      </c>
      <c r="M57" s="756">
        <f>'Cashflow '!L143*'Cashflow '!$C$65</f>
        <v>36.05033704852324</v>
      </c>
      <c r="N57" s="756">
        <f>'Cashflow '!M143*'Cashflow '!$C$65</f>
        <v>35.60769125879083</v>
      </c>
      <c r="O57" s="756">
        <f>'Cashflow '!N143*'Cashflow '!$C$65</f>
        <v>35.036525097726177</v>
      </c>
      <c r="P57" s="756">
        <f>'Cashflow '!O143*'Cashflow '!$C$65</f>
        <v>34.458664032794616</v>
      </c>
      <c r="Q57" s="756">
        <f>'Cashflow '!P143*'Cashflow '!$C$65</f>
        <v>33.820409919675178</v>
      </c>
      <c r="R57" s="756">
        <f>'Cashflow '!Q143*'Cashflow '!$C$65</f>
        <v>33.123469259028113</v>
      </c>
    </row>
    <row r="58" spans="2:18">
      <c r="B58" s="758" t="s">
        <v>613</v>
      </c>
      <c r="C58" s="757"/>
      <c r="D58" s="756">
        <f t="shared" ref="D58:R58" si="16">+D45</f>
        <v>34.473970910643125</v>
      </c>
      <c r="E58" s="756">
        <f t="shared" si="16"/>
        <v>37.318073510771185</v>
      </c>
      <c r="F58" s="756">
        <f t="shared" si="16"/>
        <v>26.760876165082617</v>
      </c>
      <c r="G58" s="756">
        <f t="shared" si="16"/>
        <v>19.381681843250991</v>
      </c>
      <c r="H58" s="756">
        <f t="shared" si="16"/>
        <v>15.701748426280668</v>
      </c>
      <c r="I58" s="756">
        <f t="shared" si="16"/>
        <v>12.265949679352373</v>
      </c>
      <c r="J58" s="756">
        <f t="shared" si="16"/>
        <v>9.016354358442193</v>
      </c>
      <c r="K58" s="756">
        <f t="shared" si="16"/>
        <v>5.9100293648711517</v>
      </c>
      <c r="L58" s="756">
        <f t="shared" si="16"/>
        <v>2.9128830724936194</v>
      </c>
      <c r="M58" s="756">
        <f t="shared" si="16"/>
        <v>-3.8598029172428653E-15</v>
      </c>
      <c r="N58" s="756">
        <f t="shared" si="16"/>
        <v>-3.810755437990027E-15</v>
      </c>
      <c r="O58" s="756">
        <f t="shared" si="16"/>
        <v>-3.7644648563736912E-15</v>
      </c>
      <c r="P58" s="756">
        <f t="shared" si="16"/>
        <v>-3.7213213244251682E-15</v>
      </c>
      <c r="Q58" s="756">
        <f t="shared" si="16"/>
        <v>-3.6802198404038208E-15</v>
      </c>
      <c r="R58" s="756">
        <f t="shared" si="16"/>
        <v>-3.6405067225286308E-15</v>
      </c>
    </row>
    <row r="59" spans="2:18">
      <c r="B59" s="757" t="s">
        <v>612</v>
      </c>
      <c r="C59" s="757"/>
      <c r="D59" s="756">
        <f t="shared" ref="D59:R59" si="17">+D54+D55+D58+D56-D57</f>
        <v>134.7641198195262</v>
      </c>
      <c r="E59" s="756">
        <f t="shared" si="17"/>
        <v>115.51884354374835</v>
      </c>
      <c r="F59" s="756">
        <f t="shared" si="17"/>
        <v>108.23495009274794</v>
      </c>
      <c r="G59" s="756">
        <f t="shared" si="17"/>
        <v>99.689081596721252</v>
      </c>
      <c r="H59" s="756">
        <f t="shared" si="17"/>
        <v>95.465901822757246</v>
      </c>
      <c r="I59" s="756">
        <f t="shared" si="17"/>
        <v>91.528651005060169</v>
      </c>
      <c r="J59" s="756">
        <f t="shared" si="17"/>
        <v>87.997576109902525</v>
      </c>
      <c r="K59" s="756">
        <f t="shared" si="17"/>
        <v>84.697458769001486</v>
      </c>
      <c r="L59" s="756">
        <f t="shared" si="17"/>
        <v>81.401441571690654</v>
      </c>
      <c r="M59" s="756">
        <f t="shared" si="17"/>
        <v>78.975068808907594</v>
      </c>
      <c r="N59" s="756">
        <f t="shared" si="17"/>
        <v>76.392364186790729</v>
      </c>
      <c r="O59" s="756">
        <f t="shared" si="17"/>
        <v>73.832155100839401</v>
      </c>
      <c r="P59" s="756">
        <f t="shared" si="17"/>
        <v>71.482184805272141</v>
      </c>
      <c r="Q59" s="756">
        <f t="shared" si="17"/>
        <v>69.209259445397038</v>
      </c>
      <c r="R59" s="756">
        <f t="shared" si="17"/>
        <v>66.98829836363457</v>
      </c>
    </row>
    <row r="60" spans="2:18">
      <c r="B60" s="757" t="s">
        <v>611</v>
      </c>
      <c r="C60" s="757"/>
      <c r="D60" s="756">
        <f>C52-D59</f>
        <v>317.5761651595185</v>
      </c>
      <c r="E60" s="756">
        <f t="shared" ref="E60:R60" si="18">D60-E59</f>
        <v>202.05732161577015</v>
      </c>
      <c r="F60" s="756">
        <f t="shared" si="18"/>
        <v>93.822371523022213</v>
      </c>
      <c r="G60" s="756">
        <f t="shared" si="18"/>
        <v>-5.8667100736990392</v>
      </c>
      <c r="H60" s="756">
        <f t="shared" si="18"/>
        <v>-101.33261189645629</v>
      </c>
      <c r="I60" s="756">
        <f t="shared" si="18"/>
        <v>-192.86126290151645</v>
      </c>
      <c r="J60" s="756">
        <f t="shared" si="18"/>
        <v>-280.85883901141898</v>
      </c>
      <c r="K60" s="756">
        <f t="shared" si="18"/>
        <v>-365.55629778042044</v>
      </c>
      <c r="L60" s="756">
        <f t="shared" si="18"/>
        <v>-446.9577393521111</v>
      </c>
      <c r="M60" s="756">
        <f t="shared" si="18"/>
        <v>-525.93280816101867</v>
      </c>
      <c r="N60" s="756">
        <f t="shared" si="18"/>
        <v>-602.32517234780937</v>
      </c>
      <c r="O60" s="756">
        <f t="shared" si="18"/>
        <v>-676.15732744864874</v>
      </c>
      <c r="P60" s="756">
        <f t="shared" si="18"/>
        <v>-747.63951225392088</v>
      </c>
      <c r="Q60" s="756">
        <f t="shared" si="18"/>
        <v>-816.84877169931792</v>
      </c>
      <c r="R60" s="756">
        <f t="shared" si="18"/>
        <v>-883.83707006295253</v>
      </c>
    </row>
    <row r="62" spans="2:18">
      <c r="B62" s="755" t="s">
        <v>610</v>
      </c>
      <c r="C62" s="755" t="s">
        <v>609</v>
      </c>
    </row>
  </sheetData>
  <pageMargins left="0" right="0" top="0.74803149606299213" bottom="0.74803149606299213" header="0.31496062992125984" footer="0.31496062992125984"/>
  <pageSetup scale="70" orientation="landscape"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789BB-F902-4D0D-902E-AEBD4E3788A3}">
  <dimension ref="A1:AP92"/>
  <sheetViews>
    <sheetView showGridLines="0" zoomScale="85" zoomScaleNormal="85" workbookViewId="0">
      <selection activeCell="B89" sqref="B89"/>
    </sheetView>
  </sheetViews>
  <sheetFormatPr defaultColWidth="9.140625" defaultRowHeight="12.75"/>
  <cols>
    <col min="1" max="1" width="34.85546875" style="320" bestFit="1" customWidth="1"/>
    <col min="2" max="2" width="70" style="320" customWidth="1"/>
    <col min="3" max="3" width="40.7109375" style="320" customWidth="1"/>
    <col min="4" max="4" width="25" style="320" bestFit="1" customWidth="1"/>
    <col min="5" max="5" width="20" style="320" bestFit="1" customWidth="1"/>
    <col min="6" max="6" width="25.7109375" style="320" customWidth="1"/>
    <col min="7" max="7" width="11.140625" style="320" bestFit="1" customWidth="1"/>
    <col min="8" max="8" width="26.5703125" style="320" bestFit="1" customWidth="1"/>
    <col min="9" max="9" width="20.5703125" style="320" customWidth="1"/>
    <col min="10" max="10" width="30.7109375" style="321" bestFit="1" customWidth="1"/>
    <col min="11" max="19" width="9.140625" style="321"/>
    <col min="20" max="23" width="9.140625" style="383"/>
    <col min="24" max="16384" width="9.140625" style="321"/>
  </cols>
  <sheetData>
    <row r="1" spans="1:41">
      <c r="A1" s="813" t="s">
        <v>252</v>
      </c>
      <c r="B1" s="813"/>
      <c r="C1" s="813"/>
      <c r="D1" s="813"/>
      <c r="E1" s="813"/>
      <c r="F1" s="321"/>
      <c r="G1" s="321"/>
      <c r="H1" s="321"/>
      <c r="I1" s="321"/>
    </row>
    <row r="2" spans="1:41" ht="38.25" customHeight="1">
      <c r="A2" s="241" t="s">
        <v>261</v>
      </c>
      <c r="B2" s="155" t="s">
        <v>259</v>
      </c>
      <c r="C2" s="155" t="s">
        <v>253</v>
      </c>
      <c r="D2" s="155" t="s">
        <v>262</v>
      </c>
      <c r="E2" s="242" t="s">
        <v>71</v>
      </c>
      <c r="F2" s="321"/>
      <c r="G2" s="321"/>
      <c r="H2" s="321"/>
      <c r="I2" s="321"/>
    </row>
    <row r="3" spans="1:41" ht="38.25" customHeight="1">
      <c r="A3" s="820" t="s">
        <v>188</v>
      </c>
      <c r="B3" s="831">
        <v>82500</v>
      </c>
      <c r="C3" s="258" t="s">
        <v>190</v>
      </c>
      <c r="D3" s="258">
        <f>Norms!$D$3*100000</f>
        <v>28749.999999999996</v>
      </c>
      <c r="E3" s="243" t="s">
        <v>72</v>
      </c>
      <c r="F3" s="321"/>
      <c r="G3" s="321"/>
      <c r="H3" s="321"/>
      <c r="I3" s="321"/>
    </row>
    <row r="4" spans="1:41" ht="38.25" customHeight="1">
      <c r="A4" s="820"/>
      <c r="B4" s="831"/>
      <c r="C4" s="258" t="s">
        <v>260</v>
      </c>
      <c r="D4" s="258">
        <f>Norms!$D$4*100000</f>
        <v>27.999999999999996</v>
      </c>
      <c r="E4" s="243" t="s">
        <v>254</v>
      </c>
      <c r="F4" s="321"/>
      <c r="G4" s="321"/>
      <c r="H4" s="321"/>
      <c r="I4" s="321"/>
    </row>
    <row r="5" spans="1:41" ht="38.25" customHeight="1">
      <c r="A5" s="820" t="s">
        <v>232</v>
      </c>
      <c r="B5" s="831">
        <v>100000</v>
      </c>
      <c r="C5" s="258" t="s">
        <v>242</v>
      </c>
      <c r="D5" s="258">
        <f>Norms!$D$5*100000</f>
        <v>74700</v>
      </c>
      <c r="E5" s="243" t="s">
        <v>72</v>
      </c>
      <c r="F5" s="321"/>
      <c r="G5" s="321"/>
      <c r="H5" s="321"/>
      <c r="I5" s="321"/>
    </row>
    <row r="6" spans="1:41" ht="38.25" customHeight="1">
      <c r="A6" s="819"/>
      <c r="B6" s="832"/>
      <c r="C6" s="260" t="s">
        <v>190</v>
      </c>
      <c r="D6" s="260">
        <f>Norms!$D$6*100000</f>
        <v>21300</v>
      </c>
      <c r="E6" s="244" t="s">
        <v>72</v>
      </c>
      <c r="F6" s="321"/>
      <c r="G6" s="321"/>
      <c r="H6" s="321"/>
      <c r="I6" s="321"/>
    </row>
    <row r="7" spans="1:41">
      <c r="A7" s="817" t="s">
        <v>281</v>
      </c>
      <c r="B7" s="817"/>
      <c r="C7" s="817"/>
      <c r="D7" s="321"/>
      <c r="E7" s="321"/>
      <c r="F7" s="321"/>
      <c r="G7" s="321"/>
      <c r="H7" s="321"/>
      <c r="I7" s="321"/>
    </row>
    <row r="8" spans="1:41" s="323" customFormat="1">
      <c r="A8" s="271" t="s">
        <v>133</v>
      </c>
      <c r="B8" s="272" t="s">
        <v>1</v>
      </c>
      <c r="C8" s="347" t="s">
        <v>276</v>
      </c>
      <c r="D8" s="396" t="s">
        <v>335</v>
      </c>
      <c r="E8" s="321"/>
      <c r="F8" s="321"/>
      <c r="G8" s="321"/>
      <c r="H8" s="321"/>
      <c r="I8" s="321"/>
      <c r="J8" s="321"/>
      <c r="K8" s="322"/>
      <c r="L8" s="322"/>
      <c r="M8" s="322"/>
      <c r="N8" s="322"/>
      <c r="O8" s="322"/>
      <c r="P8" s="322"/>
      <c r="Q8" s="322"/>
      <c r="R8" s="322"/>
      <c r="S8" s="322"/>
      <c r="T8" s="384"/>
      <c r="U8" s="384"/>
      <c r="V8" s="384"/>
      <c r="W8" s="384"/>
      <c r="X8" s="322"/>
      <c r="Y8" s="322"/>
      <c r="Z8" s="322"/>
      <c r="AA8" s="322"/>
      <c r="AB8" s="322"/>
      <c r="AC8" s="322"/>
      <c r="AD8" s="322"/>
      <c r="AE8" s="322"/>
      <c r="AF8" s="322"/>
      <c r="AG8" s="322"/>
      <c r="AH8" s="322"/>
      <c r="AI8" s="322"/>
      <c r="AJ8" s="322"/>
      <c r="AK8" s="322"/>
      <c r="AL8" s="322"/>
      <c r="AM8" s="322"/>
      <c r="AN8" s="322"/>
      <c r="AO8" s="322"/>
    </row>
    <row r="9" spans="1:41" s="323" customFormat="1" ht="12.75" hidden="1" customHeight="1">
      <c r="A9" s="818" t="s">
        <v>136</v>
      </c>
      <c r="B9" s="28" t="s">
        <v>0</v>
      </c>
      <c r="C9" s="277" t="e">
        <v>#DIV/0!</v>
      </c>
      <c r="D9" s="321"/>
      <c r="E9" s="321"/>
      <c r="F9" s="321"/>
      <c r="G9" s="321"/>
      <c r="H9" s="321"/>
      <c r="I9" s="321"/>
      <c r="J9" s="321"/>
      <c r="K9" s="322"/>
      <c r="L9" s="322"/>
      <c r="M9" s="322"/>
      <c r="N9" s="322"/>
      <c r="O9" s="322"/>
      <c r="P9" s="322"/>
      <c r="Q9" s="322"/>
      <c r="R9" s="322"/>
      <c r="S9" s="322"/>
      <c r="T9" s="384"/>
      <c r="U9" s="384"/>
      <c r="V9" s="384"/>
      <c r="W9" s="384"/>
      <c r="X9" s="322"/>
      <c r="Y9" s="322"/>
      <c r="Z9" s="322"/>
      <c r="AA9" s="322"/>
      <c r="AB9" s="322"/>
      <c r="AC9" s="322"/>
      <c r="AD9" s="322"/>
      <c r="AE9" s="322"/>
      <c r="AF9" s="322"/>
      <c r="AG9" s="322"/>
      <c r="AH9" s="322"/>
      <c r="AI9" s="322"/>
      <c r="AJ9" s="322"/>
      <c r="AK9" s="322"/>
      <c r="AL9" s="322"/>
      <c r="AM9" s="322"/>
      <c r="AN9" s="322"/>
      <c r="AO9" s="322"/>
    </row>
    <row r="10" spans="1:41" s="323" customFormat="1" ht="12.75" hidden="1" customHeight="1">
      <c r="A10" s="820"/>
      <c r="B10" s="279" t="s">
        <v>189</v>
      </c>
      <c r="C10" s="277" t="e">
        <v>#DIV/0!</v>
      </c>
      <c r="D10" s="321"/>
      <c r="E10" s="321"/>
      <c r="F10" s="321"/>
      <c r="G10" s="321"/>
      <c r="H10" s="321"/>
      <c r="I10" s="321"/>
      <c r="J10" s="321"/>
      <c r="K10" s="322"/>
      <c r="L10" s="322"/>
      <c r="M10" s="322"/>
      <c r="N10" s="322"/>
      <c r="O10" s="322"/>
      <c r="P10" s="322"/>
      <c r="Q10" s="322"/>
      <c r="R10" s="322"/>
      <c r="S10" s="322"/>
      <c r="T10" s="384"/>
      <c r="U10" s="384"/>
      <c r="V10" s="384"/>
      <c r="W10" s="384"/>
      <c r="X10" s="322"/>
      <c r="Y10" s="322"/>
      <c r="Z10" s="322"/>
      <c r="AA10" s="322"/>
      <c r="AB10" s="322"/>
      <c r="AC10" s="322"/>
      <c r="AD10" s="322"/>
      <c r="AE10" s="322"/>
      <c r="AF10" s="322"/>
      <c r="AG10" s="322"/>
      <c r="AH10" s="322"/>
      <c r="AI10" s="322"/>
      <c r="AJ10" s="322"/>
      <c r="AK10" s="322"/>
      <c r="AL10" s="322"/>
      <c r="AM10" s="322"/>
      <c r="AN10" s="322"/>
      <c r="AO10" s="322"/>
    </row>
    <row r="11" spans="1:41" s="323" customFormat="1">
      <c r="A11" s="818" t="s">
        <v>140</v>
      </c>
      <c r="B11" s="283" t="s">
        <v>301</v>
      </c>
      <c r="C11" s="277">
        <v>26536.75</v>
      </c>
      <c r="D11" s="321"/>
      <c r="E11" s="321"/>
      <c r="F11" s="321"/>
      <c r="G11" s="321"/>
      <c r="H11" s="321"/>
      <c r="I11" s="321"/>
      <c r="J11" s="321"/>
      <c r="K11" s="322"/>
      <c r="L11" s="322"/>
      <c r="M11" s="322"/>
      <c r="N11" s="322"/>
      <c r="O11" s="322"/>
      <c r="P11" s="322"/>
      <c r="Q11" s="322"/>
      <c r="R11" s="322"/>
      <c r="S11" s="322"/>
      <c r="T11" s="384"/>
      <c r="U11" s="384"/>
      <c r="V11" s="384"/>
      <c r="W11" s="384"/>
      <c r="X11" s="322"/>
      <c r="Y11" s="322"/>
      <c r="Z11" s="322"/>
      <c r="AA11" s="322"/>
      <c r="AB11" s="322"/>
      <c r="AC11" s="322"/>
      <c r="AD11" s="322"/>
      <c r="AE11" s="322"/>
      <c r="AF11" s="322"/>
      <c r="AG11" s="322"/>
      <c r="AH11" s="322"/>
      <c r="AI11" s="322"/>
      <c r="AJ11" s="322"/>
      <c r="AK11" s="322"/>
      <c r="AL11" s="322"/>
      <c r="AM11" s="322"/>
      <c r="AN11" s="322"/>
      <c r="AO11" s="322"/>
    </row>
    <row r="12" spans="1:41" s="323" customFormat="1">
      <c r="A12" s="820"/>
      <c r="B12" s="286" t="s">
        <v>302</v>
      </c>
      <c r="C12" s="287">
        <v>10335.608065151127</v>
      </c>
      <c r="D12" s="321"/>
      <c r="E12" s="321"/>
      <c r="F12" s="321"/>
      <c r="G12" s="321"/>
      <c r="H12" s="321"/>
      <c r="I12" s="321"/>
      <c r="J12" s="321"/>
      <c r="K12" s="322"/>
      <c r="L12" s="322"/>
      <c r="M12" s="322"/>
      <c r="N12" s="322"/>
      <c r="O12" s="322"/>
      <c r="P12" s="322"/>
      <c r="Q12" s="322"/>
      <c r="R12" s="322"/>
      <c r="S12" s="322"/>
      <c r="T12" s="384"/>
      <c r="U12" s="384"/>
      <c r="V12" s="384"/>
      <c r="W12" s="384"/>
      <c r="X12" s="322"/>
      <c r="Y12" s="322"/>
      <c r="Z12" s="322"/>
      <c r="AA12" s="322"/>
      <c r="AB12" s="322"/>
      <c r="AC12" s="322"/>
      <c r="AD12" s="322"/>
      <c r="AE12" s="322"/>
      <c r="AF12" s="322"/>
      <c r="AG12" s="322"/>
      <c r="AH12" s="322"/>
      <c r="AI12" s="322"/>
      <c r="AJ12" s="322"/>
      <c r="AK12" s="322"/>
      <c r="AL12" s="322"/>
      <c r="AM12" s="322"/>
      <c r="AN12" s="322"/>
      <c r="AO12" s="322"/>
    </row>
    <row r="13" spans="1:41" s="323" customFormat="1">
      <c r="A13" s="819"/>
      <c r="B13" s="289" t="s">
        <v>301</v>
      </c>
      <c r="C13" s="291">
        <v>29242.25</v>
      </c>
      <c r="D13" s="321"/>
      <c r="E13" s="321"/>
      <c r="F13" s="321"/>
      <c r="G13" s="321"/>
      <c r="H13" s="321"/>
      <c r="I13" s="321"/>
      <c r="J13" s="321"/>
      <c r="K13" s="322"/>
      <c r="L13" s="322"/>
      <c r="M13" s="322"/>
      <c r="N13" s="322"/>
      <c r="O13" s="322"/>
      <c r="P13" s="322"/>
      <c r="Q13" s="322"/>
      <c r="R13" s="322"/>
      <c r="S13" s="322"/>
      <c r="T13" s="384"/>
      <c r="U13" s="384"/>
      <c r="V13" s="384"/>
      <c r="W13" s="384"/>
      <c r="X13" s="322"/>
      <c r="Y13" s="322"/>
      <c r="Z13" s="322"/>
      <c r="AA13" s="322"/>
      <c r="AB13" s="322"/>
      <c r="AC13" s="322"/>
      <c r="AD13" s="322"/>
      <c r="AE13" s="322"/>
      <c r="AF13" s="322"/>
      <c r="AG13" s="322"/>
      <c r="AH13" s="322"/>
      <c r="AI13" s="322"/>
      <c r="AJ13" s="322"/>
      <c r="AK13" s="322"/>
      <c r="AL13" s="322"/>
      <c r="AM13" s="322"/>
      <c r="AN13" s="322"/>
      <c r="AO13" s="322"/>
    </row>
    <row r="14" spans="1:41" s="323" customFormat="1">
      <c r="A14" s="375" t="s">
        <v>191</v>
      </c>
      <c r="B14" s="376" t="s">
        <v>303</v>
      </c>
      <c r="C14" s="377">
        <v>100000</v>
      </c>
      <c r="D14" s="380" t="s">
        <v>331</v>
      </c>
      <c r="E14" s="321"/>
      <c r="F14" s="321"/>
      <c r="G14" s="321"/>
      <c r="H14" s="321"/>
      <c r="I14" s="321"/>
      <c r="J14" s="321"/>
      <c r="K14" s="322"/>
      <c r="L14" s="322"/>
      <c r="M14" s="322"/>
      <c r="N14" s="322"/>
      <c r="O14" s="322"/>
      <c r="P14" s="322"/>
      <c r="Q14" s="322"/>
      <c r="R14" s="322"/>
      <c r="S14" s="322"/>
      <c r="T14" s="384"/>
      <c r="U14" s="384"/>
      <c r="V14" s="384"/>
      <c r="W14" s="384"/>
      <c r="X14" s="322"/>
      <c r="Y14" s="322"/>
      <c r="Z14" s="322"/>
      <c r="AA14" s="322"/>
      <c r="AB14" s="322"/>
      <c r="AC14" s="322"/>
      <c r="AD14" s="322"/>
      <c r="AE14" s="322"/>
      <c r="AF14" s="322"/>
      <c r="AG14" s="322"/>
      <c r="AH14" s="322"/>
      <c r="AI14" s="322"/>
      <c r="AJ14" s="322"/>
      <c r="AK14" s="322"/>
      <c r="AL14" s="322"/>
      <c r="AM14" s="322"/>
      <c r="AN14" s="322"/>
      <c r="AO14" s="322"/>
    </row>
    <row r="15" spans="1:41" s="323" customFormat="1" ht="15" customHeight="1">
      <c r="A15" s="821" t="s">
        <v>195</v>
      </c>
      <c r="B15" s="295" t="s">
        <v>68</v>
      </c>
      <c r="C15" s="381">
        <v>1928.3693750000002</v>
      </c>
      <c r="D15" s="380" t="s">
        <v>331</v>
      </c>
      <c r="E15" s="321"/>
      <c r="F15" s="321"/>
      <c r="G15" s="321"/>
      <c r="H15" s="321"/>
      <c r="I15" s="321"/>
      <c r="J15" s="321"/>
      <c r="T15" s="385"/>
      <c r="U15" s="385"/>
      <c r="V15" s="385"/>
      <c r="W15" s="385"/>
    </row>
    <row r="16" spans="1:41" s="323" customFormat="1">
      <c r="A16" s="822"/>
      <c r="B16" s="299" t="s">
        <v>66</v>
      </c>
      <c r="C16" s="382">
        <v>5387255.0749999993</v>
      </c>
      <c r="D16" s="380" t="s">
        <v>331</v>
      </c>
      <c r="E16" s="321"/>
      <c r="F16" s="321"/>
      <c r="G16" s="321"/>
      <c r="H16" s="321"/>
      <c r="I16" s="321"/>
      <c r="J16" s="321"/>
      <c r="T16" s="385"/>
      <c r="U16" s="385"/>
      <c r="V16" s="385"/>
      <c r="W16" s="385"/>
    </row>
    <row r="17" spans="1:42" s="323" customFormat="1">
      <c r="A17" s="822"/>
      <c r="B17" s="299"/>
      <c r="C17" s="287"/>
      <c r="D17" s="380" t="s">
        <v>331</v>
      </c>
      <c r="E17" s="321"/>
      <c r="F17" s="321"/>
      <c r="G17" s="321"/>
      <c r="H17" s="321"/>
      <c r="I17" s="321"/>
      <c r="J17" s="321"/>
      <c r="T17" s="385"/>
      <c r="U17" s="385"/>
      <c r="V17" s="385"/>
      <c r="W17" s="385"/>
    </row>
    <row r="18" spans="1:42" s="323" customFormat="1" ht="24.75" customHeight="1">
      <c r="A18" s="822"/>
      <c r="B18" s="299" t="s">
        <v>65</v>
      </c>
      <c r="C18" s="287">
        <v>338.58106500000002</v>
      </c>
      <c r="D18" s="380" t="s">
        <v>331</v>
      </c>
      <c r="E18" s="321"/>
      <c r="F18" s="321"/>
      <c r="G18" s="321"/>
      <c r="H18" s="321"/>
      <c r="I18" s="321"/>
      <c r="J18" s="321"/>
      <c r="T18" s="385"/>
      <c r="U18" s="385"/>
      <c r="V18" s="385"/>
      <c r="W18" s="385"/>
    </row>
    <row r="19" spans="1:42" s="323" customFormat="1">
      <c r="A19" s="822"/>
      <c r="B19" s="299"/>
      <c r="C19" s="287"/>
      <c r="D19" s="380" t="s">
        <v>331</v>
      </c>
      <c r="E19" s="321"/>
      <c r="F19" s="321"/>
      <c r="G19" s="321"/>
      <c r="H19" s="321"/>
      <c r="I19" s="321"/>
      <c r="J19" s="321"/>
      <c r="T19" s="385"/>
      <c r="U19" s="385"/>
      <c r="V19" s="385"/>
      <c r="W19" s="385"/>
    </row>
    <row r="20" spans="1:42" s="323" customFormat="1" ht="12" customHeight="1">
      <c r="A20" s="822"/>
      <c r="B20" s="299" t="s">
        <v>204</v>
      </c>
      <c r="C20" s="287" t="e">
        <v>#DIV/0!</v>
      </c>
      <c r="D20" s="380" t="s">
        <v>331</v>
      </c>
      <c r="E20" s="321"/>
      <c r="F20" s="321"/>
      <c r="G20" s="321"/>
      <c r="H20" s="321"/>
      <c r="I20" s="321"/>
      <c r="J20" s="321"/>
      <c r="T20" s="385"/>
      <c r="U20" s="385"/>
      <c r="V20" s="385"/>
      <c r="W20" s="385"/>
    </row>
    <row r="21" spans="1:42" s="323" customFormat="1">
      <c r="A21" s="822"/>
      <c r="B21" s="307" t="s">
        <v>148</v>
      </c>
      <c r="C21" s="287">
        <v>43439.057500000003</v>
      </c>
      <c r="D21" s="380" t="s">
        <v>331</v>
      </c>
      <c r="E21" s="321"/>
      <c r="F21" s="321"/>
      <c r="G21" s="321"/>
      <c r="H21" s="321"/>
      <c r="I21" s="321"/>
      <c r="J21" s="321"/>
      <c r="T21" s="385"/>
      <c r="U21" s="385"/>
      <c r="V21" s="385"/>
      <c r="W21" s="385"/>
    </row>
    <row r="22" spans="1:42" s="323" customFormat="1">
      <c r="A22" s="825"/>
      <c r="B22" s="308" t="s">
        <v>150</v>
      </c>
      <c r="C22" s="291">
        <v>53394802.015112996</v>
      </c>
      <c r="D22" s="380" t="s">
        <v>331</v>
      </c>
      <c r="E22" s="321"/>
      <c r="F22" s="321"/>
      <c r="G22" s="321"/>
      <c r="H22" s="321"/>
      <c r="I22" s="321"/>
      <c r="J22" s="321"/>
      <c r="T22" s="385"/>
      <c r="U22" s="385"/>
      <c r="V22" s="385"/>
      <c r="W22" s="385"/>
    </row>
    <row r="23" spans="1:42" s="323" customFormat="1">
      <c r="A23" s="821" t="s">
        <v>290</v>
      </c>
      <c r="B23" s="295" t="s">
        <v>68</v>
      </c>
      <c r="C23" s="277">
        <v>267.46053949335783</v>
      </c>
      <c r="D23" s="380" t="s">
        <v>331</v>
      </c>
      <c r="E23" s="321"/>
      <c r="F23" s="321"/>
      <c r="G23" s="321"/>
      <c r="H23" s="321"/>
      <c r="I23" s="321"/>
      <c r="J23" s="321"/>
      <c r="T23" s="385"/>
      <c r="U23" s="385"/>
      <c r="V23" s="385"/>
      <c r="W23" s="385"/>
    </row>
    <row r="24" spans="1:42" s="323" customFormat="1">
      <c r="A24" s="822"/>
      <c r="B24" s="299" t="s">
        <v>66</v>
      </c>
      <c r="C24" s="287">
        <v>200595.40462001838</v>
      </c>
      <c r="D24" s="380" t="s">
        <v>331</v>
      </c>
      <c r="E24" s="321"/>
      <c r="F24" s="321"/>
      <c r="G24" s="321"/>
      <c r="H24" s="321"/>
      <c r="I24" s="321"/>
      <c r="J24" s="321"/>
      <c r="T24" s="385"/>
      <c r="U24" s="385"/>
      <c r="V24" s="385"/>
      <c r="W24" s="385"/>
    </row>
    <row r="25" spans="1:42" s="323" customFormat="1">
      <c r="A25" s="822"/>
      <c r="B25" s="299"/>
      <c r="C25" s="287"/>
      <c r="D25" s="380" t="s">
        <v>331</v>
      </c>
      <c r="E25" s="321"/>
      <c r="F25" s="321"/>
      <c r="G25" s="321"/>
      <c r="H25" s="321"/>
      <c r="I25" s="321"/>
      <c r="J25" s="321"/>
      <c r="T25" s="385"/>
      <c r="U25" s="385"/>
      <c r="V25" s="385"/>
      <c r="W25" s="385"/>
    </row>
    <row r="26" spans="1:42" s="323" customFormat="1">
      <c r="A26" s="822"/>
      <c r="B26" s="299" t="s">
        <v>65</v>
      </c>
      <c r="C26" s="287">
        <v>80.238161848007351</v>
      </c>
      <c r="D26" s="380" t="s">
        <v>331</v>
      </c>
      <c r="E26" s="321"/>
      <c r="F26" s="321"/>
      <c r="G26" s="321"/>
      <c r="H26" s="321"/>
      <c r="I26" s="321"/>
      <c r="J26" s="321"/>
      <c r="T26" s="385"/>
      <c r="U26" s="385"/>
      <c r="V26" s="385"/>
      <c r="W26" s="385"/>
    </row>
    <row r="27" spans="1:42" s="323" customFormat="1">
      <c r="A27" s="822"/>
      <c r="B27" s="299" t="s">
        <v>309</v>
      </c>
      <c r="C27" s="287">
        <v>3797.9396608056813</v>
      </c>
      <c r="D27" s="380" t="s">
        <v>331</v>
      </c>
      <c r="E27" s="321"/>
      <c r="F27" s="321"/>
      <c r="G27" s="321"/>
      <c r="H27" s="321"/>
      <c r="I27" s="321"/>
      <c r="J27" s="321"/>
      <c r="T27" s="385"/>
      <c r="U27" s="385"/>
      <c r="V27" s="385"/>
      <c r="W27" s="385"/>
    </row>
    <row r="28" spans="1:42" s="323" customFormat="1">
      <c r="A28" s="822"/>
      <c r="B28" s="299" t="s">
        <v>204</v>
      </c>
      <c r="C28" s="287" t="e">
        <v>#DIV/0!</v>
      </c>
      <c r="D28" s="380" t="s">
        <v>331</v>
      </c>
      <c r="E28" s="321"/>
      <c r="F28" s="321"/>
      <c r="G28" s="321"/>
      <c r="H28" s="321"/>
      <c r="I28" s="321"/>
      <c r="J28" s="321"/>
      <c r="T28" s="385"/>
      <c r="U28" s="385"/>
      <c r="V28" s="385"/>
      <c r="W28" s="385"/>
    </row>
    <row r="29" spans="1:42">
      <c r="A29" s="822"/>
      <c r="B29" s="307"/>
      <c r="C29" s="287"/>
      <c r="D29" s="380" t="s">
        <v>331</v>
      </c>
      <c r="E29" s="321"/>
      <c r="F29" s="321"/>
      <c r="G29" s="321"/>
      <c r="H29" s="321"/>
      <c r="I29" s="321"/>
    </row>
    <row r="30" spans="1:42" s="323" customFormat="1">
      <c r="A30" s="825"/>
      <c r="B30" s="313" t="s">
        <v>150</v>
      </c>
      <c r="C30" s="291">
        <v>1450642.784714049</v>
      </c>
      <c r="D30" s="380" t="s">
        <v>331</v>
      </c>
      <c r="E30" s="321"/>
      <c r="F30" s="321"/>
      <c r="G30" s="321"/>
      <c r="H30" s="321"/>
      <c r="I30" s="321"/>
      <c r="J30" s="321"/>
      <c r="T30" s="385"/>
      <c r="U30" s="385"/>
      <c r="V30" s="385"/>
      <c r="W30" s="385"/>
    </row>
    <row r="31" spans="1:42" s="323" customFormat="1" ht="32.25" customHeight="1">
      <c r="A31" s="264" t="s">
        <v>151</v>
      </c>
      <c r="B31" s="279" t="s">
        <v>299</v>
      </c>
      <c r="C31" s="360">
        <v>18860000</v>
      </c>
      <c r="D31" s="380" t="s">
        <v>331</v>
      </c>
      <c r="E31" s="321"/>
      <c r="F31" s="321"/>
      <c r="G31" s="321"/>
      <c r="H31" s="321"/>
      <c r="I31" s="321"/>
      <c r="J31" s="321"/>
      <c r="K31" s="322"/>
      <c r="L31" s="322"/>
      <c r="M31" s="322"/>
      <c r="N31" s="322"/>
      <c r="O31" s="322"/>
      <c r="P31" s="322"/>
      <c r="Q31" s="322"/>
      <c r="R31" s="322"/>
      <c r="S31" s="322"/>
      <c r="T31" s="384"/>
      <c r="U31" s="384"/>
      <c r="V31" s="384"/>
      <c r="W31" s="384"/>
      <c r="X31" s="322"/>
      <c r="Y31" s="322"/>
      <c r="Z31" s="322"/>
      <c r="AA31" s="322"/>
      <c r="AB31" s="322"/>
      <c r="AC31" s="322"/>
      <c r="AD31" s="322"/>
      <c r="AE31" s="322"/>
      <c r="AF31" s="322"/>
      <c r="AG31" s="322"/>
      <c r="AH31" s="322"/>
      <c r="AI31" s="322"/>
      <c r="AJ31" s="322"/>
      <c r="AK31" s="322"/>
      <c r="AL31" s="322"/>
      <c r="AM31" s="322"/>
      <c r="AN31" s="322"/>
      <c r="AO31" s="322"/>
      <c r="AP31" s="324"/>
    </row>
    <row r="32" spans="1:42" s="323" customFormat="1" ht="24" customHeight="1">
      <c r="A32" s="264" t="s">
        <v>13</v>
      </c>
      <c r="B32" s="315" t="s">
        <v>298</v>
      </c>
      <c r="C32" s="360">
        <v>564200000</v>
      </c>
      <c r="D32" s="321"/>
      <c r="E32" s="321"/>
      <c r="F32" s="321"/>
      <c r="G32" s="321"/>
      <c r="H32" s="321"/>
      <c r="I32" s="321"/>
      <c r="J32" s="321"/>
      <c r="K32" s="322"/>
      <c r="L32" s="322"/>
      <c r="M32" s="322"/>
      <c r="N32" s="322"/>
      <c r="O32" s="322"/>
      <c r="P32" s="322"/>
      <c r="Q32" s="322"/>
      <c r="R32" s="322"/>
      <c r="S32" s="322"/>
      <c r="T32" s="384"/>
      <c r="U32" s="384"/>
      <c r="V32" s="384"/>
      <c r="W32" s="384"/>
      <c r="X32" s="322"/>
      <c r="Y32" s="322"/>
      <c r="Z32" s="322"/>
      <c r="AA32" s="322"/>
      <c r="AB32" s="322"/>
      <c r="AC32" s="322"/>
      <c r="AD32" s="322"/>
      <c r="AE32" s="322"/>
      <c r="AF32" s="322"/>
      <c r="AG32" s="322"/>
      <c r="AH32" s="322"/>
      <c r="AI32" s="322"/>
      <c r="AJ32" s="322"/>
      <c r="AK32" s="322"/>
      <c r="AL32" s="322"/>
      <c r="AM32" s="322"/>
      <c r="AN32" s="322"/>
      <c r="AO32" s="322"/>
    </row>
    <row r="33" spans="1:41" s="326" customFormat="1" ht="27" customHeight="1">
      <c r="A33" s="264" t="s">
        <v>87</v>
      </c>
      <c r="B33" s="315" t="s">
        <v>298</v>
      </c>
      <c r="C33" s="360">
        <v>221967608.67077586</v>
      </c>
      <c r="D33" s="321"/>
      <c r="E33" s="320"/>
      <c r="F33" s="320"/>
      <c r="G33" s="321"/>
      <c r="H33" s="321"/>
      <c r="I33" s="321"/>
      <c r="J33" s="321"/>
      <c r="K33" s="325"/>
      <c r="L33" s="325"/>
      <c r="M33" s="325"/>
      <c r="N33" s="325"/>
      <c r="O33" s="325"/>
      <c r="P33" s="325"/>
      <c r="Q33" s="325"/>
      <c r="R33" s="325"/>
      <c r="S33" s="325"/>
      <c r="T33" s="386"/>
      <c r="U33" s="386"/>
      <c r="V33" s="386"/>
      <c r="W33" s="386"/>
      <c r="X33" s="325"/>
      <c r="Y33" s="325"/>
      <c r="Z33" s="325"/>
      <c r="AA33" s="325"/>
      <c r="AB33" s="325"/>
      <c r="AC33" s="325"/>
      <c r="AD33" s="325"/>
      <c r="AE33" s="325"/>
      <c r="AF33" s="325"/>
      <c r="AG33" s="325"/>
      <c r="AH33" s="325"/>
      <c r="AI33" s="325"/>
      <c r="AJ33" s="325"/>
      <c r="AK33" s="325"/>
      <c r="AL33" s="325"/>
      <c r="AM33" s="325"/>
      <c r="AN33" s="325"/>
      <c r="AO33" s="325"/>
    </row>
    <row r="34" spans="1:41" s="323" customFormat="1">
      <c r="A34" s="321"/>
      <c r="B34" s="321"/>
      <c r="C34" s="321"/>
      <c r="D34" s="321"/>
      <c r="E34" s="321"/>
      <c r="F34" s="321"/>
      <c r="G34" s="321"/>
      <c r="H34" s="321"/>
      <c r="I34" s="321"/>
      <c r="J34" s="321"/>
      <c r="T34" s="385"/>
      <c r="U34" s="385"/>
      <c r="V34" s="385"/>
      <c r="W34" s="385"/>
    </row>
    <row r="35" spans="1:41" s="323" customFormat="1">
      <c r="A35" s="321"/>
      <c r="B35" s="321"/>
      <c r="C35" s="321"/>
      <c r="D35" s="321"/>
      <c r="E35" s="321"/>
      <c r="F35" s="321"/>
      <c r="G35" s="321"/>
      <c r="H35" s="321"/>
      <c r="I35" s="321"/>
      <c r="T35" s="385"/>
      <c r="U35" s="385"/>
      <c r="V35" s="385"/>
      <c r="W35" s="385"/>
    </row>
    <row r="36" spans="1:41" s="323" customFormat="1">
      <c r="A36" s="813" t="s">
        <v>282</v>
      </c>
      <c r="B36" s="813"/>
      <c r="C36" s="813"/>
      <c r="D36" s="813"/>
      <c r="E36" s="813"/>
      <c r="F36" s="813"/>
      <c r="G36" s="813"/>
      <c r="H36" s="813"/>
      <c r="I36" s="813"/>
      <c r="K36" s="322"/>
      <c r="T36" s="385"/>
      <c r="U36" s="385"/>
      <c r="V36" s="385"/>
      <c r="W36" s="385"/>
    </row>
    <row r="37" spans="1:41">
      <c r="A37" s="834"/>
      <c r="B37" s="835"/>
      <c r="C37" s="835"/>
      <c r="D37" s="835"/>
      <c r="E37" s="263">
        <v>1</v>
      </c>
      <c r="F37" s="263">
        <v>2</v>
      </c>
      <c r="G37" s="263">
        <v>3</v>
      </c>
      <c r="H37" s="263">
        <v>4</v>
      </c>
      <c r="I37" s="263">
        <v>5</v>
      </c>
      <c r="J37" s="263">
        <v>6</v>
      </c>
      <c r="K37" s="186">
        <v>7</v>
      </c>
      <c r="L37" s="263">
        <v>8</v>
      </c>
      <c r="M37" s="186">
        <v>9</v>
      </c>
      <c r="N37" s="263">
        <v>10</v>
      </c>
      <c r="O37" s="263">
        <v>11</v>
      </c>
      <c r="P37" s="263">
        <v>12</v>
      </c>
      <c r="Q37" s="263">
        <v>13</v>
      </c>
      <c r="R37" s="186">
        <v>14</v>
      </c>
      <c r="S37" s="263">
        <v>15</v>
      </c>
      <c r="T37" s="387">
        <v>16</v>
      </c>
      <c r="U37" s="387">
        <v>17</v>
      </c>
      <c r="V37" s="387">
        <v>18</v>
      </c>
      <c r="W37" s="388">
        <v>19</v>
      </c>
    </row>
    <row r="38" spans="1:41">
      <c r="A38" s="17" t="s">
        <v>20</v>
      </c>
      <c r="B38" s="258"/>
      <c r="C38" s="13"/>
      <c r="D38" s="316"/>
      <c r="E38" s="258"/>
      <c r="F38" s="258"/>
      <c r="G38" s="258"/>
      <c r="H38" s="258"/>
      <c r="I38" s="258"/>
      <c r="J38" s="258"/>
      <c r="K38" s="258"/>
      <c r="L38" s="258"/>
      <c r="M38" s="258"/>
      <c r="N38" s="258"/>
      <c r="O38" s="316"/>
      <c r="P38" s="316"/>
      <c r="Q38" s="316"/>
      <c r="R38" s="258"/>
      <c r="S38" s="258"/>
      <c r="T38" s="389"/>
      <c r="U38" s="389"/>
      <c r="V38" s="389"/>
      <c r="W38" s="390"/>
    </row>
    <row r="39" spans="1:41">
      <c r="A39" s="129"/>
      <c r="B39" s="13" t="s">
        <v>21</v>
      </c>
      <c r="C39" s="258" t="s">
        <v>22</v>
      </c>
      <c r="D39" s="316"/>
      <c r="E39" s="187">
        <v>30</v>
      </c>
      <c r="F39" s="187">
        <v>30</v>
      </c>
      <c r="G39" s="187">
        <v>30</v>
      </c>
      <c r="H39" s="187">
        <v>30</v>
      </c>
      <c r="I39" s="187">
        <v>30</v>
      </c>
      <c r="J39" s="187">
        <v>30</v>
      </c>
      <c r="K39" s="187">
        <v>30</v>
      </c>
      <c r="L39" s="187">
        <v>30</v>
      </c>
      <c r="M39" s="187">
        <v>30</v>
      </c>
      <c r="N39" s="187">
        <v>30</v>
      </c>
      <c r="O39" s="187">
        <v>30</v>
      </c>
      <c r="P39" s="187">
        <v>30</v>
      </c>
      <c r="Q39" s="187">
        <v>30</v>
      </c>
      <c r="R39" s="187">
        <v>30</v>
      </c>
      <c r="S39" s="187">
        <v>30</v>
      </c>
      <c r="T39" s="391">
        <v>30</v>
      </c>
      <c r="U39" s="391">
        <v>30</v>
      </c>
      <c r="V39" s="391">
        <v>30</v>
      </c>
      <c r="W39" s="391">
        <v>30</v>
      </c>
    </row>
    <row r="40" spans="1:41">
      <c r="A40" s="129"/>
      <c r="B40" s="13" t="s">
        <v>23</v>
      </c>
      <c r="C40" s="258"/>
      <c r="D40" s="316"/>
      <c r="E40" s="14">
        <f>'Cashflow '!F10</f>
        <v>279.536992</v>
      </c>
      <c r="F40" s="14">
        <f>'Cashflow '!G10</f>
        <v>359.40470400000004</v>
      </c>
      <c r="G40" s="14">
        <f>'Cashflow '!H10</f>
        <v>379.37163200000003</v>
      </c>
      <c r="H40" s="14">
        <f>'Cashflow '!I10</f>
        <v>379.37163200000003</v>
      </c>
      <c r="I40" s="14">
        <f>'Cashflow '!J10</f>
        <v>379.37163200000003</v>
      </c>
      <c r="J40" s="14">
        <f>'Cashflow '!K10</f>
        <v>379.37163200000003</v>
      </c>
      <c r="K40" s="14">
        <f>'Cashflow '!L10</f>
        <v>379.37163200000003</v>
      </c>
      <c r="L40" s="14">
        <f>'Cashflow '!M10</f>
        <v>379.37163200000003</v>
      </c>
      <c r="M40" s="14">
        <f>'Cashflow '!N10</f>
        <v>379.37163200000003</v>
      </c>
      <c r="N40" s="14">
        <f>'Cashflow '!O10</f>
        <v>379.37163200000003</v>
      </c>
      <c r="O40" s="14">
        <f>'Cashflow '!P10</f>
        <v>379.37163200000003</v>
      </c>
      <c r="P40" s="14">
        <f>'Cashflow '!Q10</f>
        <v>379.37163200000003</v>
      </c>
      <c r="Q40" s="14">
        <f>'Cashflow '!R10</f>
        <v>379.37163200000003</v>
      </c>
      <c r="R40" s="14" t="e">
        <f>'Cashflow '!#REF!</f>
        <v>#REF!</v>
      </c>
      <c r="S40" s="14" t="e">
        <f>'Cashflow '!#REF!</f>
        <v>#REF!</v>
      </c>
      <c r="T40" s="392" t="e">
        <f>'Cashflow '!#REF!</f>
        <v>#REF!</v>
      </c>
      <c r="U40" s="392" t="e">
        <f>'Cashflow '!#REF!</f>
        <v>#REF!</v>
      </c>
      <c r="V40" s="392" t="e">
        <f>'Cashflow '!#REF!</f>
        <v>#REF!</v>
      </c>
      <c r="W40" s="392" t="e">
        <f>'Cashflow '!#REF!</f>
        <v>#REF!</v>
      </c>
    </row>
    <row r="41" spans="1:41">
      <c r="A41" s="129"/>
      <c r="B41" s="13" t="s">
        <v>24</v>
      </c>
      <c r="C41" s="258"/>
      <c r="D41" s="316"/>
      <c r="E41" s="14">
        <f>+E40/365*E39</f>
        <v>22.975643178082191</v>
      </c>
      <c r="F41" s="14">
        <f t="shared" ref="F41:W41" si="0">+F40/365*F39</f>
        <v>29.540112657534248</v>
      </c>
      <c r="G41" s="14">
        <f t="shared" si="0"/>
        <v>31.181230027397259</v>
      </c>
      <c r="H41" s="14">
        <f t="shared" si="0"/>
        <v>31.181230027397259</v>
      </c>
      <c r="I41" s="14">
        <f t="shared" si="0"/>
        <v>31.181230027397259</v>
      </c>
      <c r="J41" s="14">
        <f t="shared" si="0"/>
        <v>31.181230027397259</v>
      </c>
      <c r="K41" s="14">
        <f t="shared" si="0"/>
        <v>31.181230027397259</v>
      </c>
      <c r="L41" s="14">
        <f t="shared" si="0"/>
        <v>31.181230027397259</v>
      </c>
      <c r="M41" s="14">
        <f t="shared" si="0"/>
        <v>31.181230027397259</v>
      </c>
      <c r="N41" s="14">
        <f t="shared" si="0"/>
        <v>31.181230027397259</v>
      </c>
      <c r="O41" s="14">
        <f t="shared" si="0"/>
        <v>31.181230027397259</v>
      </c>
      <c r="P41" s="14">
        <f t="shared" si="0"/>
        <v>31.181230027397259</v>
      </c>
      <c r="Q41" s="14">
        <f t="shared" si="0"/>
        <v>31.181230027397259</v>
      </c>
      <c r="R41" s="14" t="e">
        <f t="shared" si="0"/>
        <v>#REF!</v>
      </c>
      <c r="S41" s="14" t="e">
        <f t="shared" si="0"/>
        <v>#REF!</v>
      </c>
      <c r="T41" s="392" t="e">
        <f t="shared" si="0"/>
        <v>#REF!</v>
      </c>
      <c r="U41" s="392" t="e">
        <f t="shared" si="0"/>
        <v>#REF!</v>
      </c>
      <c r="V41" s="392" t="e">
        <f t="shared" si="0"/>
        <v>#REF!</v>
      </c>
      <c r="W41" s="392" t="e">
        <f t="shared" si="0"/>
        <v>#REF!</v>
      </c>
    </row>
    <row r="42" spans="1:41">
      <c r="A42" s="129"/>
      <c r="B42" s="258"/>
      <c r="C42" s="258"/>
      <c r="D42" s="316"/>
      <c r="E42" s="258"/>
      <c r="F42" s="258"/>
      <c r="G42" s="258"/>
      <c r="H42" s="258"/>
      <c r="I42" s="258"/>
      <c r="J42" s="258"/>
      <c r="K42" s="258"/>
      <c r="L42" s="258"/>
      <c r="M42" s="258"/>
      <c r="N42" s="258"/>
      <c r="O42" s="258"/>
      <c r="P42" s="258"/>
      <c r="Q42" s="258"/>
      <c r="R42" s="258"/>
      <c r="S42" s="258"/>
      <c r="T42" s="390"/>
      <c r="U42" s="390"/>
      <c r="V42" s="390"/>
      <c r="W42" s="390"/>
    </row>
    <row r="43" spans="1:41">
      <c r="A43" s="17" t="s">
        <v>25</v>
      </c>
      <c r="B43" s="258"/>
      <c r="C43" s="13"/>
      <c r="D43" s="316"/>
      <c r="E43" s="258"/>
      <c r="F43" s="258"/>
      <c r="G43" s="258"/>
      <c r="H43" s="258"/>
      <c r="I43" s="258"/>
      <c r="J43" s="258"/>
      <c r="K43" s="258"/>
      <c r="L43" s="258"/>
      <c r="M43" s="258"/>
      <c r="N43" s="258"/>
      <c r="O43" s="258"/>
      <c r="P43" s="258"/>
      <c r="Q43" s="258"/>
      <c r="R43" s="258"/>
      <c r="S43" s="258"/>
      <c r="T43" s="390"/>
      <c r="U43" s="390"/>
      <c r="V43" s="390"/>
      <c r="W43" s="390"/>
    </row>
    <row r="44" spans="1:41">
      <c r="A44" s="129"/>
      <c r="B44" s="13" t="s">
        <v>26</v>
      </c>
      <c r="C44" s="258" t="s">
        <v>22</v>
      </c>
      <c r="D44" s="316"/>
      <c r="E44" s="187">
        <v>20</v>
      </c>
      <c r="F44" s="187">
        <v>20</v>
      </c>
      <c r="G44" s="187">
        <v>20</v>
      </c>
      <c r="H44" s="187">
        <v>20</v>
      </c>
      <c r="I44" s="187">
        <v>20</v>
      </c>
      <c r="J44" s="187">
        <v>20</v>
      </c>
      <c r="K44" s="187">
        <v>20</v>
      </c>
      <c r="L44" s="187">
        <v>20</v>
      </c>
      <c r="M44" s="187">
        <v>20</v>
      </c>
      <c r="N44" s="187">
        <v>20</v>
      </c>
      <c r="O44" s="187">
        <v>20</v>
      </c>
      <c r="P44" s="187">
        <v>20</v>
      </c>
      <c r="Q44" s="187">
        <v>20</v>
      </c>
      <c r="R44" s="187">
        <v>20</v>
      </c>
      <c r="S44" s="187">
        <v>20</v>
      </c>
      <c r="T44" s="391">
        <v>20</v>
      </c>
      <c r="U44" s="391">
        <v>20</v>
      </c>
      <c r="V44" s="391">
        <v>20</v>
      </c>
      <c r="W44" s="391">
        <v>20</v>
      </c>
    </row>
    <row r="45" spans="1:41">
      <c r="A45" s="129"/>
      <c r="B45" s="13" t="s">
        <v>27</v>
      </c>
      <c r="C45" s="258"/>
      <c r="D45" s="316"/>
      <c r="E45" s="14">
        <f>'Cashflow '!F21</f>
        <v>172.51374270057707</v>
      </c>
      <c r="F45" s="14">
        <f>'Cashflow '!G21</f>
        <v>224.96519790689595</v>
      </c>
      <c r="G45" s="14">
        <f>'Cashflow '!H21</f>
        <v>241.12809723847968</v>
      </c>
      <c r="H45" s="14">
        <f>'Cashflow '!I21</f>
        <v>244.6619835810281</v>
      </c>
      <c r="I45" s="14">
        <f>'Cashflow '!J21</f>
        <v>247.67392941738504</v>
      </c>
      <c r="J45" s="14">
        <f>'Cashflow '!K21</f>
        <v>250.992760071578</v>
      </c>
      <c r="K45" s="14">
        <f>'Cashflow '!L21</f>
        <v>254.2891269524676</v>
      </c>
      <c r="L45" s="14">
        <f>'Cashflow '!M21</f>
        <v>257.71920557597497</v>
      </c>
      <c r="M45" s="14">
        <f>'Cashflow '!N21</f>
        <v>261.53919462182796</v>
      </c>
      <c r="N45" s="14">
        <f>'Cashflow '!O21</f>
        <v>264.34622614256921</v>
      </c>
      <c r="O45" s="14">
        <f>'Cashflow '!P21</f>
        <v>267.37157655441848</v>
      </c>
      <c r="P45" s="14">
        <f>'Cashflow '!Q21</f>
        <v>270.50295180143445</v>
      </c>
      <c r="Q45" s="14">
        <f>'Cashflow '!R21</f>
        <v>273.43078316193328</v>
      </c>
      <c r="R45" s="14" t="e">
        <f>'Cashflow '!#REF!</f>
        <v>#REF!</v>
      </c>
      <c r="S45" s="14" t="e">
        <f>'Cashflow '!#REF!</f>
        <v>#REF!</v>
      </c>
      <c r="T45" s="392" t="e">
        <f>'Cashflow '!#REF!</f>
        <v>#REF!</v>
      </c>
      <c r="U45" s="392" t="e">
        <f>'Cashflow '!#REF!</f>
        <v>#REF!</v>
      </c>
      <c r="V45" s="392" t="e">
        <f>'Cashflow '!#REF!</f>
        <v>#REF!</v>
      </c>
      <c r="W45" s="392" t="e">
        <f>'Cashflow '!#REF!</f>
        <v>#REF!</v>
      </c>
    </row>
    <row r="46" spans="1:41">
      <c r="A46" s="129"/>
      <c r="B46" s="13" t="s">
        <v>28</v>
      </c>
      <c r="C46" s="258"/>
      <c r="D46" s="316"/>
      <c r="E46" s="14">
        <f>+E45/365*E44</f>
        <v>9.4528078192097027</v>
      </c>
      <c r="F46" s="14">
        <f t="shared" ref="F46:W46" si="1">+F45/365*F44</f>
        <v>12.326860159281969</v>
      </c>
      <c r="G46" s="14">
        <f t="shared" si="1"/>
        <v>13.212498478820805</v>
      </c>
      <c r="H46" s="14">
        <f t="shared" si="1"/>
        <v>13.406136086631676</v>
      </c>
      <c r="I46" s="14">
        <f t="shared" si="1"/>
        <v>13.571174214651236</v>
      </c>
      <c r="J46" s="14">
        <f t="shared" si="1"/>
        <v>13.75302794912756</v>
      </c>
      <c r="K46" s="14">
        <f t="shared" si="1"/>
        <v>13.933650791916033</v>
      </c>
      <c r="L46" s="14">
        <f t="shared" si="1"/>
        <v>14.121600305532876</v>
      </c>
      <c r="M46" s="14">
        <f t="shared" si="1"/>
        <v>14.330914773798792</v>
      </c>
      <c r="N46" s="14">
        <f t="shared" si="1"/>
        <v>14.484724720140779</v>
      </c>
      <c r="O46" s="14">
        <f t="shared" si="1"/>
        <v>14.650497345447588</v>
      </c>
      <c r="P46" s="14">
        <f t="shared" si="1"/>
        <v>14.822079550763531</v>
      </c>
      <c r="Q46" s="14">
        <f t="shared" si="1"/>
        <v>14.982508666407304</v>
      </c>
      <c r="R46" s="14" t="e">
        <f t="shared" si="1"/>
        <v>#REF!</v>
      </c>
      <c r="S46" s="14" t="e">
        <f t="shared" si="1"/>
        <v>#REF!</v>
      </c>
      <c r="T46" s="392" t="e">
        <f t="shared" si="1"/>
        <v>#REF!</v>
      </c>
      <c r="U46" s="392" t="e">
        <f t="shared" si="1"/>
        <v>#REF!</v>
      </c>
      <c r="V46" s="392" t="e">
        <f t="shared" si="1"/>
        <v>#REF!</v>
      </c>
      <c r="W46" s="392" t="e">
        <f t="shared" si="1"/>
        <v>#REF!</v>
      </c>
    </row>
    <row r="47" spans="1:41">
      <c r="A47" s="129"/>
      <c r="B47" s="258"/>
      <c r="C47" s="258"/>
      <c r="D47" s="316"/>
      <c r="E47" s="258"/>
      <c r="F47" s="258"/>
      <c r="G47" s="258"/>
      <c r="H47" s="258"/>
      <c r="I47" s="258"/>
      <c r="J47" s="258"/>
      <c r="K47" s="258"/>
      <c r="L47" s="258"/>
      <c r="M47" s="258"/>
      <c r="N47" s="258"/>
      <c r="O47" s="316"/>
      <c r="P47" s="316"/>
      <c r="Q47" s="316"/>
      <c r="R47" s="258"/>
      <c r="S47" s="258"/>
      <c r="T47" s="389"/>
      <c r="U47" s="389"/>
      <c r="V47" s="389"/>
      <c r="W47" s="390"/>
    </row>
    <row r="48" spans="1:41">
      <c r="A48" s="17" t="s">
        <v>29</v>
      </c>
      <c r="B48" s="258"/>
      <c r="C48" s="13"/>
      <c r="D48" s="316"/>
      <c r="E48" s="258"/>
      <c r="F48" s="258"/>
      <c r="G48" s="258"/>
      <c r="H48" s="258"/>
      <c r="I48" s="258"/>
      <c r="J48" s="258"/>
      <c r="K48" s="258"/>
      <c r="L48" s="258"/>
      <c r="M48" s="258"/>
      <c r="N48" s="258"/>
      <c r="O48" s="316"/>
      <c r="P48" s="316"/>
      <c r="Q48" s="316"/>
      <c r="R48" s="258"/>
      <c r="S48" s="258"/>
      <c r="T48" s="389"/>
      <c r="U48" s="389"/>
      <c r="V48" s="389"/>
      <c r="W48" s="390"/>
    </row>
    <row r="49" spans="1:23">
      <c r="A49" s="129"/>
      <c r="B49" s="13" t="s">
        <v>30</v>
      </c>
      <c r="C49" s="258" t="s">
        <v>22</v>
      </c>
      <c r="D49" s="316"/>
      <c r="E49" s="187">
        <v>10</v>
      </c>
      <c r="F49" s="187">
        <v>10</v>
      </c>
      <c r="G49" s="187">
        <v>10</v>
      </c>
      <c r="H49" s="187">
        <v>10</v>
      </c>
      <c r="I49" s="187">
        <v>10</v>
      </c>
      <c r="J49" s="187">
        <v>10</v>
      </c>
      <c r="K49" s="187">
        <v>10</v>
      </c>
      <c r="L49" s="187">
        <v>10</v>
      </c>
      <c r="M49" s="187">
        <v>10</v>
      </c>
      <c r="N49" s="187">
        <v>10</v>
      </c>
      <c r="O49" s="187">
        <v>10</v>
      </c>
      <c r="P49" s="187">
        <v>10</v>
      </c>
      <c r="Q49" s="187">
        <v>10</v>
      </c>
      <c r="R49" s="187">
        <v>10</v>
      </c>
      <c r="S49" s="187">
        <v>10</v>
      </c>
      <c r="T49" s="391">
        <v>10</v>
      </c>
      <c r="U49" s="391">
        <v>10</v>
      </c>
      <c r="V49" s="391">
        <v>10</v>
      </c>
      <c r="W49" s="391">
        <v>10</v>
      </c>
    </row>
    <row r="50" spans="1:23">
      <c r="A50" s="129"/>
      <c r="B50" s="13" t="s">
        <v>31</v>
      </c>
      <c r="C50" s="258"/>
      <c r="D50" s="316"/>
      <c r="E50" s="14">
        <f>-E45</f>
        <v>-172.51374270057707</v>
      </c>
      <c r="F50" s="14">
        <f t="shared" ref="F50:W50" si="2">-F45</f>
        <v>-224.96519790689595</v>
      </c>
      <c r="G50" s="14">
        <f t="shared" si="2"/>
        <v>-241.12809723847968</v>
      </c>
      <c r="H50" s="14">
        <f t="shared" si="2"/>
        <v>-244.6619835810281</v>
      </c>
      <c r="I50" s="14">
        <f t="shared" si="2"/>
        <v>-247.67392941738504</v>
      </c>
      <c r="J50" s="14">
        <f t="shared" si="2"/>
        <v>-250.992760071578</v>
      </c>
      <c r="K50" s="14">
        <f t="shared" si="2"/>
        <v>-254.2891269524676</v>
      </c>
      <c r="L50" s="14">
        <f t="shared" si="2"/>
        <v>-257.71920557597497</v>
      </c>
      <c r="M50" s="14">
        <f>-M45</f>
        <v>-261.53919462182796</v>
      </c>
      <c r="N50" s="14">
        <f t="shared" si="2"/>
        <v>-264.34622614256921</v>
      </c>
      <c r="O50" s="14">
        <f t="shared" si="2"/>
        <v>-267.37157655441848</v>
      </c>
      <c r="P50" s="14">
        <f t="shared" si="2"/>
        <v>-270.50295180143445</v>
      </c>
      <c r="Q50" s="14">
        <f t="shared" si="2"/>
        <v>-273.43078316193328</v>
      </c>
      <c r="R50" s="14" t="e">
        <f t="shared" si="2"/>
        <v>#REF!</v>
      </c>
      <c r="S50" s="14" t="e">
        <f t="shared" si="2"/>
        <v>#REF!</v>
      </c>
      <c r="T50" s="392" t="e">
        <f t="shared" si="2"/>
        <v>#REF!</v>
      </c>
      <c r="U50" s="392" t="e">
        <f t="shared" si="2"/>
        <v>#REF!</v>
      </c>
      <c r="V50" s="392" t="e">
        <f t="shared" si="2"/>
        <v>#REF!</v>
      </c>
      <c r="W50" s="392" t="e">
        <f t="shared" si="2"/>
        <v>#REF!</v>
      </c>
    </row>
    <row r="51" spans="1:23">
      <c r="A51" s="124"/>
      <c r="B51" s="18" t="s">
        <v>31</v>
      </c>
      <c r="C51" s="260"/>
      <c r="D51" s="317"/>
      <c r="E51" s="19">
        <f>+E50/365*E49</f>
        <v>-4.7264039096048513</v>
      </c>
      <c r="F51" s="19">
        <f t="shared" ref="F51:W51" si="3">+F50/365*F49</f>
        <v>-6.1634300796409844</v>
      </c>
      <c r="G51" s="19">
        <f t="shared" si="3"/>
        <v>-6.6062492394104027</v>
      </c>
      <c r="H51" s="19">
        <f t="shared" si="3"/>
        <v>-6.7030680433158381</v>
      </c>
      <c r="I51" s="19">
        <f t="shared" si="3"/>
        <v>-6.7855871073256182</v>
      </c>
      <c r="J51" s="19">
        <f t="shared" si="3"/>
        <v>-6.87651397456378</v>
      </c>
      <c r="K51" s="19">
        <f t="shared" si="3"/>
        <v>-6.9668253959580166</v>
      </c>
      <c r="L51" s="19">
        <f t="shared" si="3"/>
        <v>-7.0608001527664381</v>
      </c>
      <c r="M51" s="19">
        <f t="shared" si="3"/>
        <v>-7.165457386899396</v>
      </c>
      <c r="N51" s="19">
        <f t="shared" si="3"/>
        <v>-7.2423623600703895</v>
      </c>
      <c r="O51" s="19">
        <f t="shared" si="3"/>
        <v>-7.3252486727237942</v>
      </c>
      <c r="P51" s="19">
        <f t="shared" si="3"/>
        <v>-7.4110397753817656</v>
      </c>
      <c r="Q51" s="19">
        <f t="shared" si="3"/>
        <v>-7.4912543332036519</v>
      </c>
      <c r="R51" s="19" t="e">
        <f t="shared" si="3"/>
        <v>#REF!</v>
      </c>
      <c r="S51" s="19" t="e">
        <f t="shared" si="3"/>
        <v>#REF!</v>
      </c>
      <c r="T51" s="393" t="e">
        <f t="shared" si="3"/>
        <v>#REF!</v>
      </c>
      <c r="U51" s="393" t="e">
        <f t="shared" si="3"/>
        <v>#REF!</v>
      </c>
      <c r="V51" s="393" t="e">
        <f t="shared" si="3"/>
        <v>#REF!</v>
      </c>
      <c r="W51" s="393" t="e">
        <f t="shared" si="3"/>
        <v>#REF!</v>
      </c>
    </row>
    <row r="52" spans="1:23">
      <c r="A52" s="260"/>
      <c r="B52" s="18"/>
      <c r="C52" s="260"/>
      <c r="F52" s="327"/>
      <c r="G52" s="327"/>
      <c r="H52" s="327"/>
      <c r="I52" s="327"/>
      <c r="J52" s="327"/>
      <c r="K52" s="327"/>
    </row>
    <row r="53" spans="1:23" ht="22.5" customHeight="1">
      <c r="A53" s="871" t="s">
        <v>283</v>
      </c>
      <c r="B53" s="871"/>
      <c r="C53" s="871"/>
    </row>
    <row r="54" spans="1:23">
      <c r="A54" s="849" t="s">
        <v>269</v>
      </c>
      <c r="B54" s="850"/>
      <c r="C54" s="872"/>
    </row>
    <row r="55" spans="1:23">
      <c r="A55" s="257" t="s">
        <v>63</v>
      </c>
      <c r="B55" s="257" t="s">
        <v>80</v>
      </c>
      <c r="C55" s="257" t="s">
        <v>79</v>
      </c>
    </row>
    <row r="56" spans="1:23">
      <c r="A56" s="22">
        <v>1</v>
      </c>
      <c r="B56" s="97" t="s">
        <v>194</v>
      </c>
      <c r="C56" s="98">
        <f>(Norms!C39*Norms!D39)/10^7</f>
        <v>16.108560000000001</v>
      </c>
    </row>
    <row r="57" spans="1:23">
      <c r="A57" s="189"/>
      <c r="B57" s="262" t="s">
        <v>76</v>
      </c>
      <c r="C57" s="191">
        <f>SUM(C56:C56)</f>
        <v>16.108560000000001</v>
      </c>
    </row>
    <row r="58" spans="1:23">
      <c r="A58" s="849" t="s">
        <v>269</v>
      </c>
      <c r="B58" s="850"/>
      <c r="C58" s="872"/>
    </row>
    <row r="59" spans="1:23">
      <c r="A59" s="257" t="s">
        <v>63</v>
      </c>
      <c r="B59" s="257" t="s">
        <v>80</v>
      </c>
      <c r="C59" s="257" t="s">
        <v>79</v>
      </c>
    </row>
    <row r="60" spans="1:23">
      <c r="A60" s="22">
        <v>1</v>
      </c>
      <c r="B60" s="97" t="s">
        <v>285</v>
      </c>
      <c r="C60" s="98">
        <f>(Norms!C43*Norms!D43)/10^7</f>
        <v>383.23</v>
      </c>
    </row>
    <row r="61" spans="1:23">
      <c r="A61" s="189"/>
      <c r="B61" s="262" t="s">
        <v>76</v>
      </c>
      <c r="C61" s="191">
        <f>SUM(C60:C60)</f>
        <v>383.23</v>
      </c>
    </row>
    <row r="62" spans="1:23" ht="18" customHeight="1">
      <c r="A62" s="246"/>
      <c r="B62" s="246"/>
      <c r="C62" s="246"/>
    </row>
    <row r="63" spans="1:23">
      <c r="A63" s="813" t="s">
        <v>284</v>
      </c>
      <c r="B63" s="813"/>
    </row>
    <row r="64" spans="1:23">
      <c r="A64" s="179" t="s">
        <v>51</v>
      </c>
      <c r="B64" s="181" t="s">
        <v>53</v>
      </c>
    </row>
    <row r="65" spans="1:10">
      <c r="A65" s="20" t="s">
        <v>54</v>
      </c>
      <c r="B65" s="92">
        <f>Norms!B47*Norms!C47</f>
        <v>105</v>
      </c>
    </row>
    <row r="66" spans="1:10">
      <c r="A66" s="20" t="s">
        <v>55</v>
      </c>
      <c r="B66" s="92">
        <f>Norms!B48*Norms!C48</f>
        <v>100</v>
      </c>
    </row>
    <row r="67" spans="1:10">
      <c r="A67" s="20" t="s">
        <v>56</v>
      </c>
      <c r="B67" s="92">
        <f>Norms!B49*Norms!C49</f>
        <v>100</v>
      </c>
    </row>
    <row r="68" spans="1:10">
      <c r="A68" s="20" t="s">
        <v>57</v>
      </c>
      <c r="B68" s="92">
        <f>Norms!B50*Norms!C50</f>
        <v>96</v>
      </c>
    </row>
    <row r="69" spans="1:10">
      <c r="A69" s="374" t="s">
        <v>58</v>
      </c>
      <c r="B69" s="92">
        <f>Norms!B51*Norms!C51</f>
        <v>240</v>
      </c>
    </row>
    <row r="70" spans="1:10">
      <c r="A70" s="20" t="s">
        <v>59</v>
      </c>
      <c r="B70" s="92">
        <f>Norms!B52*Norms!C52</f>
        <v>350</v>
      </c>
    </row>
    <row r="71" spans="1:10">
      <c r="A71" s="182" t="s">
        <v>62</v>
      </c>
      <c r="B71" s="184">
        <f>SUM(B65:B70)/100</f>
        <v>9.91</v>
      </c>
    </row>
    <row r="72" spans="1:10">
      <c r="A72" s="318"/>
      <c r="B72" s="318"/>
    </row>
    <row r="73" spans="1:10">
      <c r="A73" s="868" t="s">
        <v>280</v>
      </c>
      <c r="B73" s="868"/>
    </row>
    <row r="74" spans="1:10">
      <c r="A74" s="869" t="s">
        <v>286</v>
      </c>
      <c r="B74" s="870"/>
    </row>
    <row r="75" spans="1:10">
      <c r="A75" s="236" t="s">
        <v>119</v>
      </c>
      <c r="B75" s="238" t="s">
        <v>121</v>
      </c>
    </row>
    <row r="76" spans="1:10">
      <c r="A76" s="239" t="s">
        <v>122</v>
      </c>
      <c r="B76" s="394">
        <f>$B$78*Norms!B58</f>
        <v>141.13749999999999</v>
      </c>
    </row>
    <row r="77" spans="1:10">
      <c r="A77" s="239" t="s">
        <v>123</v>
      </c>
      <c r="B77" s="394">
        <f>$B$78*Norms!B59</f>
        <v>423.41249999999997</v>
      </c>
    </row>
    <row r="78" spans="1:10">
      <c r="A78" s="103" t="s">
        <v>73</v>
      </c>
      <c r="B78" s="348">
        <f>Capex!E15</f>
        <v>564.54999999999995</v>
      </c>
    </row>
    <row r="79" spans="1:10">
      <c r="A79" s="101"/>
      <c r="B79" s="247"/>
    </row>
    <row r="80" spans="1:10">
      <c r="A80" s="836" t="s">
        <v>280</v>
      </c>
      <c r="B80" s="837"/>
      <c r="C80" s="837"/>
      <c r="D80" s="837"/>
      <c r="E80" s="837"/>
      <c r="F80" s="837"/>
      <c r="G80" s="837"/>
      <c r="H80" s="837"/>
      <c r="I80" s="837"/>
      <c r="J80" s="838"/>
    </row>
    <row r="81" spans="1:10">
      <c r="A81" s="839" t="s">
        <v>287</v>
      </c>
      <c r="B81" s="840"/>
      <c r="C81" s="840"/>
      <c r="D81" s="840"/>
      <c r="E81" s="840"/>
      <c r="F81" s="840"/>
      <c r="G81" s="840"/>
      <c r="H81" s="840"/>
      <c r="I81" s="840"/>
      <c r="J81" s="841"/>
    </row>
    <row r="82" spans="1:10">
      <c r="A82" s="248" t="s">
        <v>124</v>
      </c>
      <c r="B82" s="349">
        <v>0.1</v>
      </c>
      <c r="C82" s="249"/>
      <c r="D82" s="249"/>
      <c r="E82" s="249"/>
      <c r="F82" s="249"/>
      <c r="G82" s="249"/>
      <c r="H82" s="249"/>
      <c r="I82" s="249"/>
      <c r="J82" s="250"/>
    </row>
    <row r="83" spans="1:10">
      <c r="A83" s="239" t="s">
        <v>125</v>
      </c>
      <c r="B83" s="249"/>
      <c r="C83" s="249"/>
      <c r="D83" s="249"/>
      <c r="E83" s="249"/>
      <c r="F83" s="249"/>
      <c r="G83" s="249"/>
      <c r="H83" s="249"/>
      <c r="I83" s="249"/>
      <c r="J83" s="250"/>
    </row>
    <row r="84" spans="1:10">
      <c r="A84" s="99" t="s">
        <v>126</v>
      </c>
      <c r="B84" s="101" t="s">
        <v>96</v>
      </c>
      <c r="C84" s="101" t="s">
        <v>97</v>
      </c>
      <c r="D84" s="101" t="s">
        <v>98</v>
      </c>
      <c r="E84" s="101" t="s">
        <v>99</v>
      </c>
      <c r="F84" s="101" t="s">
        <v>100</v>
      </c>
      <c r="G84" s="101" t="s">
        <v>101</v>
      </c>
      <c r="H84" s="101" t="s">
        <v>102</v>
      </c>
      <c r="I84" s="101" t="s">
        <v>103</v>
      </c>
      <c r="J84" s="102" t="s">
        <v>104</v>
      </c>
    </row>
    <row r="85" spans="1:10">
      <c r="A85" s="261" t="s">
        <v>127</v>
      </c>
      <c r="B85" s="120">
        <f>B77</f>
        <v>423.41249999999997</v>
      </c>
      <c r="C85" s="120">
        <f>B85-B87</f>
        <v>423.41249999999997</v>
      </c>
      <c r="D85" s="120">
        <f t="shared" ref="D85:J85" si="4">+C86-C88</f>
        <v>366.95749999999992</v>
      </c>
      <c r="E85" s="120">
        <f t="shared" si="4"/>
        <v>310.50249999999988</v>
      </c>
      <c r="F85" s="120">
        <f t="shared" si="4"/>
        <v>254.04749999999987</v>
      </c>
      <c r="G85" s="120">
        <f t="shared" si="4"/>
        <v>197.59249999999989</v>
      </c>
      <c r="H85" s="120">
        <f t="shared" si="4"/>
        <v>141.1374999999999</v>
      </c>
      <c r="I85" s="120">
        <f t="shared" si="4"/>
        <v>84.682499999999919</v>
      </c>
      <c r="J85" s="121">
        <f t="shared" si="4"/>
        <v>28.227499999999921</v>
      </c>
    </row>
    <row r="86" spans="1:10">
      <c r="A86" s="251"/>
      <c r="B86" s="120"/>
      <c r="C86" s="120">
        <f t="shared" ref="C86:J86" si="5">+C85-C87</f>
        <v>395.18499999999995</v>
      </c>
      <c r="D86" s="120">
        <f t="shared" si="5"/>
        <v>338.7299999999999</v>
      </c>
      <c r="E86" s="120">
        <f t="shared" si="5"/>
        <v>282.27499999999986</v>
      </c>
      <c r="F86" s="120">
        <f t="shared" si="5"/>
        <v>225.81999999999988</v>
      </c>
      <c r="G86" s="120">
        <f t="shared" si="5"/>
        <v>169.3649999999999</v>
      </c>
      <c r="H86" s="120">
        <f t="shared" si="5"/>
        <v>112.90999999999991</v>
      </c>
      <c r="I86" s="120">
        <f t="shared" si="5"/>
        <v>56.45499999999992</v>
      </c>
      <c r="J86" s="121">
        <f t="shared" si="5"/>
        <v>-7.815970093361102E-14</v>
      </c>
    </row>
    <row r="87" spans="1:10">
      <c r="A87" s="833" t="s">
        <v>128</v>
      </c>
      <c r="B87" s="120">
        <v>0</v>
      </c>
      <c r="C87" s="120">
        <f>+$B$85/15</f>
        <v>28.227499999999999</v>
      </c>
      <c r="D87" s="120">
        <f t="shared" ref="D87:J88" si="6">+$B$85/15</f>
        <v>28.227499999999999</v>
      </c>
      <c r="E87" s="120">
        <f t="shared" si="6"/>
        <v>28.227499999999999</v>
      </c>
      <c r="F87" s="120">
        <f t="shared" si="6"/>
        <v>28.227499999999999</v>
      </c>
      <c r="G87" s="120">
        <f t="shared" si="6"/>
        <v>28.227499999999999</v>
      </c>
      <c r="H87" s="120">
        <f t="shared" si="6"/>
        <v>28.227499999999999</v>
      </c>
      <c r="I87" s="120">
        <f t="shared" si="6"/>
        <v>28.227499999999999</v>
      </c>
      <c r="J87" s="121">
        <f t="shared" si="6"/>
        <v>28.227499999999999</v>
      </c>
    </row>
    <row r="88" spans="1:10">
      <c r="A88" s="833"/>
      <c r="B88" s="120">
        <v>0</v>
      </c>
      <c r="C88" s="120">
        <f>+$B$85/15</f>
        <v>28.227499999999999</v>
      </c>
      <c r="D88" s="120">
        <f t="shared" si="6"/>
        <v>28.227499999999999</v>
      </c>
      <c r="E88" s="120">
        <f t="shared" si="6"/>
        <v>28.227499999999999</v>
      </c>
      <c r="F88" s="120">
        <f t="shared" si="6"/>
        <v>28.227499999999999</v>
      </c>
      <c r="G88" s="120">
        <f t="shared" si="6"/>
        <v>28.227499999999999</v>
      </c>
      <c r="H88" s="120">
        <f t="shared" si="6"/>
        <v>28.227499999999999</v>
      </c>
      <c r="I88" s="120">
        <f t="shared" si="6"/>
        <v>28.227499999999999</v>
      </c>
      <c r="J88" s="121">
        <f t="shared" si="6"/>
        <v>28.227499999999999</v>
      </c>
    </row>
    <row r="89" spans="1:10">
      <c r="A89" s="261" t="s">
        <v>129</v>
      </c>
      <c r="B89" s="120">
        <f t="shared" ref="B89:J89" si="7">SUM(B87:B88)</f>
        <v>0</v>
      </c>
      <c r="C89" s="120">
        <f t="shared" si="7"/>
        <v>56.454999999999998</v>
      </c>
      <c r="D89" s="120">
        <f t="shared" si="7"/>
        <v>56.454999999999998</v>
      </c>
      <c r="E89" s="120">
        <f t="shared" si="7"/>
        <v>56.454999999999998</v>
      </c>
      <c r="F89" s="120">
        <f t="shared" si="7"/>
        <v>56.454999999999998</v>
      </c>
      <c r="G89" s="120">
        <f t="shared" si="7"/>
        <v>56.454999999999998</v>
      </c>
      <c r="H89" s="120">
        <f t="shared" si="7"/>
        <v>56.454999999999998</v>
      </c>
      <c r="I89" s="120">
        <f t="shared" si="7"/>
        <v>56.454999999999998</v>
      </c>
      <c r="J89" s="121">
        <f t="shared" si="7"/>
        <v>56.454999999999998</v>
      </c>
    </row>
    <row r="90" spans="1:10">
      <c r="A90" s="833" t="s">
        <v>130</v>
      </c>
      <c r="B90" s="120">
        <f>+B85*$B$82/2</f>
        <v>21.170625000000001</v>
      </c>
      <c r="C90" s="120">
        <f t="shared" ref="C90:J91" si="8">+C85*$B$82/2</f>
        <v>21.170625000000001</v>
      </c>
      <c r="D90" s="120">
        <f t="shared" si="8"/>
        <v>18.347874999999998</v>
      </c>
      <c r="E90" s="120">
        <f t="shared" si="8"/>
        <v>15.525124999999996</v>
      </c>
      <c r="F90" s="120">
        <f t="shared" si="8"/>
        <v>12.702374999999995</v>
      </c>
      <c r="G90" s="120">
        <f t="shared" si="8"/>
        <v>9.8796249999999954</v>
      </c>
      <c r="H90" s="120">
        <f t="shared" si="8"/>
        <v>7.0568749999999953</v>
      </c>
      <c r="I90" s="120">
        <f t="shared" si="8"/>
        <v>4.2341249999999961</v>
      </c>
      <c r="J90" s="121">
        <f t="shared" si="8"/>
        <v>1.411374999999996</v>
      </c>
    </row>
    <row r="91" spans="1:10">
      <c r="A91" s="833"/>
      <c r="B91" s="120">
        <f>+B90</f>
        <v>21.170625000000001</v>
      </c>
      <c r="C91" s="120">
        <f>+C86*$B$82/2</f>
        <v>19.759249999999998</v>
      </c>
      <c r="D91" s="120">
        <f t="shared" si="8"/>
        <v>16.936499999999995</v>
      </c>
      <c r="E91" s="120">
        <f t="shared" si="8"/>
        <v>14.113749999999994</v>
      </c>
      <c r="F91" s="120">
        <f t="shared" si="8"/>
        <v>11.290999999999995</v>
      </c>
      <c r="G91" s="120">
        <f t="shared" si="8"/>
        <v>8.4682499999999958</v>
      </c>
      <c r="H91" s="120">
        <f t="shared" si="8"/>
        <v>5.6454999999999957</v>
      </c>
      <c r="I91" s="120">
        <f t="shared" si="8"/>
        <v>2.8227499999999961</v>
      </c>
      <c r="J91" s="121">
        <f t="shared" si="8"/>
        <v>-3.9079850466805513E-15</v>
      </c>
    </row>
    <row r="92" spans="1:10">
      <c r="A92" s="252" t="s">
        <v>131</v>
      </c>
      <c r="B92" s="253">
        <f>+B90+B91</f>
        <v>42.341250000000002</v>
      </c>
      <c r="C92" s="253">
        <f>+C90+C91</f>
        <v>40.929874999999996</v>
      </c>
      <c r="D92" s="253">
        <f>+D90+D91</f>
        <v>35.284374999999997</v>
      </c>
      <c r="E92" s="253">
        <f>+E90+E91</f>
        <v>29.638874999999992</v>
      </c>
      <c r="F92" s="253">
        <f>+F90+F91</f>
        <v>23.99337499999999</v>
      </c>
      <c r="G92" s="253">
        <f>+G90+12</f>
        <v>21.879624999999997</v>
      </c>
      <c r="H92" s="253">
        <f>+H90+12</f>
        <v>19.056874999999994</v>
      </c>
      <c r="I92" s="253">
        <f>+I90+12</f>
        <v>16.234124999999995</v>
      </c>
      <c r="J92" s="240">
        <f>+J90+12</f>
        <v>13.411374999999996</v>
      </c>
    </row>
  </sheetData>
  <mergeCells count="22">
    <mergeCell ref="A87:A88"/>
    <mergeCell ref="A90:A91"/>
    <mergeCell ref="A53:C53"/>
    <mergeCell ref="A54:C54"/>
    <mergeCell ref="A58:C58"/>
    <mergeCell ref="A81:J81"/>
    <mergeCell ref="A1:E1"/>
    <mergeCell ref="A7:C7"/>
    <mergeCell ref="A73:B73"/>
    <mergeCell ref="A74:B74"/>
    <mergeCell ref="A80:J80"/>
    <mergeCell ref="A23:A30"/>
    <mergeCell ref="A36:I36"/>
    <mergeCell ref="A37:D37"/>
    <mergeCell ref="A9:A10"/>
    <mergeCell ref="A11:A13"/>
    <mergeCell ref="A15:A22"/>
    <mergeCell ref="A3:A4"/>
    <mergeCell ref="B3:B4"/>
    <mergeCell ref="A5:A6"/>
    <mergeCell ref="B5:B6"/>
    <mergeCell ref="A63:B6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2FA5B-7CB7-4A1B-8777-719D1ED33B33}">
  <dimension ref="A2:S13"/>
  <sheetViews>
    <sheetView showGridLines="0" workbookViewId="0">
      <selection activeCell="J12" sqref="J12"/>
    </sheetView>
  </sheetViews>
  <sheetFormatPr defaultRowHeight="15"/>
  <cols>
    <col min="2" max="2" width="18.140625" bestFit="1" customWidth="1"/>
    <col min="3" max="3" width="19" bestFit="1" customWidth="1"/>
  </cols>
  <sheetData>
    <row r="2" spans="1:19">
      <c r="A2" s="462" t="s">
        <v>376</v>
      </c>
      <c r="B2" s="463"/>
      <c r="C2" s="464"/>
      <c r="D2" s="464"/>
      <c r="E2" s="464"/>
      <c r="F2" s="464"/>
      <c r="G2" s="464"/>
      <c r="H2" s="464"/>
      <c r="I2" s="464"/>
      <c r="J2" s="464"/>
      <c r="K2" s="464"/>
      <c r="L2" s="464"/>
      <c r="M2" s="464"/>
      <c r="N2" s="464"/>
      <c r="O2" s="464"/>
      <c r="P2" s="464"/>
      <c r="Q2" s="464"/>
      <c r="R2" s="464"/>
      <c r="S2" s="3"/>
    </row>
    <row r="3" spans="1:19">
      <c r="A3" s="465"/>
      <c r="B3" s="466"/>
      <c r="C3" s="464"/>
      <c r="D3" s="464"/>
      <c r="E3" s="464"/>
      <c r="F3" s="464"/>
      <c r="G3" s="464"/>
      <c r="H3" s="464"/>
      <c r="I3" s="464"/>
      <c r="J3" s="464"/>
      <c r="K3" s="464"/>
      <c r="L3" s="464"/>
      <c r="M3" s="464"/>
      <c r="N3" s="464"/>
      <c r="O3" s="464"/>
      <c r="P3" s="464"/>
      <c r="Q3" s="464"/>
      <c r="R3" s="464"/>
      <c r="S3" s="3"/>
    </row>
    <row r="4" spans="1:19">
      <c r="A4" s="464"/>
      <c r="B4" s="467" t="s">
        <v>377</v>
      </c>
      <c r="C4" s="468">
        <v>1</v>
      </c>
      <c r="D4" s="464"/>
      <c r="E4" s="464"/>
      <c r="F4" s="464"/>
      <c r="G4" s="464"/>
      <c r="H4" s="464">
        <f>31*42</f>
        <v>1302</v>
      </c>
      <c r="I4" s="464"/>
      <c r="J4" s="464"/>
      <c r="K4" s="464"/>
      <c r="L4" s="464"/>
      <c r="M4" s="464"/>
      <c r="N4" s="464"/>
      <c r="O4" s="464"/>
      <c r="P4" s="464"/>
      <c r="Q4" s="464"/>
      <c r="R4" s="464"/>
      <c r="S4" s="3"/>
    </row>
    <row r="5" spans="1:19">
      <c r="A5" s="464"/>
      <c r="B5" s="469" t="s">
        <v>378</v>
      </c>
      <c r="C5" s="470">
        <v>8</v>
      </c>
      <c r="D5" s="464"/>
      <c r="E5" s="464"/>
      <c r="F5" s="464"/>
      <c r="G5" s="464"/>
      <c r="H5" s="464"/>
      <c r="I5" s="464"/>
      <c r="J5" s="464"/>
      <c r="K5" s="464"/>
      <c r="L5" s="464"/>
      <c r="M5" s="464"/>
      <c r="N5" s="464"/>
      <c r="O5" s="464"/>
      <c r="P5" s="464"/>
      <c r="Q5" s="464"/>
      <c r="R5" s="464"/>
      <c r="S5" s="3"/>
    </row>
    <row r="6" spans="1:19">
      <c r="A6" s="464"/>
      <c r="B6" s="469" t="s">
        <v>368</v>
      </c>
      <c r="C6" s="471">
        <v>0.11</v>
      </c>
      <c r="D6" s="464"/>
      <c r="E6" s="464"/>
      <c r="F6" s="464"/>
      <c r="G6" s="464"/>
      <c r="H6" s="464"/>
      <c r="I6" s="464"/>
      <c r="J6" s="464"/>
      <c r="K6" s="464"/>
      <c r="L6" s="464"/>
      <c r="M6" s="464"/>
      <c r="N6" s="464"/>
      <c r="O6" s="464"/>
      <c r="P6" s="464"/>
      <c r="Q6" s="464"/>
      <c r="R6" s="464"/>
      <c r="S6" s="3"/>
    </row>
    <row r="7" spans="1:19">
      <c r="A7" s="464"/>
      <c r="B7" s="469" t="s">
        <v>379</v>
      </c>
      <c r="C7" s="472">
        <f>Norms!B84</f>
        <v>423.41249999999997</v>
      </c>
      <c r="D7" s="473"/>
      <c r="E7" s="464"/>
      <c r="F7" s="464"/>
      <c r="G7" s="464"/>
      <c r="H7" s="464"/>
      <c r="I7" s="464"/>
      <c r="J7" s="464"/>
      <c r="K7" s="464"/>
      <c r="L7" s="464"/>
      <c r="M7" s="464"/>
      <c r="N7" s="464"/>
      <c r="O7" s="464"/>
      <c r="P7" s="464"/>
      <c r="Q7" s="464"/>
      <c r="R7" s="464"/>
      <c r="S7" s="3"/>
    </row>
    <row r="8" spans="1:19">
      <c r="A8" s="464"/>
      <c r="B8" s="469" t="s">
        <v>380</v>
      </c>
      <c r="C8" s="472">
        <f>C7/C5</f>
        <v>52.926562499999996</v>
      </c>
      <c r="D8" s="464"/>
      <c r="E8" s="464"/>
      <c r="F8" s="464"/>
      <c r="G8" s="464"/>
      <c r="H8" s="464"/>
      <c r="I8" s="464"/>
      <c r="J8" s="464"/>
      <c r="K8" s="464"/>
      <c r="L8" s="464"/>
      <c r="M8" s="464"/>
      <c r="N8" s="464"/>
      <c r="O8" s="464"/>
      <c r="P8" s="464"/>
      <c r="Q8" s="464"/>
      <c r="R8" s="464"/>
      <c r="S8" s="3"/>
    </row>
    <row r="9" spans="1:19">
      <c r="A9" s="464"/>
      <c r="B9" s="464"/>
      <c r="C9" s="464"/>
      <c r="D9" s="464"/>
      <c r="E9" s="464"/>
      <c r="F9" s="464"/>
      <c r="G9" s="464"/>
      <c r="H9" s="464"/>
      <c r="I9" s="464"/>
      <c r="J9" s="464"/>
      <c r="K9" s="464"/>
      <c r="L9" s="464"/>
      <c r="M9" s="464"/>
      <c r="N9" s="464"/>
      <c r="O9" s="464"/>
      <c r="P9" s="464"/>
      <c r="Q9" s="464"/>
      <c r="R9" s="464"/>
      <c r="S9" s="3"/>
    </row>
    <row r="10" spans="1:19">
      <c r="A10" s="474"/>
      <c r="B10" s="474"/>
      <c r="C10" s="475" t="s">
        <v>381</v>
      </c>
      <c r="D10" s="476">
        <v>-1</v>
      </c>
      <c r="E10" s="476">
        <v>1</v>
      </c>
      <c r="F10" s="476">
        <v>2</v>
      </c>
      <c r="G10" s="476">
        <v>3</v>
      </c>
      <c r="H10" s="476">
        <v>4</v>
      </c>
      <c r="I10" s="476">
        <v>5</v>
      </c>
      <c r="J10" s="476">
        <v>6</v>
      </c>
      <c r="K10" s="476">
        <v>7</v>
      </c>
      <c r="L10" s="476">
        <v>8</v>
      </c>
      <c r="M10" s="476">
        <v>9</v>
      </c>
      <c r="N10" s="476">
        <v>10</v>
      </c>
      <c r="O10" s="476">
        <v>11</v>
      </c>
      <c r="P10" s="476">
        <v>12</v>
      </c>
      <c r="Q10" s="476">
        <v>13</v>
      </c>
      <c r="R10" s="476">
        <v>14</v>
      </c>
      <c r="S10" s="476">
        <v>15</v>
      </c>
    </row>
    <row r="11" spans="1:19">
      <c r="A11" s="469"/>
      <c r="B11" s="469" t="s">
        <v>382</v>
      </c>
      <c r="C11" s="468"/>
      <c r="D11" s="468"/>
      <c r="E11" s="470">
        <f>IF(E10&lt;=$C$5,$C$8,0)</f>
        <v>52.926562499999996</v>
      </c>
      <c r="F11" s="470">
        <f t="shared" ref="F11:S11" si="0">IF(F10&lt;=$C$5,$C$8,0)</f>
        <v>52.926562499999996</v>
      </c>
      <c r="G11" s="470">
        <f t="shared" si="0"/>
        <v>52.926562499999996</v>
      </c>
      <c r="H11" s="470">
        <f t="shared" si="0"/>
        <v>52.926562499999996</v>
      </c>
      <c r="I11" s="470">
        <f t="shared" si="0"/>
        <v>52.926562499999996</v>
      </c>
      <c r="J11" s="470">
        <f t="shared" si="0"/>
        <v>52.926562499999996</v>
      </c>
      <c r="K11" s="470">
        <f t="shared" si="0"/>
        <v>52.926562499999996</v>
      </c>
      <c r="L11" s="470">
        <f t="shared" si="0"/>
        <v>52.926562499999996</v>
      </c>
      <c r="M11" s="470">
        <f t="shared" si="0"/>
        <v>0</v>
      </c>
      <c r="N11" s="470">
        <f t="shared" si="0"/>
        <v>0</v>
      </c>
      <c r="O11" s="470">
        <f t="shared" si="0"/>
        <v>0</v>
      </c>
      <c r="P11" s="470">
        <f t="shared" si="0"/>
        <v>0</v>
      </c>
      <c r="Q11" s="470">
        <f t="shared" si="0"/>
        <v>0</v>
      </c>
      <c r="R11" s="470">
        <f t="shared" si="0"/>
        <v>0</v>
      </c>
      <c r="S11" s="470">
        <f t="shared" si="0"/>
        <v>0</v>
      </c>
    </row>
    <row r="12" spans="1:19">
      <c r="A12" s="469"/>
      <c r="B12" s="469" t="s">
        <v>383</v>
      </c>
      <c r="C12" s="472">
        <v>0</v>
      </c>
      <c r="D12" s="472">
        <f>Norms!C59</f>
        <v>423.41249999999997</v>
      </c>
      <c r="E12" s="472">
        <f>C7</f>
        <v>423.41249999999997</v>
      </c>
      <c r="F12" s="472">
        <f>E12-E11</f>
        <v>370.48593749999998</v>
      </c>
      <c r="G12" s="472">
        <f t="shared" ref="G12:S12" si="1">F12-F11</f>
        <v>317.55937499999999</v>
      </c>
      <c r="H12" s="472">
        <f t="shared" si="1"/>
        <v>264.6328125</v>
      </c>
      <c r="I12" s="472">
        <f>H12-H11</f>
        <v>211.70625000000001</v>
      </c>
      <c r="J12" s="472">
        <f t="shared" si="1"/>
        <v>158.77968750000002</v>
      </c>
      <c r="K12" s="472">
        <f>J12-J11</f>
        <v>105.85312500000003</v>
      </c>
      <c r="L12" s="472">
        <f t="shared" si="1"/>
        <v>52.926562500000038</v>
      </c>
      <c r="M12" s="472">
        <f t="shared" si="1"/>
        <v>0</v>
      </c>
      <c r="N12" s="472">
        <f t="shared" si="1"/>
        <v>0</v>
      </c>
      <c r="O12" s="472">
        <f t="shared" si="1"/>
        <v>0</v>
      </c>
      <c r="P12" s="472">
        <f t="shared" si="1"/>
        <v>0</v>
      </c>
      <c r="Q12" s="472">
        <f t="shared" si="1"/>
        <v>0</v>
      </c>
      <c r="R12" s="472">
        <f t="shared" si="1"/>
        <v>0</v>
      </c>
      <c r="S12" s="472">
        <f t="shared" si="1"/>
        <v>0</v>
      </c>
    </row>
    <row r="13" spans="1:19">
      <c r="A13" s="469"/>
      <c r="B13" s="469" t="s">
        <v>368</v>
      </c>
      <c r="C13" s="470">
        <v>0</v>
      </c>
      <c r="D13" s="470">
        <f>D12*$C$6</f>
        <v>46.575374999999994</v>
      </c>
      <c r="E13" s="470">
        <f t="shared" ref="E13:S13" si="2">E12*$C$6</f>
        <v>46.575374999999994</v>
      </c>
      <c r="F13" s="470">
        <f t="shared" si="2"/>
        <v>40.753453125</v>
      </c>
      <c r="G13" s="470">
        <f t="shared" si="2"/>
        <v>34.931531249999999</v>
      </c>
      <c r="H13" s="470">
        <f t="shared" si="2"/>
        <v>29.109609375000002</v>
      </c>
      <c r="I13" s="470">
        <f t="shared" si="2"/>
        <v>23.287687500000001</v>
      </c>
      <c r="J13" s="470">
        <f t="shared" si="2"/>
        <v>17.465765625000003</v>
      </c>
      <c r="K13" s="470">
        <f t="shared" si="2"/>
        <v>11.643843750000004</v>
      </c>
      <c r="L13" s="470">
        <f t="shared" si="2"/>
        <v>5.8219218750000046</v>
      </c>
      <c r="M13" s="470">
        <f t="shared" si="2"/>
        <v>0</v>
      </c>
      <c r="N13" s="470">
        <f t="shared" si="2"/>
        <v>0</v>
      </c>
      <c r="O13" s="470">
        <f t="shared" si="2"/>
        <v>0</v>
      </c>
      <c r="P13" s="470">
        <f t="shared" si="2"/>
        <v>0</v>
      </c>
      <c r="Q13" s="470">
        <f t="shared" si="2"/>
        <v>0</v>
      </c>
      <c r="R13" s="470">
        <f t="shared" si="2"/>
        <v>0</v>
      </c>
      <c r="S13" s="470">
        <f t="shared" si="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A7753-C1C2-43B9-B765-834FEA0B0C63}">
  <dimension ref="A3:S55"/>
  <sheetViews>
    <sheetView tabSelected="1" topLeftCell="A17" workbookViewId="0">
      <selection activeCell="E28" sqref="E28"/>
    </sheetView>
  </sheetViews>
  <sheetFormatPr defaultRowHeight="15"/>
  <cols>
    <col min="2" max="2" width="40.140625" bestFit="1" customWidth="1"/>
    <col min="4" max="4" width="14.28515625" customWidth="1"/>
  </cols>
  <sheetData>
    <row r="3" spans="2:4">
      <c r="B3" s="504" t="s">
        <v>457</v>
      </c>
      <c r="C3" s="505"/>
      <c r="D3" s="505">
        <v>365</v>
      </c>
    </row>
    <row r="4" spans="2:4">
      <c r="B4" s="3"/>
      <c r="C4" s="506"/>
      <c r="D4" s="506"/>
    </row>
    <row r="5" spans="2:4">
      <c r="B5" s="507" t="s">
        <v>458</v>
      </c>
      <c r="C5" s="508"/>
      <c r="D5" s="508" t="s">
        <v>22</v>
      </c>
    </row>
    <row r="6" spans="2:4">
      <c r="B6" s="509" t="s">
        <v>459</v>
      </c>
      <c r="C6" s="510"/>
      <c r="D6" s="511">
        <v>30</v>
      </c>
    </row>
    <row r="7" spans="2:4">
      <c r="B7" s="3"/>
      <c r="C7" s="506"/>
      <c r="D7" s="506"/>
    </row>
    <row r="8" spans="2:4">
      <c r="B8" s="512" t="s">
        <v>460</v>
      </c>
      <c r="C8" s="513"/>
      <c r="D8" s="513" t="s">
        <v>22</v>
      </c>
    </row>
    <row r="9" spans="2:4">
      <c r="B9" s="514" t="s">
        <v>461</v>
      </c>
      <c r="C9" s="515"/>
      <c r="D9" s="516">
        <v>30</v>
      </c>
    </row>
    <row r="10" spans="2:4">
      <c r="B10" s="514"/>
      <c r="C10" s="517"/>
      <c r="D10" s="518"/>
    </row>
    <row r="11" spans="2:4">
      <c r="B11" s="519" t="s">
        <v>462</v>
      </c>
      <c r="C11" s="520"/>
      <c r="D11" s="521" t="s">
        <v>22</v>
      </c>
    </row>
    <row r="12" spans="2:4">
      <c r="B12" s="522" t="s">
        <v>463</v>
      </c>
      <c r="C12" s="523"/>
      <c r="D12" s="516">
        <v>30</v>
      </c>
    </row>
    <row r="13" spans="2:4">
      <c r="B13" s="3"/>
      <c r="C13" s="506"/>
      <c r="D13" s="506"/>
    </row>
    <row r="14" spans="2:4">
      <c r="B14" s="519" t="s">
        <v>464</v>
      </c>
      <c r="C14" s="520"/>
      <c r="D14" s="520" t="s">
        <v>22</v>
      </c>
    </row>
    <row r="15" spans="2:4">
      <c r="B15" s="160"/>
      <c r="C15" s="524"/>
      <c r="D15" s="524">
        <v>45</v>
      </c>
    </row>
    <row r="16" spans="2:4">
      <c r="B16" s="3"/>
      <c r="C16" s="506"/>
      <c r="D16" s="506"/>
    </row>
    <row r="17" spans="1:19">
      <c r="B17" s="519" t="s">
        <v>465</v>
      </c>
      <c r="C17" s="520"/>
      <c r="D17" s="520" t="s">
        <v>22</v>
      </c>
    </row>
    <row r="18" spans="1:19">
      <c r="B18" s="160"/>
      <c r="C18" s="524"/>
      <c r="D18" s="524">
        <v>30</v>
      </c>
    </row>
    <row r="20" spans="1:19" ht="18.75">
      <c r="A20" s="873" t="s">
        <v>466</v>
      </c>
      <c r="B20" s="873"/>
      <c r="C20" s="873"/>
      <c r="D20" s="873"/>
      <c r="E20" s="873"/>
      <c r="F20" s="873"/>
      <c r="G20" s="873"/>
      <c r="H20" s="873"/>
      <c r="I20" s="873"/>
      <c r="J20" s="873"/>
      <c r="K20" s="873"/>
      <c r="L20" s="873"/>
      <c r="M20" s="873"/>
      <c r="N20" s="873"/>
      <c r="O20" s="873"/>
      <c r="P20" s="873"/>
      <c r="Q20" s="873"/>
      <c r="R20" s="873"/>
      <c r="S20" s="873"/>
    </row>
    <row r="21" spans="1:19">
      <c r="A21" s="874" t="s">
        <v>467</v>
      </c>
      <c r="B21" s="874"/>
      <c r="C21" s="874"/>
      <c r="D21" s="874"/>
      <c r="E21" s="874"/>
      <c r="F21" s="874"/>
      <c r="G21" s="874"/>
      <c r="H21" s="874"/>
      <c r="I21" s="874"/>
      <c r="J21" s="874"/>
      <c r="K21" s="874"/>
      <c r="L21" s="874"/>
      <c r="M21" s="874"/>
      <c r="N21" s="874"/>
      <c r="O21" s="874"/>
      <c r="P21" s="874"/>
      <c r="Q21" s="874"/>
      <c r="R21" s="874"/>
      <c r="S21" s="874"/>
    </row>
    <row r="22" spans="1:19">
      <c r="A22" s="525"/>
      <c r="B22" s="526"/>
      <c r="C22" s="875" t="s">
        <v>468</v>
      </c>
      <c r="D22" s="875"/>
      <c r="E22" s="527">
        <v>82627.033698117535</v>
      </c>
      <c r="F22" s="528"/>
      <c r="G22" s="528"/>
      <c r="H22" s="528"/>
      <c r="I22" s="529"/>
      <c r="J22" s="529"/>
      <c r="K22" s="529"/>
      <c r="L22" s="529"/>
      <c r="M22" s="529"/>
      <c r="N22" s="529"/>
      <c r="O22" s="529"/>
      <c r="P22" s="529"/>
      <c r="Q22" s="529"/>
      <c r="R22" s="529"/>
      <c r="S22" s="529"/>
    </row>
    <row r="23" spans="1:19">
      <c r="A23" s="530" t="s">
        <v>469</v>
      </c>
      <c r="B23" s="531" t="s">
        <v>470</v>
      </c>
      <c r="C23" s="532">
        <v>-2</v>
      </c>
      <c r="D23" s="532">
        <v>-1</v>
      </c>
      <c r="E23" s="532">
        <v>1</v>
      </c>
      <c r="F23" s="532" t="s">
        <v>471</v>
      </c>
      <c r="G23" s="532" t="s">
        <v>472</v>
      </c>
      <c r="H23" s="532" t="s">
        <v>473</v>
      </c>
      <c r="I23" s="532" t="s">
        <v>474</v>
      </c>
      <c r="J23" s="532" t="s">
        <v>475</v>
      </c>
      <c r="K23" s="532" t="s">
        <v>476</v>
      </c>
      <c r="L23" s="532" t="s">
        <v>477</v>
      </c>
      <c r="M23" s="532" t="s">
        <v>478</v>
      </c>
      <c r="N23" s="532" t="s">
        <v>479</v>
      </c>
      <c r="O23" s="532" t="s">
        <v>480</v>
      </c>
      <c r="P23" s="532" t="s">
        <v>481</v>
      </c>
      <c r="Q23" s="532" t="s">
        <v>482</v>
      </c>
      <c r="R23" s="532" t="s">
        <v>483</v>
      </c>
      <c r="S23" s="532" t="s">
        <v>484</v>
      </c>
    </row>
    <row r="24" spans="1:19">
      <c r="A24" s="533" t="s">
        <v>485</v>
      </c>
      <c r="B24" s="534"/>
      <c r="C24" s="535" t="s">
        <v>486</v>
      </c>
      <c r="D24" s="535"/>
      <c r="E24" s="536">
        <v>0.7</v>
      </c>
      <c r="F24" s="536">
        <v>0.9</v>
      </c>
      <c r="G24" s="536">
        <v>0.95</v>
      </c>
      <c r="H24" s="536">
        <v>0.95</v>
      </c>
      <c r="I24" s="536">
        <v>0.95</v>
      </c>
      <c r="J24" s="536">
        <v>0.95</v>
      </c>
      <c r="K24" s="536">
        <v>0.95</v>
      </c>
      <c r="L24" s="536">
        <v>0.95</v>
      </c>
      <c r="M24" s="536">
        <v>0.95</v>
      </c>
      <c r="N24" s="536">
        <v>0.95</v>
      </c>
      <c r="O24" s="536">
        <v>0.95</v>
      </c>
      <c r="P24" s="536">
        <v>0.95</v>
      </c>
      <c r="Q24" s="536">
        <v>0.95</v>
      </c>
      <c r="R24" s="536">
        <v>0.95</v>
      </c>
      <c r="S24" s="536">
        <v>0.95</v>
      </c>
    </row>
    <row r="25" spans="1:19">
      <c r="A25" s="537" t="s">
        <v>32</v>
      </c>
      <c r="B25" s="538" t="s">
        <v>487</v>
      </c>
      <c r="C25" s="539"/>
      <c r="D25" s="539"/>
      <c r="E25" s="540"/>
      <c r="F25" s="540"/>
      <c r="G25" s="540"/>
      <c r="H25" s="540"/>
      <c r="I25" s="540"/>
      <c r="J25" s="540"/>
      <c r="K25" s="540"/>
      <c r="L25" s="540"/>
      <c r="M25" s="540"/>
      <c r="N25" s="540"/>
      <c r="O25" s="540"/>
      <c r="P25" s="540"/>
      <c r="Q25" s="540"/>
      <c r="R25" s="540"/>
      <c r="S25" s="540"/>
    </row>
    <row r="26" spans="1:19">
      <c r="A26" s="537">
        <v>1</v>
      </c>
      <c r="B26" s="538" t="s">
        <v>488</v>
      </c>
      <c r="C26" s="539"/>
      <c r="D26" s="539"/>
      <c r="E26" s="540"/>
      <c r="F26" s="540"/>
      <c r="G26" s="540"/>
      <c r="H26" s="540"/>
      <c r="I26" s="540"/>
      <c r="J26" s="540"/>
      <c r="K26" s="540"/>
      <c r="L26" s="540"/>
      <c r="M26" s="540"/>
      <c r="N26" s="540"/>
      <c r="O26" s="540"/>
      <c r="P26" s="540"/>
      <c r="Q26" s="540"/>
      <c r="R26" s="540"/>
      <c r="S26" s="540"/>
    </row>
    <row r="27" spans="1:19">
      <c r="A27" s="541"/>
      <c r="B27" s="542" t="s">
        <v>20</v>
      </c>
      <c r="C27" s="543"/>
      <c r="D27" s="543"/>
      <c r="E27" s="544"/>
      <c r="F27" s="544"/>
      <c r="G27" s="544"/>
      <c r="H27" s="544"/>
      <c r="I27" s="544"/>
      <c r="J27" s="544"/>
      <c r="K27" s="544"/>
      <c r="L27" s="544"/>
      <c r="M27" s="544"/>
      <c r="N27" s="544"/>
      <c r="O27" s="544"/>
      <c r="P27" s="544"/>
      <c r="Q27" s="544"/>
      <c r="R27" s="544"/>
      <c r="S27" s="544"/>
    </row>
    <row r="28" spans="1:19">
      <c r="A28" s="541"/>
      <c r="B28" s="542" t="s">
        <v>489</v>
      </c>
      <c r="C28" s="543">
        <v>0</v>
      </c>
      <c r="D28" s="543">
        <v>0</v>
      </c>
      <c r="E28" s="545">
        <f>(('Cashflow '!F11+'Cashflow '!F12)/$D$3)*$D$12</f>
        <v>22.975643178082191</v>
      </c>
      <c r="F28" s="545">
        <f>(('Cashflow '!G11+'Cashflow '!G12)/$D$3)*$D$12</f>
        <v>29.540112657534248</v>
      </c>
      <c r="G28" s="545">
        <f>(('Cashflow '!H11+'Cashflow '!H12)/$D$3)*$D$12</f>
        <v>31.181230027397259</v>
      </c>
      <c r="H28" s="545">
        <f>(('Cashflow '!I11+'Cashflow '!I12)/$D$3)*$D$12</f>
        <v>31.181230027397259</v>
      </c>
      <c r="I28" s="545">
        <f>(('Cashflow '!J11+'Cashflow '!J12)/$D$3)*$D$12</f>
        <v>31.181230027397259</v>
      </c>
      <c r="J28" s="545">
        <f>(('Cashflow '!K11+'Cashflow '!K12)/$D$3)*$D$12</f>
        <v>31.181230027397259</v>
      </c>
      <c r="K28" s="545">
        <f>(('Cashflow '!L11+'Cashflow '!L12)/$D$3)*$D$12</f>
        <v>31.181230027397259</v>
      </c>
      <c r="L28" s="545">
        <f>(('Cashflow '!M11+'Cashflow '!M12)/$D$3)*$D$12</f>
        <v>31.181230027397259</v>
      </c>
      <c r="M28" s="545">
        <f>(('Cashflow '!N11+'Cashflow '!N12)/$D$3)*$D$12</f>
        <v>31.181230027397259</v>
      </c>
      <c r="N28" s="545">
        <f>(('Cashflow '!O11+'Cashflow '!O12)/$D$3)*$D$12</f>
        <v>31.181230027397259</v>
      </c>
      <c r="O28" s="545">
        <f>(('Cashflow '!P11+'Cashflow '!P12)/$D$3)*$D$12</f>
        <v>31.181230027397259</v>
      </c>
      <c r="P28" s="545">
        <f>(('Cashflow '!Q11+'Cashflow '!Q12)/$D$3)*$D$12</f>
        <v>31.181230027397259</v>
      </c>
      <c r="Q28" s="545">
        <f>(('Cashflow '!R11+'Cashflow '!R12)/$D$3)*$D$12</f>
        <v>31.181230027397259</v>
      </c>
      <c r="R28" s="545">
        <f>(('Cashflow '!S11+'Cashflow '!S12)/$D$3)*$D$12</f>
        <v>31.181230027397259</v>
      </c>
      <c r="S28" s="545">
        <f>(('Cashflow '!T11+'Cashflow '!T12)/$D$3)*$D$12</f>
        <v>31.181230027397259</v>
      </c>
    </row>
    <row r="29" spans="1:19">
      <c r="A29" s="541"/>
      <c r="B29" s="542" t="s">
        <v>490</v>
      </c>
      <c r="C29" s="543">
        <v>0</v>
      </c>
      <c r="D29" s="543">
        <v>0</v>
      </c>
      <c r="E29" s="545">
        <f>'Cashflow '!F21/'Bal sheet'!$D$3*'Bal sheet'!$D$15</f>
        <v>21.268817593221829</v>
      </c>
      <c r="F29" s="545">
        <f>'Cashflow '!G21/'Bal sheet'!$D$3*'Bal sheet'!$D$15</f>
        <v>27.735435358384432</v>
      </c>
      <c r="G29" s="545">
        <f>'Cashflow '!H21/'Bal sheet'!$D$3*'Bal sheet'!$D$15</f>
        <v>29.728121577346808</v>
      </c>
      <c r="H29" s="545">
        <f>'Cashflow '!I21/'Bal sheet'!$D$3*'Bal sheet'!$D$15</f>
        <v>30.163806194921275</v>
      </c>
      <c r="I29" s="545">
        <f>'Cashflow '!J21/'Bal sheet'!$D$3*'Bal sheet'!$D$15</f>
        <v>30.535141982965282</v>
      </c>
      <c r="J29" s="545">
        <f>'Cashflow '!K21/'Bal sheet'!$D$3*'Bal sheet'!$D$15</f>
        <v>30.944312885537013</v>
      </c>
      <c r="K29" s="545">
        <f>'Cashflow '!L21/'Bal sheet'!$D$3*'Bal sheet'!$D$15</f>
        <v>31.350714281811072</v>
      </c>
      <c r="L29" s="545">
        <f>'Cashflow '!M21/'Bal sheet'!$D$3*'Bal sheet'!$D$15</f>
        <v>31.773600687448969</v>
      </c>
      <c r="M29" s="545">
        <f>'Cashflow '!N21/'Bal sheet'!$D$3*'Bal sheet'!$D$15</f>
        <v>32.244558241047287</v>
      </c>
      <c r="N29" s="545">
        <f>'Cashflow '!O21/'Bal sheet'!$D$3*'Bal sheet'!$D$15</f>
        <v>32.590630620316752</v>
      </c>
      <c r="O29" s="545">
        <f>'Cashflow '!P21/'Bal sheet'!$D$3*'Bal sheet'!$D$15</f>
        <v>32.963619027257074</v>
      </c>
      <c r="P29" s="545">
        <f>'Cashflow '!Q21/'Bal sheet'!$D$3*'Bal sheet'!$D$15</f>
        <v>33.349678989217949</v>
      </c>
      <c r="Q29" s="545">
        <f>'Cashflow '!R21/'Bal sheet'!$D$3*'Bal sheet'!$D$15</f>
        <v>33.710644499416432</v>
      </c>
      <c r="R29" s="545">
        <f>'Cashflow '!S21/'Bal sheet'!$D$3*'Bal sheet'!$D$15</f>
        <v>34.069557037182882</v>
      </c>
      <c r="S29" s="545">
        <f>'Cashflow '!T21/'Bal sheet'!$D$3*'Bal sheet'!$D$15</f>
        <v>34.429298347890906</v>
      </c>
    </row>
    <row r="30" spans="1:19">
      <c r="A30" s="541"/>
      <c r="B30" s="546" t="s">
        <v>491</v>
      </c>
      <c r="C30" s="547">
        <v>0</v>
      </c>
      <c r="D30" s="547">
        <v>0</v>
      </c>
      <c r="E30" s="545">
        <f>('Cashflow '!F15/'Bal sheet'!$D$6)</f>
        <v>5.1136668350592354</v>
      </c>
      <c r="F30" s="545">
        <f>('Cashflow '!G15/'Bal sheet'!$D$6)</f>
        <v>6.667417976700305</v>
      </c>
      <c r="G30" s="545">
        <f>('Cashflow '!H15/'Bal sheet'!$D$6)</f>
        <v>7.1462126698493504</v>
      </c>
      <c r="H30" s="545">
        <f>('Cashflow '!I15/'Bal sheet'!$D$6)</f>
        <v>7.2512619960961349</v>
      </c>
      <c r="I30" s="545">
        <f>('Cashflow '!J15/'Bal sheet'!$D$6)</f>
        <v>7.3390022662488983</v>
      </c>
      <c r="J30" s="545">
        <f>('Cashflow '!K15/'Bal sheet'!$D$6)</f>
        <v>7.4373448966166338</v>
      </c>
      <c r="K30" s="545">
        <f>('Cashflow '!L15/'Bal sheet'!$D$6)</f>
        <v>7.5347741147623122</v>
      </c>
      <c r="L30" s="545">
        <f>('Cashflow '!M15/'Bal sheet'!$D$6)</f>
        <v>7.6364935653116026</v>
      </c>
      <c r="M30" s="545">
        <f>('Cashflow '!N15/'Bal sheet'!$D$6)</f>
        <v>7.7510409687912771</v>
      </c>
      <c r="N30" s="545">
        <f>('Cashflow '!O15/'Bal sheet'!$D$6)</f>
        <v>7.8316517948667048</v>
      </c>
      <c r="O30" s="545">
        <f>('Cashflow '!P15/'Bal sheet'!$D$6)</f>
        <v>7.9193662949692127</v>
      </c>
      <c r="P30" s="545">
        <f>('Cashflow '!Q15/'Bal sheet'!$D$6)</f>
        <v>8.0104390073613594</v>
      </c>
      <c r="Q30" s="545">
        <f>('Cashflow '!R15/'Bal sheet'!$D$6)</f>
        <v>8.0945486169386545</v>
      </c>
      <c r="R30" s="545">
        <f>('Cashflow '!S15/'Bal sheet'!$D$6)</f>
        <v>8.1779224676931221</v>
      </c>
      <c r="S30" s="545">
        <f>('Cashflow '!T15/'Bal sheet'!$D$6)</f>
        <v>8.2613372768635926</v>
      </c>
    </row>
    <row r="31" spans="1:19">
      <c r="A31" s="541"/>
      <c r="B31" s="542" t="s">
        <v>492</v>
      </c>
      <c r="C31" s="548">
        <f>+G31/2</f>
        <v>1.775055439148825E-2</v>
      </c>
      <c r="D31" s="549">
        <f>+E31</f>
        <v>2.5361268493150683E-2</v>
      </c>
      <c r="E31" s="545">
        <f>('Cashflow '!F18+'Cashflow '!F20)/'Bal sheet'!$D$3*'Bal sheet'!$D$18</f>
        <v>2.5361268493150683E-2</v>
      </c>
      <c r="F31" s="545">
        <f>('Cashflow '!G18+'Cashflow '!G20)/'Bal sheet'!$D$3*'Bal sheet'!$D$18</f>
        <v>3.3112759056164377E-2</v>
      </c>
      <c r="G31" s="545">
        <f>('Cashflow '!H18+'Cashflow '!H20)/'Bal sheet'!$D$3*'Bal sheet'!$D$18</f>
        <v>3.55011087829765E-2</v>
      </c>
      <c r="H31" s="545">
        <f>('Cashflow '!I18+'Cashflow '!I20)/'Bal sheet'!$D$3*'Bal sheet'!$D$18</f>
        <v>3.600877463857307E-2</v>
      </c>
      <c r="I31" s="545">
        <f>('Cashflow '!J18+'Cashflow '!J20)/'Bal sheet'!$D$3*'Bal sheet'!$D$18</f>
        <v>3.6512897483513086E-2</v>
      </c>
      <c r="J31" s="545">
        <f>('Cashflow '!K18+'Cashflow '!K20)/'Bal sheet'!$D$3*'Bal sheet'!$D$18</f>
        <v>3.7002170309792165E-2</v>
      </c>
      <c r="K31" s="545">
        <f>('Cashflow '!L18+'Cashflow '!L20)/'Bal sheet'!$D$3*'Bal sheet'!$D$18</f>
        <v>3.7497999391943385E-2</v>
      </c>
      <c r="L31" s="545">
        <f>('Cashflow '!M18+'Cashflow '!M20)/'Bal sheet'!$D$3*'Bal sheet'!$D$18</f>
        <v>3.8000472583795429E-2</v>
      </c>
      <c r="M31" s="545">
        <f>('Cashflow '!N18+'Cashflow '!N20)/'Bal sheet'!$D$3*'Bal sheet'!$D$18</f>
        <v>3.8509678916418287E-2</v>
      </c>
      <c r="N31" s="545">
        <f>('Cashflow '!O18+'Cashflow '!O20)/'Bal sheet'!$D$3*'Bal sheet'!$D$18</f>
        <v>3.9025708613898293E-2</v>
      </c>
      <c r="O31" s="545">
        <f>('Cashflow '!P18+'Cashflow '!P20)/'Bal sheet'!$D$3*'Bal sheet'!$D$18</f>
        <v>3.9548653109324532E-2</v>
      </c>
      <c r="P31" s="545">
        <f>('Cashflow '!Q18+'Cashflow '!Q20)/'Bal sheet'!$D$3*'Bal sheet'!$D$18</f>
        <v>4.0078605060989474E-2</v>
      </c>
      <c r="Q31" s="545">
        <f>('Cashflow '!R18+'Cashflow '!R20)/'Bal sheet'!$D$3*'Bal sheet'!$D$18</f>
        <v>4.0615658368806734E-2</v>
      </c>
      <c r="R31" s="545">
        <f>('Cashflow '!S18+'Cashflow '!S20)/'Bal sheet'!$D$3*'Bal sheet'!$D$18</f>
        <v>4.1159908190948745E-2</v>
      </c>
      <c r="S31" s="545">
        <f>('Cashflow '!T18+'Cashflow '!T20)/'Bal sheet'!$D$3*'Bal sheet'!$D$18</f>
        <v>4.1711450960707469E-2</v>
      </c>
    </row>
    <row r="32" spans="1:19">
      <c r="A32" s="541"/>
      <c r="B32" s="550" t="s">
        <v>493</v>
      </c>
      <c r="C32" s="551">
        <f>SUM(C28:C31)</f>
        <v>1.775055439148825E-2</v>
      </c>
      <c r="D32" s="552">
        <f>SUM(D28:D31)</f>
        <v>2.5361268493150683E-2</v>
      </c>
      <c r="E32" s="553">
        <f>SUM(E28:E31)</f>
        <v>49.383488874856404</v>
      </c>
      <c r="F32" s="553">
        <f t="shared" ref="F32:S32" si="0">SUM(F28:F31)</f>
        <v>63.976078751675153</v>
      </c>
      <c r="G32" s="553">
        <f t="shared" si="0"/>
        <v>68.091065383376403</v>
      </c>
      <c r="H32" s="553">
        <f t="shared" si="0"/>
        <v>68.632306993053248</v>
      </c>
      <c r="I32" s="553">
        <f t="shared" si="0"/>
        <v>69.091887174094964</v>
      </c>
      <c r="J32" s="553">
        <f t="shared" si="0"/>
        <v>69.599889979860691</v>
      </c>
      <c r="K32" s="553">
        <f t="shared" si="0"/>
        <v>70.104216423362587</v>
      </c>
      <c r="L32" s="553">
        <f t="shared" si="0"/>
        <v>70.62932475274161</v>
      </c>
      <c r="M32" s="553">
        <f t="shared" si="0"/>
        <v>71.215338916152234</v>
      </c>
      <c r="N32" s="553">
        <f t="shared" si="0"/>
        <v>71.6425381511946</v>
      </c>
      <c r="O32" s="553">
        <f t="shared" si="0"/>
        <v>72.103764002732859</v>
      </c>
      <c r="P32" s="553">
        <f t="shared" si="0"/>
        <v>72.581426629037551</v>
      </c>
      <c r="Q32" s="553">
        <f t="shared" si="0"/>
        <v>73.027038802121155</v>
      </c>
      <c r="R32" s="553">
        <f t="shared" si="0"/>
        <v>73.469869440464208</v>
      </c>
      <c r="S32" s="553">
        <f t="shared" si="0"/>
        <v>73.913577103112473</v>
      </c>
    </row>
    <row r="33" spans="1:19">
      <c r="A33" s="537">
        <v>2</v>
      </c>
      <c r="B33" s="554" t="s">
        <v>494</v>
      </c>
      <c r="C33" s="555">
        <v>0</v>
      </c>
      <c r="D33" s="555">
        <v>0</v>
      </c>
      <c r="E33" s="545">
        <f>'Cashflow '!E118</f>
        <v>2.2617014248952376</v>
      </c>
      <c r="F33" s="545">
        <f>'Cashflow '!F118</f>
        <v>2.261701424895266</v>
      </c>
      <c r="G33" s="545">
        <f>'Cashflow '!G118</f>
        <v>2.261701424895266</v>
      </c>
      <c r="H33" s="545">
        <f>'Cashflow '!H118</f>
        <v>2.261701424895266</v>
      </c>
      <c r="I33" s="545">
        <f>'Cashflow '!I118</f>
        <v>11.377384365988165</v>
      </c>
      <c r="J33" s="545">
        <f>'Cashflow '!J118</f>
        <v>7.0808141631671493</v>
      </c>
      <c r="K33" s="545">
        <f>'Cashflow '!K118</f>
        <v>2.2617014248952945</v>
      </c>
      <c r="L33" s="545">
        <f>'Cashflow '!L118</f>
        <v>2.2617014248952945</v>
      </c>
      <c r="M33" s="545">
        <f>'Cashflow '!M118</f>
        <v>2.2617014248953087</v>
      </c>
      <c r="N33" s="545">
        <f>'Cashflow '!N118</f>
        <v>17.515621172614999</v>
      </c>
      <c r="O33" s="545">
        <f>'Cashflow '!O118</f>
        <v>32.497999646386759</v>
      </c>
      <c r="P33" s="545">
        <f>'Cashflow '!P118</f>
        <v>42.727699198911154</v>
      </c>
      <c r="Q33" s="545">
        <f>'Cashflow '!Q118</f>
        <v>48.212737859458528</v>
      </c>
      <c r="R33" s="545">
        <f>'Cashflow '!R118</f>
        <v>50.786412198400711</v>
      </c>
      <c r="S33" s="545">
        <f>'Cashflow '!S118</f>
        <v>50.569643293349756</v>
      </c>
    </row>
    <row r="34" spans="1:19">
      <c r="A34" s="537">
        <v>3</v>
      </c>
      <c r="B34" s="538" t="s">
        <v>495</v>
      </c>
      <c r="C34" s="539"/>
      <c r="D34" s="539"/>
      <c r="E34" s="545"/>
      <c r="F34" s="545"/>
      <c r="G34" s="545"/>
      <c r="H34" s="545"/>
      <c r="I34" s="545"/>
      <c r="J34" s="545"/>
      <c r="K34" s="545"/>
      <c r="L34" s="545"/>
      <c r="M34" s="545"/>
      <c r="N34" s="545"/>
      <c r="O34" s="545"/>
      <c r="P34" s="545"/>
      <c r="Q34" s="545"/>
      <c r="R34" s="545"/>
      <c r="S34" s="545"/>
    </row>
    <row r="35" spans="1:19">
      <c r="A35" s="541"/>
      <c r="B35" s="542" t="s">
        <v>496</v>
      </c>
      <c r="C35" s="545">
        <f>'Cashflow '!D55</f>
        <v>113.08507124476117</v>
      </c>
      <c r="D35" s="545">
        <f>+E35</f>
        <v>463.09797404744626</v>
      </c>
      <c r="E35" s="545">
        <f>'Cashflow '!C51+Capex!B30</f>
        <v>463.09797404744626</v>
      </c>
      <c r="F35" s="545">
        <f t="shared" ref="F35:K35" si="1">E35</f>
        <v>463.09797404744626</v>
      </c>
      <c r="G35" s="545">
        <f t="shared" si="1"/>
        <v>463.09797404744626</v>
      </c>
      <c r="H35" s="545">
        <f t="shared" si="1"/>
        <v>463.09797404744626</v>
      </c>
      <c r="I35" s="545">
        <f t="shared" si="1"/>
        <v>463.09797404744626</v>
      </c>
      <c r="J35" s="545">
        <f t="shared" si="1"/>
        <v>463.09797404744626</v>
      </c>
      <c r="K35" s="545">
        <f t="shared" si="1"/>
        <v>463.09797404744626</v>
      </c>
      <c r="L35" s="545">
        <f t="shared" ref="L35:S35" si="2">K35</f>
        <v>463.09797404744626</v>
      </c>
      <c r="M35" s="545">
        <f t="shared" si="2"/>
        <v>463.09797404744626</v>
      </c>
      <c r="N35" s="545">
        <f t="shared" si="2"/>
        <v>463.09797404744626</v>
      </c>
      <c r="O35" s="545">
        <f t="shared" si="2"/>
        <v>463.09797404744626</v>
      </c>
      <c r="P35" s="545">
        <f t="shared" si="2"/>
        <v>463.09797404744626</v>
      </c>
      <c r="Q35" s="545">
        <f t="shared" si="2"/>
        <v>463.09797404744626</v>
      </c>
      <c r="R35" s="545">
        <f t="shared" si="2"/>
        <v>463.09797404744626</v>
      </c>
      <c r="S35" s="545">
        <f t="shared" si="2"/>
        <v>463.09797404744626</v>
      </c>
    </row>
    <row r="36" spans="1:19">
      <c r="A36" s="541"/>
      <c r="B36" s="546" t="s">
        <v>497</v>
      </c>
      <c r="C36" s="547">
        <v>0</v>
      </c>
      <c r="D36" s="547">
        <v>0</v>
      </c>
      <c r="E36" s="545">
        <f>SUM('Cashflow '!$F$76:'Cashflow '!F76)</f>
        <v>20.826821021628508</v>
      </c>
      <c r="F36" s="545">
        <f>SUM('Cashflow '!$F$76:'Cashflow '!G76)</f>
        <v>41.653642043257015</v>
      </c>
      <c r="G36" s="545">
        <f>SUM('Cashflow '!$F$76:'Cashflow '!H76)</f>
        <v>62.480463064885527</v>
      </c>
      <c r="H36" s="545">
        <f>SUM('Cashflow '!$F$76:'Cashflow '!I76)</f>
        <v>83.307284086514031</v>
      </c>
      <c r="I36" s="545">
        <f>SUM('Cashflow '!$F$76:'Cashflow '!J76)</f>
        <v>104.13410510814253</v>
      </c>
      <c r="J36" s="545">
        <f>SUM('Cashflow '!$F$76:'Cashflow '!K76)</f>
        <v>124.96092612977104</v>
      </c>
      <c r="K36" s="545">
        <f>SUM('Cashflow '!$F$76:'Cashflow '!L76)</f>
        <v>145.78774715139954</v>
      </c>
      <c r="L36" s="545">
        <f>SUM('Cashflow '!$F$76:'Cashflow '!M76)</f>
        <v>166.61456817302806</v>
      </c>
      <c r="M36" s="545">
        <f>SUM('Cashflow '!$F$76:'Cashflow '!N76)</f>
        <v>187.44138919465658</v>
      </c>
      <c r="N36" s="545">
        <f>SUM('Cashflow '!$F$76:'Cashflow '!O76)</f>
        <v>208.2682102162851</v>
      </c>
      <c r="O36" s="545">
        <f>SUM('Cashflow '!$F$76:'Cashflow '!P76)</f>
        <v>229.09503123791362</v>
      </c>
      <c r="P36" s="545">
        <f>SUM('Cashflow '!$F$76:'Cashflow '!Q76)</f>
        <v>249.92185225954213</v>
      </c>
      <c r="Q36" s="545">
        <f>SUM('Cashflow '!$F$76:'Cashflow '!R76)</f>
        <v>270.74867328117062</v>
      </c>
      <c r="R36" s="545">
        <f>SUM('Cashflow '!$F$76:'Cashflow '!S76)</f>
        <v>291.57549430279914</v>
      </c>
      <c r="S36" s="545">
        <f>SUM('Cashflow '!$F$76:'Cashflow '!T76)</f>
        <v>312.40231532442766</v>
      </c>
    </row>
    <row r="37" spans="1:19">
      <c r="A37" s="541"/>
      <c r="B37" s="542" t="s">
        <v>498</v>
      </c>
      <c r="C37" s="545">
        <f t="shared" ref="C37:J37" si="3">C35-C36</f>
        <v>113.08507124476117</v>
      </c>
      <c r="D37" s="545">
        <f t="shared" si="3"/>
        <v>463.09797404744626</v>
      </c>
      <c r="E37" s="545">
        <f t="shared" si="3"/>
        <v>442.27115302581774</v>
      </c>
      <c r="F37" s="545">
        <f t="shared" si="3"/>
        <v>421.44433200418922</v>
      </c>
      <c r="G37" s="545">
        <f t="shared" si="3"/>
        <v>400.6175109825607</v>
      </c>
      <c r="H37" s="545">
        <f t="shared" si="3"/>
        <v>379.79068996093224</v>
      </c>
      <c r="I37" s="545">
        <f t="shared" si="3"/>
        <v>358.96386893930372</v>
      </c>
      <c r="J37" s="545">
        <f t="shared" si="3"/>
        <v>338.1370479176752</v>
      </c>
      <c r="K37" s="545">
        <f t="shared" ref="K37:S37" si="4">K35-K36</f>
        <v>317.31022689604674</v>
      </c>
      <c r="L37" s="545">
        <f t="shared" si="4"/>
        <v>296.48340587441817</v>
      </c>
      <c r="M37" s="545">
        <f t="shared" si="4"/>
        <v>275.65658485278971</v>
      </c>
      <c r="N37" s="545">
        <f t="shared" si="4"/>
        <v>254.82976383116116</v>
      </c>
      <c r="O37" s="545">
        <f t="shared" si="4"/>
        <v>234.00294280953264</v>
      </c>
      <c r="P37" s="545">
        <f t="shared" si="4"/>
        <v>213.17612178790412</v>
      </c>
      <c r="Q37" s="545">
        <f t="shared" si="4"/>
        <v>192.34930076627563</v>
      </c>
      <c r="R37" s="545">
        <f t="shared" si="4"/>
        <v>171.52247974464711</v>
      </c>
      <c r="S37" s="545">
        <f t="shared" si="4"/>
        <v>150.6956587230186</v>
      </c>
    </row>
    <row r="38" spans="1:19">
      <c r="A38" s="541" t="s">
        <v>312</v>
      </c>
      <c r="B38" s="538" t="s">
        <v>499</v>
      </c>
      <c r="C38" s="556">
        <f t="shared" ref="C38:J38" si="5">C32+C33+C37</f>
        <v>113.10282179915265</v>
      </c>
      <c r="D38" s="556">
        <f t="shared" si="5"/>
        <v>463.12333531593941</v>
      </c>
      <c r="E38" s="556">
        <f t="shared" si="5"/>
        <v>493.91634332556936</v>
      </c>
      <c r="F38" s="556">
        <f t="shared" si="5"/>
        <v>487.68211218075965</v>
      </c>
      <c r="G38" s="556">
        <f t="shared" si="5"/>
        <v>470.97027779083237</v>
      </c>
      <c r="H38" s="556">
        <f t="shared" si="5"/>
        <v>450.68469837888074</v>
      </c>
      <c r="I38" s="556">
        <f t="shared" si="5"/>
        <v>439.43314047938685</v>
      </c>
      <c r="J38" s="556">
        <f t="shared" si="5"/>
        <v>414.81775206070301</v>
      </c>
      <c r="K38" s="556">
        <f t="shared" ref="K38:S38" si="6">K32+K33+K37</f>
        <v>389.67614474430462</v>
      </c>
      <c r="L38" s="556">
        <f t="shared" si="6"/>
        <v>369.37443205205506</v>
      </c>
      <c r="M38" s="556">
        <f t="shared" si="6"/>
        <v>349.13362519383725</v>
      </c>
      <c r="N38" s="556">
        <f t="shared" si="6"/>
        <v>343.98792315497076</v>
      </c>
      <c r="O38" s="556">
        <f t="shared" si="6"/>
        <v>338.60470645865223</v>
      </c>
      <c r="P38" s="556">
        <f t="shared" si="6"/>
        <v>328.48524761585281</v>
      </c>
      <c r="Q38" s="556">
        <f t="shared" si="6"/>
        <v>313.58907742785533</v>
      </c>
      <c r="R38" s="556">
        <f t="shared" si="6"/>
        <v>295.77876138351201</v>
      </c>
      <c r="S38" s="556">
        <f t="shared" si="6"/>
        <v>275.17887911948083</v>
      </c>
    </row>
    <row r="39" spans="1:19">
      <c r="A39" s="537" t="s">
        <v>44</v>
      </c>
      <c r="B39" s="538" t="s">
        <v>500</v>
      </c>
      <c r="C39" s="539"/>
      <c r="D39" s="539"/>
      <c r="E39" s="545"/>
      <c r="F39" s="545"/>
      <c r="G39" s="545"/>
      <c r="H39" s="545"/>
      <c r="I39" s="545"/>
      <c r="J39" s="545"/>
      <c r="K39" s="545"/>
      <c r="L39" s="545"/>
      <c r="M39" s="545"/>
      <c r="N39" s="545"/>
      <c r="O39" s="545"/>
      <c r="P39" s="545"/>
      <c r="Q39" s="545"/>
      <c r="R39" s="545"/>
      <c r="S39" s="545"/>
    </row>
    <row r="40" spans="1:19">
      <c r="A40" s="537">
        <v>1</v>
      </c>
      <c r="B40" s="538" t="s">
        <v>501</v>
      </c>
      <c r="C40" s="539"/>
      <c r="D40" s="539"/>
      <c r="E40" s="545"/>
      <c r="F40" s="545"/>
      <c r="G40" s="545"/>
      <c r="H40" s="545"/>
      <c r="I40" s="545"/>
      <c r="J40" s="545"/>
      <c r="K40" s="545"/>
      <c r="L40" s="545"/>
      <c r="M40" s="545"/>
      <c r="N40" s="545"/>
      <c r="O40" s="545"/>
      <c r="P40" s="545"/>
      <c r="Q40" s="545"/>
      <c r="R40" s="545"/>
      <c r="S40" s="545"/>
    </row>
    <row r="41" spans="1:19">
      <c r="A41" s="541"/>
      <c r="B41" s="542" t="s">
        <v>502</v>
      </c>
      <c r="C41" s="543">
        <v>0</v>
      </c>
      <c r="D41" s="543">
        <v>0</v>
      </c>
      <c r="E41" s="545">
        <f>($D$9*(Norms!$D$3+Norms!$D$5)*(Norms!$B$5/1000)*Norms!$G$13*E24)/10000000</f>
        <v>6.3527326012499996</v>
      </c>
      <c r="F41" s="545">
        <f>($D$9*(Norms!$D$3+Norms!$D$5)*(Norms!$B$5/1000)*Norms!$G$13*F24)/10000000</f>
        <v>8.1677990587500009</v>
      </c>
      <c r="G41" s="545">
        <f>($D$9*(Norms!$D$3+Norms!$D$5)*(Norms!$B$5/1000)*Norms!$G$13*G24)/10000000</f>
        <v>8.6215656731249997</v>
      </c>
      <c r="H41" s="545">
        <f>($D$9*(Norms!$D$3+Norms!$D$5)*(Norms!$B$5/1000)*Norms!$G$13*H24)/10000000</f>
        <v>8.6215656731249997</v>
      </c>
      <c r="I41" s="545">
        <f>($D$9*(Norms!$D$3+Norms!$D$5)*(Norms!$B$5/1000)*Norms!$G$13*I24)/10000000</f>
        <v>8.6215656731249997</v>
      </c>
      <c r="J41" s="545">
        <f>($D$9*(Norms!$D$3+Norms!$D$5)*(Norms!$B$5/1000)*Norms!$G$13*J24)/10000000</f>
        <v>8.6215656731249997</v>
      </c>
      <c r="K41" s="545">
        <f>($D$9*(Norms!$D$3+Norms!$D$5)*(Norms!$B$5/1000)*Norms!$G$13*K24)/10000000</f>
        <v>8.6215656731249997</v>
      </c>
      <c r="L41" s="545">
        <f>($D$9*(Norms!$D$3+Norms!$D$5)*(Norms!$B$5/1000)*Norms!$G$13*L24)/10000000</f>
        <v>8.6215656731249997</v>
      </c>
      <c r="M41" s="545">
        <f>($D$9*(Norms!$D$3+Norms!$D$5)*(Norms!$B$5/1000)*Norms!$G$13*M24)/10000000</f>
        <v>8.6215656731249997</v>
      </c>
      <c r="N41" s="545">
        <f>($D$9*(Norms!$D$3+Norms!$D$5)*(Norms!$B$5/1000)*Norms!$G$13*N24)/10000000</f>
        <v>8.6215656731249997</v>
      </c>
      <c r="O41" s="545">
        <f>($D$9*(Norms!$D$3+Norms!$D$5)*(Norms!$B$5/1000)*Norms!$G$13*O24)/10000000</f>
        <v>8.6215656731249997</v>
      </c>
      <c r="P41" s="545">
        <f>($D$9*(Norms!$D$3+Norms!$D$5)*(Norms!$B$5/1000)*Norms!$G$13*P24)/10000000</f>
        <v>8.6215656731249997</v>
      </c>
      <c r="Q41" s="545">
        <f>($D$9*(Norms!$D$3+Norms!$D$5)*(Norms!$B$5/1000)*Norms!$G$13*Q24)/10000000</f>
        <v>8.6215656731249997</v>
      </c>
      <c r="R41" s="545">
        <f>($D$9*(Norms!$D$3+Norms!$D$5)*(Norms!$B$5/1000)*Norms!$G$13*R24)/10000000</f>
        <v>8.6215656731249997</v>
      </c>
      <c r="S41" s="545">
        <f>($D$9*(Norms!$D$3+Norms!$D$5)*(Norms!$B$5/1000)*Norms!$G$13*S24)/10000000</f>
        <v>8.6215656731249997</v>
      </c>
    </row>
    <row r="42" spans="1:19">
      <c r="A42" s="541"/>
      <c r="B42" s="542" t="s">
        <v>503</v>
      </c>
      <c r="C42" s="548">
        <f>+C31</f>
        <v>1.775055439148825E-2</v>
      </c>
      <c r="D42" s="549">
        <f>+D31</f>
        <v>2.5361268493150683E-2</v>
      </c>
      <c r="E42" s="545">
        <v>0</v>
      </c>
      <c r="F42" s="545"/>
      <c r="G42" s="545"/>
      <c r="H42" s="545"/>
      <c r="I42" s="545"/>
      <c r="J42" s="545"/>
      <c r="K42" s="545"/>
      <c r="L42" s="545"/>
      <c r="M42" s="545"/>
      <c r="N42" s="545"/>
      <c r="O42" s="545"/>
      <c r="P42" s="545"/>
      <c r="Q42" s="545"/>
      <c r="R42" s="545"/>
      <c r="S42" s="545"/>
    </row>
    <row r="43" spans="1:19">
      <c r="A43" s="541"/>
      <c r="B43" s="538" t="s">
        <v>504</v>
      </c>
      <c r="C43" s="545">
        <f t="shared" ref="C43:D43" si="7">SUM(C41:C42)</f>
        <v>1.775055439148825E-2</v>
      </c>
      <c r="D43" s="545">
        <f t="shared" si="7"/>
        <v>2.5361268493150683E-2</v>
      </c>
      <c r="E43" s="545">
        <f>SUM(E41:E42)</f>
        <v>6.3527326012499996</v>
      </c>
      <c r="F43" s="545">
        <f t="shared" ref="F43:S43" si="8">SUM(F41:F42)</f>
        <v>8.1677990587500009</v>
      </c>
      <c r="G43" s="545">
        <f t="shared" si="8"/>
        <v>8.6215656731249997</v>
      </c>
      <c r="H43" s="545">
        <f t="shared" si="8"/>
        <v>8.6215656731249997</v>
      </c>
      <c r="I43" s="545">
        <f t="shared" si="8"/>
        <v>8.6215656731249997</v>
      </c>
      <c r="J43" s="545">
        <f t="shared" si="8"/>
        <v>8.6215656731249997</v>
      </c>
      <c r="K43" s="545">
        <f t="shared" si="8"/>
        <v>8.6215656731249997</v>
      </c>
      <c r="L43" s="545">
        <f t="shared" si="8"/>
        <v>8.6215656731249997</v>
      </c>
      <c r="M43" s="545">
        <f t="shared" si="8"/>
        <v>8.6215656731249997</v>
      </c>
      <c r="N43" s="545">
        <f t="shared" si="8"/>
        <v>8.6215656731249997</v>
      </c>
      <c r="O43" s="545">
        <f t="shared" si="8"/>
        <v>8.6215656731249997</v>
      </c>
      <c r="P43" s="545">
        <f t="shared" si="8"/>
        <v>8.6215656731249997</v>
      </c>
      <c r="Q43" s="545">
        <f t="shared" si="8"/>
        <v>8.6215656731249997</v>
      </c>
      <c r="R43" s="545">
        <f t="shared" si="8"/>
        <v>8.6215656731249997</v>
      </c>
      <c r="S43" s="545">
        <f t="shared" si="8"/>
        <v>8.6215656731249997</v>
      </c>
    </row>
    <row r="44" spans="1:19">
      <c r="A44" s="557">
        <v>2</v>
      </c>
      <c r="B44" s="558" t="s">
        <v>505</v>
      </c>
      <c r="C44" s="559">
        <v>0</v>
      </c>
      <c r="D44" s="559">
        <v>0</v>
      </c>
      <c r="E44" s="560">
        <f>'Cashflow '!E115</f>
        <v>17.994183626635348</v>
      </c>
      <c r="F44" s="560">
        <f>'Cashflow '!F115</f>
        <v>16.042649791563846</v>
      </c>
      <c r="G44" s="560">
        <f>'Cashflow '!G115</f>
        <v>9.1079100713994734</v>
      </c>
      <c r="H44" s="560">
        <f>'Cashflow '!H115</f>
        <v>0.9594125397991764</v>
      </c>
      <c r="I44" s="560">
        <f>'Cashflow '!I115</f>
        <v>0</v>
      </c>
      <c r="J44" s="560">
        <f>'Cashflow '!J115</f>
        <v>0</v>
      </c>
      <c r="K44" s="560">
        <f>'Cashflow '!K115</f>
        <v>9.7311465913347934</v>
      </c>
      <c r="L44" s="560">
        <f>'Cashflow '!L115</f>
        <v>26.643696587684744</v>
      </c>
      <c r="M44" s="560">
        <f>'Cashflow '!M115</f>
        <v>4.2600989927601915</v>
      </c>
      <c r="N44" s="560">
        <f>'Cashflow '!N115</f>
        <v>0</v>
      </c>
      <c r="O44" s="560">
        <f>'Cashflow '!O115</f>
        <v>0</v>
      </c>
      <c r="P44" s="560">
        <f>'Cashflow '!P115</f>
        <v>0</v>
      </c>
      <c r="Q44" s="560">
        <f>'Cashflow '!Q115</f>
        <v>0</v>
      </c>
      <c r="R44" s="560">
        <f>'Cashflow '!R115</f>
        <v>0</v>
      </c>
      <c r="S44" s="560">
        <f>'Cashflow '!S115</f>
        <v>0</v>
      </c>
    </row>
    <row r="45" spans="1:19">
      <c r="A45" s="537">
        <v>3</v>
      </c>
      <c r="B45" s="538" t="s">
        <v>506</v>
      </c>
      <c r="C45" s="539">
        <v>0</v>
      </c>
      <c r="D45" s="545">
        <f>'Cashflow '!E166-Capex!B30</f>
        <v>140.13104542189078</v>
      </c>
      <c r="E45" s="545">
        <f>'Cashflow '!F166</f>
        <v>42.033290322295727</v>
      </c>
      <c r="F45" s="545">
        <f>'Cashflow '!G166</f>
        <v>35.728296773951364</v>
      </c>
      <c r="G45" s="545">
        <f>'Cashflow '!H166</f>
        <v>30.369052257858659</v>
      </c>
      <c r="H45" s="545">
        <f>'Cashflow '!I166</f>
        <v>25.813694419179861</v>
      </c>
      <c r="I45" s="545">
        <f>'Cashflow '!J166</f>
        <v>21.941640256302883</v>
      </c>
      <c r="J45" s="545">
        <f>'Cashflow '!K166</f>
        <v>18.65039421785745</v>
      </c>
      <c r="K45" s="545">
        <f>'Cashflow '!L166</f>
        <v>15.852835085178832</v>
      </c>
      <c r="L45" s="545">
        <f>'Cashflow '!M166</f>
        <v>13.474909822402006</v>
      </c>
      <c r="M45" s="545">
        <f>'Cashflow '!N166</f>
        <v>11.453673349041704</v>
      </c>
      <c r="N45" s="545">
        <f>'Cashflow '!O166</f>
        <v>9.7356223466854477</v>
      </c>
      <c r="O45" s="545">
        <f>'Cashflow '!P166</f>
        <v>8.2752789946826297</v>
      </c>
      <c r="P45" s="545">
        <f>'Cashflow '!Q166</f>
        <v>7.0339871454802347</v>
      </c>
      <c r="Q45" s="545">
        <f>'Cashflow '!R166</f>
        <v>5.9788890736581992</v>
      </c>
      <c r="R45" s="545">
        <f>'Cashflow '!S166</f>
        <v>5.0820557126094696</v>
      </c>
      <c r="S45" s="545">
        <f>'Cashflow '!T166</f>
        <v>4.3197473557180492</v>
      </c>
    </row>
    <row r="46" spans="1:19">
      <c r="A46" s="537">
        <v>4</v>
      </c>
      <c r="B46" s="538" t="s">
        <v>122</v>
      </c>
      <c r="C46" s="545">
        <f>'Cashflow '!D55</f>
        <v>113.08507124476117</v>
      </c>
      <c r="D46" s="545">
        <f>+C46</f>
        <v>113.08507124476117</v>
      </c>
      <c r="E46" s="545">
        <f>('Cashflow '!$C$51/(Norms!$B$58+Norms!$B$59))*Norms!$B$58+'Cashflow '!F90</f>
        <v>113.08507124476117</v>
      </c>
      <c r="F46" s="545">
        <f>('Cashflow '!$C$51/(Norms!$B$58+Norms!$B$59))*Norms!$B$58+'Cashflow '!G90</f>
        <v>113.08507124476117</v>
      </c>
      <c r="G46" s="545">
        <f>('Cashflow '!$C$51/(Norms!$B$58+Norms!$B$59))*Norms!$B$58+'Cashflow '!H90</f>
        <v>113.08507124476117</v>
      </c>
      <c r="H46" s="545">
        <f>('Cashflow '!$C$51/(Norms!$B$58+Norms!$B$59))*Norms!$B$58+'Cashflow '!I90</f>
        <v>113.08507124476117</v>
      </c>
      <c r="I46" s="545">
        <f>('Cashflow '!$C$51/(Norms!$B$58+Norms!$B$59))*Norms!$B$58+'Cashflow '!J90</f>
        <v>113.08507124476117</v>
      </c>
      <c r="J46" s="545">
        <f>('Cashflow '!$C$51/(Norms!$B$58+Norms!$B$59))*Norms!$B$58+'Cashflow '!K90</f>
        <v>113.08507124476117</v>
      </c>
      <c r="K46" s="545">
        <f>('Cashflow '!$C$51/(Norms!$B$58+Norms!$B$59))*Norms!$B$58+'Cashflow '!L90</f>
        <v>113.08507124476117</v>
      </c>
      <c r="L46" s="545">
        <f>('Cashflow '!$C$51/(Norms!$B$58+Norms!$B$59))*Norms!$B$58+'Cashflow '!M90</f>
        <v>113.08507124476117</v>
      </c>
      <c r="M46" s="545">
        <f>('Cashflow '!$C$51/(Norms!$B$58+Norms!$B$59))*Norms!$B$58+'Cashflow '!N90</f>
        <v>113.08507124476117</v>
      </c>
      <c r="N46" s="545">
        <f>('Cashflow '!$C$51/(Norms!$B$58+Norms!$B$59))*Norms!$B$58+'Cashflow '!O90</f>
        <v>113.08507124476117</v>
      </c>
      <c r="O46" s="545">
        <f>('Cashflow '!$C$51/(Norms!$B$58+Norms!$B$59))*Norms!$B$58+'Cashflow '!P90</f>
        <v>113.08507124476117</v>
      </c>
      <c r="P46" s="545">
        <f>('Cashflow '!$C$51/(Norms!$B$58+Norms!$B$59))*Norms!$B$58+'Cashflow '!Q90</f>
        <v>113.08507124476117</v>
      </c>
      <c r="Q46" s="545">
        <f>('Cashflow '!$C$51/(Norms!$B$58+Norms!$B$59))*Norms!$B$58+'Cashflow '!R90</f>
        <v>113.08507124476117</v>
      </c>
      <c r="R46" s="545">
        <f>('Cashflow '!$C$51/(Norms!$B$58+Norms!$B$59))*Norms!$B$58+'Cashflow '!S90</f>
        <v>113.08507124476117</v>
      </c>
      <c r="S46" s="545">
        <f>('Cashflow '!$C$51/(Norms!$B$58+Norms!$B$59))*Norms!$B$58+'Cashflow '!T90</f>
        <v>113.08507124476117</v>
      </c>
    </row>
    <row r="47" spans="1:19">
      <c r="A47" s="537">
        <v>5</v>
      </c>
      <c r="B47" s="538" t="s">
        <v>507</v>
      </c>
      <c r="C47" s="539">
        <v>0</v>
      </c>
      <c r="D47" s="539">
        <v>0</v>
      </c>
      <c r="E47" s="561">
        <f>'Cashflow '!F80</f>
        <v>51.722457367151307</v>
      </c>
      <c r="F47" s="561">
        <f>'Cashflow '!G80</f>
        <v>128.01706892785569</v>
      </c>
      <c r="G47" s="561">
        <f>'Cashflow '!H80</f>
        <v>197.48452980464003</v>
      </c>
      <c r="H47" s="561">
        <f>'Cashflow '!I80</f>
        <v>256.96510853648181</v>
      </c>
      <c r="I47" s="561">
        <f>'Cashflow '!J80</f>
        <v>315.9024409113299</v>
      </c>
      <c r="J47" s="561">
        <f>'Cashflow '!K80</f>
        <v>374.33832121540917</v>
      </c>
      <c r="K47" s="561">
        <f>'Cashflow '!L80</f>
        <v>432.49272194524099</v>
      </c>
      <c r="L47" s="561">
        <f>'Cashflow '!M80</f>
        <v>490.45333032774283</v>
      </c>
      <c r="M47" s="561">
        <f>'Cashflow '!N80</f>
        <v>548.11506780531136</v>
      </c>
      <c r="N47" s="561">
        <f>'Cashflow '!O80</f>
        <v>606.2633155925904</v>
      </c>
      <c r="O47" s="561">
        <f>'Cashflow '!P80</f>
        <v>661.82885875775264</v>
      </c>
      <c r="P47" s="561">
        <f>'Cashflow '!Q80</f>
        <v>714.83419283696355</v>
      </c>
      <c r="Q47" s="561">
        <f>'Cashflow '!R80</f>
        <v>765.48955662060723</v>
      </c>
      <c r="R47" s="561">
        <f>'Cashflow '!S80</f>
        <v>813.87199504437581</v>
      </c>
      <c r="S47" s="561">
        <f>'Cashflow '!T80</f>
        <v>860.03347238638185</v>
      </c>
    </row>
    <row r="48" spans="1:19">
      <c r="A48" s="562" t="s">
        <v>312</v>
      </c>
      <c r="B48" s="534" t="s">
        <v>508</v>
      </c>
      <c r="C48" s="556">
        <f t="shared" ref="C48:D48" si="9">SUM(C43:C47)</f>
        <v>113.10282179915265</v>
      </c>
      <c r="D48" s="556">
        <f t="shared" si="9"/>
        <v>253.2414779351451</v>
      </c>
      <c r="E48" s="561">
        <f>SUM(E43:E47)</f>
        <v>231.18773516209353</v>
      </c>
      <c r="F48" s="561">
        <f t="shared" ref="F48:S48" si="10">SUM(F43:F47)</f>
        <v>301.04088579688209</v>
      </c>
      <c r="G48" s="561">
        <f t="shared" si="10"/>
        <v>358.66812905178432</v>
      </c>
      <c r="H48" s="561">
        <f t="shared" si="10"/>
        <v>405.44485241334701</v>
      </c>
      <c r="I48" s="561">
        <f t="shared" si="10"/>
        <v>459.55071808551895</v>
      </c>
      <c r="J48" s="561">
        <f t="shared" si="10"/>
        <v>514.69535235115279</v>
      </c>
      <c r="K48" s="561">
        <f t="shared" si="10"/>
        <v>579.78334053964079</v>
      </c>
      <c r="L48" s="561">
        <f t="shared" si="10"/>
        <v>652.27857365571572</v>
      </c>
      <c r="M48" s="561">
        <f t="shared" si="10"/>
        <v>685.53547706499944</v>
      </c>
      <c r="N48" s="561">
        <f t="shared" si="10"/>
        <v>737.70557485716199</v>
      </c>
      <c r="O48" s="561">
        <f t="shared" si="10"/>
        <v>791.81077467032151</v>
      </c>
      <c r="P48" s="561">
        <f t="shared" si="10"/>
        <v>843.57481690033001</v>
      </c>
      <c r="Q48" s="561">
        <f t="shared" si="10"/>
        <v>893.17508261215164</v>
      </c>
      <c r="R48" s="561">
        <f t="shared" si="10"/>
        <v>940.6606876748715</v>
      </c>
      <c r="S48" s="561">
        <f t="shared" si="10"/>
        <v>986.05985665998605</v>
      </c>
    </row>
    <row r="49" spans="1:19">
      <c r="A49" s="525"/>
      <c r="B49" s="563"/>
      <c r="C49" s="529">
        <f t="shared" ref="C49:J49" si="11">C38-C48</f>
        <v>0</v>
      </c>
      <c r="D49" s="529">
        <f t="shared" si="11"/>
        <v>209.88185738079432</v>
      </c>
      <c r="E49" s="529">
        <f t="shared" si="11"/>
        <v>262.72860816347583</v>
      </c>
      <c r="F49" s="529">
        <f t="shared" si="11"/>
        <v>186.64122638387755</v>
      </c>
      <c r="G49" s="529">
        <f t="shared" si="11"/>
        <v>112.30214873904805</v>
      </c>
      <c r="H49" s="529">
        <f t="shared" si="11"/>
        <v>45.239845965533732</v>
      </c>
      <c r="I49" s="529">
        <f t="shared" si="11"/>
        <v>-20.117577606132102</v>
      </c>
      <c r="J49" s="529">
        <f t="shared" si="11"/>
        <v>-99.877600290449777</v>
      </c>
      <c r="K49" s="529">
        <f t="shared" ref="K49:S49" si="12">K38-K48</f>
        <v>-190.10719579533617</v>
      </c>
      <c r="L49" s="529">
        <f t="shared" si="12"/>
        <v>-282.90414160366066</v>
      </c>
      <c r="M49" s="529">
        <f t="shared" si="12"/>
        <v>-336.40185187116219</v>
      </c>
      <c r="N49" s="529">
        <f t="shared" si="12"/>
        <v>-393.71765170219123</v>
      </c>
      <c r="O49" s="529">
        <f t="shared" si="12"/>
        <v>-453.20606821166928</v>
      </c>
      <c r="P49" s="529">
        <f t="shared" si="12"/>
        <v>-515.08956928447719</v>
      </c>
      <c r="Q49" s="529">
        <f t="shared" si="12"/>
        <v>-579.58600518429625</v>
      </c>
      <c r="R49" s="529">
        <f t="shared" si="12"/>
        <v>-644.88192629135949</v>
      </c>
      <c r="S49" s="529">
        <f t="shared" si="12"/>
        <v>-710.88097754050523</v>
      </c>
    </row>
    <row r="50" spans="1:19">
      <c r="A50" s="525"/>
      <c r="B50" s="563" t="s">
        <v>509</v>
      </c>
      <c r="C50" s="564"/>
      <c r="D50" s="564"/>
      <c r="E50" s="528">
        <v>3</v>
      </c>
      <c r="F50" s="528">
        <v>3</v>
      </c>
      <c r="G50" s="528">
        <v>3</v>
      </c>
      <c r="H50" s="528">
        <v>3</v>
      </c>
      <c r="I50" s="528">
        <v>3</v>
      </c>
      <c r="J50" s="528">
        <v>3</v>
      </c>
      <c r="K50" s="528">
        <v>3</v>
      </c>
      <c r="L50" s="528">
        <v>3</v>
      </c>
      <c r="M50" s="528">
        <v>3</v>
      </c>
      <c r="N50" s="528">
        <v>3</v>
      </c>
      <c r="O50" s="528">
        <v>3</v>
      </c>
      <c r="P50" s="528">
        <v>3</v>
      </c>
      <c r="Q50" s="528">
        <v>3</v>
      </c>
      <c r="R50" s="528">
        <v>3</v>
      </c>
      <c r="S50" s="528">
        <v>3</v>
      </c>
    </row>
    <row r="51" spans="1:19">
      <c r="A51" s="525"/>
      <c r="B51" s="526"/>
      <c r="C51" s="565"/>
      <c r="D51" s="565"/>
      <c r="E51" s="566">
        <v>0.27393623663307581</v>
      </c>
      <c r="F51" s="566">
        <v>0.27287470616545811</v>
      </c>
      <c r="G51" s="566">
        <v>0.27211560399236667</v>
      </c>
      <c r="H51" s="566">
        <v>0.27211560399236667</v>
      </c>
      <c r="I51" s="566">
        <v>0.27211560399236667</v>
      </c>
      <c r="J51" s="566">
        <v>0.27211560399236667</v>
      </c>
      <c r="K51" s="566">
        <v>0.27211560399236667</v>
      </c>
      <c r="L51" s="566">
        <v>0.27211560399236667</v>
      </c>
      <c r="M51" s="566">
        <v>0.27211560399236667</v>
      </c>
      <c r="N51" s="566">
        <v>0.27211560399236667</v>
      </c>
      <c r="O51" s="566">
        <v>0.27211560399236667</v>
      </c>
      <c r="P51" s="566">
        <v>0.27211560399236667</v>
      </c>
      <c r="Q51" s="566">
        <v>0.27211560399236667</v>
      </c>
      <c r="R51" s="566">
        <v>0.27211560399236667</v>
      </c>
      <c r="S51" s="566">
        <v>0.27211560399236667</v>
      </c>
    </row>
    <row r="52" spans="1:19">
      <c r="A52" s="525"/>
      <c r="B52" s="526"/>
      <c r="C52" s="565"/>
      <c r="D52" s="565"/>
      <c r="E52" s="529">
        <v>99.986726371072677</v>
      </c>
      <c r="F52" s="529">
        <v>99.599267750392215</v>
      </c>
      <c r="G52" s="529">
        <v>99.322195457213837</v>
      </c>
      <c r="H52" s="529">
        <v>99.322195457213837</v>
      </c>
      <c r="I52" s="529">
        <v>99.322195457213837</v>
      </c>
      <c r="J52" s="529">
        <v>99.322195457213837</v>
      </c>
      <c r="K52" s="529">
        <v>99.322195457213837</v>
      </c>
      <c r="L52" s="529">
        <v>99.322195457213837</v>
      </c>
      <c r="M52" s="529">
        <v>99.322195457213837</v>
      </c>
      <c r="N52" s="529">
        <v>99.322195457213837</v>
      </c>
      <c r="O52" s="529">
        <v>99.322195457213837</v>
      </c>
      <c r="P52" s="529">
        <v>99.322195457213837</v>
      </c>
      <c r="Q52" s="529">
        <v>99.322195457213837</v>
      </c>
      <c r="R52" s="529">
        <v>99.322195457213837</v>
      </c>
      <c r="S52" s="529">
        <v>99.322195457213837</v>
      </c>
    </row>
    <row r="53" spans="1:19">
      <c r="A53" s="525"/>
      <c r="B53" s="567" t="s">
        <v>510</v>
      </c>
      <c r="C53" s="568"/>
      <c r="D53" s="568"/>
      <c r="E53" s="569">
        <v>68713.033698117535</v>
      </c>
      <c r="F53" s="569">
        <v>83113.927449380149</v>
      </c>
      <c r="G53" s="569">
        <v>97509.076756198367</v>
      </c>
      <c r="H53" s="569">
        <v>97509.076756198367</v>
      </c>
      <c r="I53" s="569">
        <v>97509.076756198367</v>
      </c>
      <c r="J53" s="569">
        <v>97509.076756198367</v>
      </c>
      <c r="K53" s="569">
        <v>97509.076756198367</v>
      </c>
      <c r="L53" s="569">
        <v>97509.076756198367</v>
      </c>
      <c r="M53" s="569">
        <v>97509.076756198367</v>
      </c>
      <c r="N53" s="569">
        <v>97509.076756198367</v>
      </c>
      <c r="O53" s="569">
        <v>97509.076756198367</v>
      </c>
      <c r="P53" s="569">
        <v>97509.076756198367</v>
      </c>
      <c r="Q53" s="569">
        <v>97509.076756198367</v>
      </c>
      <c r="R53" s="569">
        <v>97509.076756198367</v>
      </c>
      <c r="S53" s="569">
        <v>97509.076756198367</v>
      </c>
    </row>
    <row r="54" spans="1:19">
      <c r="A54" s="3"/>
      <c r="B54" s="3"/>
      <c r="C54" s="506"/>
      <c r="D54" s="506"/>
      <c r="E54" s="3"/>
      <c r="F54" s="3"/>
      <c r="G54" s="3"/>
      <c r="H54" s="3"/>
      <c r="I54" s="3"/>
      <c r="J54" s="3"/>
      <c r="K54" s="3"/>
      <c r="L54" s="3"/>
      <c r="M54" s="3"/>
      <c r="N54" s="3"/>
      <c r="O54" s="3"/>
      <c r="P54" s="3"/>
      <c r="Q54" s="3"/>
      <c r="R54" s="3"/>
      <c r="S54" s="3"/>
    </row>
    <row r="55" spans="1:19">
      <c r="A55" s="3"/>
      <c r="B55" s="3" t="s">
        <v>511</v>
      </c>
      <c r="C55" s="570">
        <f t="shared" ref="C55:D55" si="13">+C32-C43</f>
        <v>0</v>
      </c>
      <c r="D55" s="570">
        <f t="shared" si="13"/>
        <v>0</v>
      </c>
      <c r="E55" s="570">
        <f>+E32-E43</f>
        <v>43.030756273606407</v>
      </c>
      <c r="F55" s="570">
        <f t="shared" ref="F55:S55" si="14">+F32-F43</f>
        <v>55.808279692925154</v>
      </c>
      <c r="G55" s="570">
        <f t="shared" si="14"/>
        <v>59.469499710251405</v>
      </c>
      <c r="H55" s="570">
        <f t="shared" si="14"/>
        <v>60.01074131992825</v>
      </c>
      <c r="I55" s="570">
        <f t="shared" si="14"/>
        <v>60.470321500969966</v>
      </c>
      <c r="J55" s="570">
        <f t="shared" si="14"/>
        <v>60.978324306735693</v>
      </c>
      <c r="K55" s="570">
        <f t="shared" si="14"/>
        <v>61.482650750237589</v>
      </c>
      <c r="L55" s="570">
        <f t="shared" si="14"/>
        <v>62.007759079616612</v>
      </c>
      <c r="M55" s="570">
        <f t="shared" si="14"/>
        <v>62.593773243027236</v>
      </c>
      <c r="N55" s="570">
        <f t="shared" si="14"/>
        <v>63.020972478069602</v>
      </c>
      <c r="O55" s="570">
        <f t="shared" si="14"/>
        <v>63.482198329607861</v>
      </c>
      <c r="P55" s="570">
        <f t="shared" si="14"/>
        <v>63.959860955912553</v>
      </c>
      <c r="Q55" s="570">
        <f t="shared" si="14"/>
        <v>64.40547312899615</v>
      </c>
      <c r="R55" s="570">
        <f t="shared" si="14"/>
        <v>64.848303767339203</v>
      </c>
      <c r="S55" s="570">
        <f t="shared" si="14"/>
        <v>65.292011429987468</v>
      </c>
    </row>
  </sheetData>
  <mergeCells count="3">
    <mergeCell ref="A20:S20"/>
    <mergeCell ref="A21:S21"/>
    <mergeCell ref="C22:D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B168D-D318-4CEF-AAEF-4096C3BB7D8C}">
  <dimension ref="B2:G40"/>
  <sheetViews>
    <sheetView topLeftCell="A9" workbookViewId="0">
      <selection activeCell="F10" sqref="F10"/>
    </sheetView>
  </sheetViews>
  <sheetFormatPr defaultRowHeight="15"/>
  <cols>
    <col min="2" max="2" width="37.5703125" customWidth="1"/>
    <col min="3" max="3" width="11.28515625" bestFit="1" customWidth="1"/>
    <col min="4" max="4" width="14.85546875" bestFit="1" customWidth="1"/>
    <col min="5" max="5" width="12.140625" bestFit="1" customWidth="1"/>
    <col min="6" max="6" width="14.85546875" bestFit="1" customWidth="1"/>
    <col min="7" max="7" width="11" bestFit="1" customWidth="1"/>
  </cols>
  <sheetData>
    <row r="2" spans="2:7">
      <c r="B2" s="3"/>
      <c r="C2" s="3"/>
      <c r="D2" s="3"/>
      <c r="E2" s="3"/>
      <c r="F2" s="3"/>
      <c r="G2" s="3"/>
    </row>
    <row r="3" spans="2:7">
      <c r="B3" s="477" t="s">
        <v>384</v>
      </c>
      <c r="C3" s="478"/>
      <c r="D3" s="478"/>
      <c r="E3" s="478" t="s">
        <v>64</v>
      </c>
      <c r="F3" s="478"/>
      <c r="G3" s="478"/>
    </row>
    <row r="4" spans="2:7">
      <c r="B4" s="477"/>
      <c r="C4" s="478"/>
      <c r="D4" s="478"/>
      <c r="E4" s="478"/>
      <c r="F4" s="478"/>
      <c r="G4" s="478"/>
    </row>
    <row r="5" spans="2:7">
      <c r="B5" s="479" t="s">
        <v>385</v>
      </c>
      <c r="C5" s="480"/>
      <c r="D5" s="480"/>
      <c r="E5" s="480"/>
      <c r="F5" s="480"/>
      <c r="G5" s="480"/>
    </row>
    <row r="6" spans="2:7">
      <c r="B6" s="479"/>
      <c r="C6" s="480"/>
      <c r="D6" s="480"/>
      <c r="E6" s="480"/>
      <c r="F6" s="480"/>
      <c r="G6" s="480"/>
    </row>
    <row r="7" spans="2:7" ht="25.5">
      <c r="B7" s="479" t="s">
        <v>386</v>
      </c>
      <c r="C7" s="481" t="s">
        <v>387</v>
      </c>
      <c r="D7" s="481" t="s">
        <v>388</v>
      </c>
      <c r="E7" s="481" t="s">
        <v>389</v>
      </c>
      <c r="F7" s="481" t="s">
        <v>390</v>
      </c>
      <c r="G7" s="481"/>
    </row>
    <row r="8" spans="2:7">
      <c r="B8" s="3"/>
      <c r="C8" s="3"/>
      <c r="D8" s="3"/>
      <c r="E8" s="3"/>
      <c r="F8" s="3"/>
      <c r="G8" s="3"/>
    </row>
    <row r="9" spans="2:7">
      <c r="B9" s="482" t="s">
        <v>391</v>
      </c>
      <c r="C9" s="483">
        <f>Capex!B24</f>
        <v>8.254999999999999</v>
      </c>
      <c r="D9" s="484">
        <f>+C9/C11</f>
        <v>2.3714535027775884E-2</v>
      </c>
      <c r="E9" s="485">
        <f>+D9*(Capex!B27+Capex!B28+Capex!B29+Capex!B32)</f>
        <v>2.2169259383791493</v>
      </c>
      <c r="F9" s="485">
        <f>+C9+E9</f>
        <v>10.471925938379147</v>
      </c>
      <c r="G9" s="483"/>
    </row>
    <row r="10" spans="2:7">
      <c r="B10" s="482" t="s">
        <v>392</v>
      </c>
      <c r="C10" s="483">
        <f>Capex!B25+Capex!B26</f>
        <v>339.84374999999994</v>
      </c>
      <c r="D10" s="486">
        <f>+C10/C11</f>
        <v>0.97628546497222413</v>
      </c>
      <c r="E10" s="485">
        <f>+D10*(Capex!B27+Capex!B28+Capex!B29+Capex!B32)</f>
        <v>91.266919972263963</v>
      </c>
      <c r="F10" s="485">
        <f>+C10+E10</f>
        <v>431.11066997226391</v>
      </c>
      <c r="G10" s="483"/>
    </row>
    <row r="11" spans="2:7">
      <c r="B11" s="479" t="s">
        <v>393</v>
      </c>
      <c r="C11" s="487">
        <f>SUM(C9:C10)</f>
        <v>348.09874999999994</v>
      </c>
      <c r="D11" s="484">
        <f>SUM(D9:D10)</f>
        <v>1</v>
      </c>
      <c r="E11" s="487">
        <f>SUM(E9:E10)</f>
        <v>93.483845910643112</v>
      </c>
      <c r="F11" s="487">
        <f>SUM(F9:F10)</f>
        <v>441.58259591064308</v>
      </c>
      <c r="G11" s="487"/>
    </row>
    <row r="12" spans="2:7">
      <c r="B12" s="480"/>
      <c r="C12" s="480"/>
      <c r="D12" s="480"/>
      <c r="E12" s="480"/>
      <c r="F12" s="480"/>
      <c r="G12" s="480"/>
    </row>
    <row r="13" spans="2:7">
      <c r="B13" s="479" t="s">
        <v>394</v>
      </c>
      <c r="C13" s="480"/>
      <c r="D13" s="480"/>
      <c r="E13" s="480"/>
      <c r="F13" s="480"/>
      <c r="G13" s="480"/>
    </row>
    <row r="14" spans="2:7">
      <c r="B14" s="479"/>
      <c r="C14" s="480"/>
      <c r="D14" s="480"/>
      <c r="E14" s="480"/>
      <c r="F14" s="480"/>
      <c r="G14" s="480"/>
    </row>
    <row r="15" spans="2:7">
      <c r="B15" s="482" t="s">
        <v>395</v>
      </c>
      <c r="C15" s="480"/>
      <c r="D15" s="480"/>
      <c r="E15" s="480"/>
      <c r="F15" s="480"/>
      <c r="G15" s="480"/>
    </row>
    <row r="16" spans="2:7">
      <c r="B16" s="3"/>
      <c r="C16" s="3"/>
      <c r="D16" s="3"/>
      <c r="E16" s="3"/>
      <c r="F16" s="3"/>
      <c r="G16" s="3"/>
    </row>
    <row r="17" spans="2:7" ht="115.5">
      <c r="B17" s="488" t="s">
        <v>396</v>
      </c>
      <c r="C17" s="488" t="s">
        <v>397</v>
      </c>
      <c r="D17" s="489">
        <v>3.3333333333333333E-2</v>
      </c>
      <c r="E17" s="490" t="s">
        <v>392</v>
      </c>
      <c r="F17" s="489">
        <v>4.7500000000000001E-2</v>
      </c>
      <c r="G17" s="488" t="s">
        <v>73</v>
      </c>
    </row>
    <row r="18" spans="2:7">
      <c r="B18" s="488"/>
      <c r="C18" s="488" t="s">
        <v>398</v>
      </c>
      <c r="D18" s="488" t="s">
        <v>399</v>
      </c>
      <c r="E18" s="488" t="s">
        <v>398</v>
      </c>
      <c r="F18" s="488" t="s">
        <v>399</v>
      </c>
      <c r="G18" s="488"/>
    </row>
    <row r="19" spans="2:7">
      <c r="B19" s="491" t="s">
        <v>400</v>
      </c>
      <c r="C19" s="492">
        <f>+F9</f>
        <v>10.471925938379147</v>
      </c>
      <c r="D19" s="492">
        <f>$C$19*$D$17</f>
        <v>0.3490641979459716</v>
      </c>
      <c r="E19" s="492">
        <f>+F10</f>
        <v>431.11066997226391</v>
      </c>
      <c r="F19" s="492">
        <f>+$F$17*$E$19</f>
        <v>20.477756823682537</v>
      </c>
      <c r="G19" s="492">
        <f>+D19+F19</f>
        <v>20.826821021628508</v>
      </c>
    </row>
    <row r="20" spans="2:7">
      <c r="B20" s="491" t="s">
        <v>401</v>
      </c>
      <c r="C20" s="492">
        <f>+C19-D19</f>
        <v>10.122861740433176</v>
      </c>
      <c r="D20" s="492">
        <f t="shared" ref="D20:D38" si="0">$C$19*$D$17</f>
        <v>0.3490641979459716</v>
      </c>
      <c r="E20" s="492">
        <f>+E19-F19</f>
        <v>410.63291314858139</v>
      </c>
      <c r="F20" s="492">
        <f t="shared" ref="F20:F38" si="1">+$F$17*$E$19</f>
        <v>20.477756823682537</v>
      </c>
      <c r="G20" s="492">
        <f t="shared" ref="G20:G38" si="2">+D20+F20</f>
        <v>20.826821021628508</v>
      </c>
    </row>
    <row r="21" spans="2:7">
      <c r="B21" s="491" t="s">
        <v>402</v>
      </c>
      <c r="C21" s="492">
        <f t="shared" ref="C21:C38" si="3">+C20-D20</f>
        <v>9.7737975424872054</v>
      </c>
      <c r="D21" s="492">
        <f t="shared" si="0"/>
        <v>0.3490641979459716</v>
      </c>
      <c r="E21" s="492">
        <f t="shared" ref="E21:E38" si="4">+E20-F20</f>
        <v>390.15515632489888</v>
      </c>
      <c r="F21" s="492">
        <f t="shared" si="1"/>
        <v>20.477756823682537</v>
      </c>
      <c r="G21" s="492">
        <f t="shared" si="2"/>
        <v>20.826821021628508</v>
      </c>
    </row>
    <row r="22" spans="2:7">
      <c r="B22" s="491" t="s">
        <v>403</v>
      </c>
      <c r="C22" s="492">
        <f t="shared" si="3"/>
        <v>9.4247333445412345</v>
      </c>
      <c r="D22" s="492">
        <f t="shared" si="0"/>
        <v>0.3490641979459716</v>
      </c>
      <c r="E22" s="492">
        <f t="shared" si="4"/>
        <v>369.67739950121637</v>
      </c>
      <c r="F22" s="492">
        <f t="shared" si="1"/>
        <v>20.477756823682537</v>
      </c>
      <c r="G22" s="492">
        <f t="shared" si="2"/>
        <v>20.826821021628508</v>
      </c>
    </row>
    <row r="23" spans="2:7">
      <c r="B23" s="491" t="s">
        <v>404</v>
      </c>
      <c r="C23" s="492">
        <f t="shared" si="3"/>
        <v>9.0756691465952635</v>
      </c>
      <c r="D23" s="492">
        <f t="shared" si="0"/>
        <v>0.3490641979459716</v>
      </c>
      <c r="E23" s="492">
        <f t="shared" si="4"/>
        <v>349.19964267753386</v>
      </c>
      <c r="F23" s="492">
        <f t="shared" si="1"/>
        <v>20.477756823682537</v>
      </c>
      <c r="G23" s="492">
        <f t="shared" si="2"/>
        <v>20.826821021628508</v>
      </c>
    </row>
    <row r="24" spans="2:7">
      <c r="B24" s="491" t="s">
        <v>405</v>
      </c>
      <c r="C24" s="492">
        <f t="shared" si="3"/>
        <v>8.7266049486492925</v>
      </c>
      <c r="D24" s="492">
        <f t="shared" si="0"/>
        <v>0.3490641979459716</v>
      </c>
      <c r="E24" s="492">
        <f t="shared" si="4"/>
        <v>328.72188585385135</v>
      </c>
      <c r="F24" s="492">
        <f t="shared" si="1"/>
        <v>20.477756823682537</v>
      </c>
      <c r="G24" s="492">
        <f t="shared" si="2"/>
        <v>20.826821021628508</v>
      </c>
    </row>
    <row r="25" spans="2:7">
      <c r="B25" s="491" t="s">
        <v>406</v>
      </c>
      <c r="C25" s="492">
        <f t="shared" si="3"/>
        <v>8.3775407507033215</v>
      </c>
      <c r="D25" s="492">
        <f t="shared" si="0"/>
        <v>0.3490641979459716</v>
      </c>
      <c r="E25" s="492">
        <f t="shared" si="4"/>
        <v>308.24412903016884</v>
      </c>
      <c r="F25" s="492">
        <f t="shared" si="1"/>
        <v>20.477756823682537</v>
      </c>
      <c r="G25" s="492">
        <f t="shared" si="2"/>
        <v>20.826821021628508</v>
      </c>
    </row>
    <row r="26" spans="2:7">
      <c r="B26" s="491" t="s">
        <v>407</v>
      </c>
      <c r="C26" s="492">
        <f t="shared" si="3"/>
        <v>8.0284765527573505</v>
      </c>
      <c r="D26" s="492">
        <f t="shared" si="0"/>
        <v>0.3490641979459716</v>
      </c>
      <c r="E26" s="492">
        <f t="shared" si="4"/>
        <v>287.76637220648632</v>
      </c>
      <c r="F26" s="492">
        <f t="shared" si="1"/>
        <v>20.477756823682537</v>
      </c>
      <c r="G26" s="492">
        <f t="shared" si="2"/>
        <v>20.826821021628508</v>
      </c>
    </row>
    <row r="27" spans="2:7">
      <c r="B27" s="491" t="s">
        <v>408</v>
      </c>
      <c r="C27" s="492">
        <f t="shared" si="3"/>
        <v>7.6794123548113786</v>
      </c>
      <c r="D27" s="492">
        <f t="shared" si="0"/>
        <v>0.3490641979459716</v>
      </c>
      <c r="E27" s="492">
        <f t="shared" si="4"/>
        <v>267.28861538280381</v>
      </c>
      <c r="F27" s="492">
        <f t="shared" si="1"/>
        <v>20.477756823682537</v>
      </c>
      <c r="G27" s="492">
        <f t="shared" si="2"/>
        <v>20.826821021628508</v>
      </c>
    </row>
    <row r="28" spans="2:7">
      <c r="B28" s="491" t="s">
        <v>409</v>
      </c>
      <c r="C28" s="492">
        <f t="shared" si="3"/>
        <v>7.3303481568654068</v>
      </c>
      <c r="D28" s="492">
        <f t="shared" si="0"/>
        <v>0.3490641979459716</v>
      </c>
      <c r="E28" s="492">
        <f t="shared" si="4"/>
        <v>246.81085855912127</v>
      </c>
      <c r="F28" s="492">
        <f t="shared" si="1"/>
        <v>20.477756823682537</v>
      </c>
      <c r="G28" s="492">
        <f t="shared" si="2"/>
        <v>20.826821021628508</v>
      </c>
    </row>
    <row r="29" spans="2:7">
      <c r="B29" s="491" t="s">
        <v>410</v>
      </c>
      <c r="C29" s="492">
        <f t="shared" si="3"/>
        <v>6.9812839589194349</v>
      </c>
      <c r="D29" s="492">
        <f t="shared" si="0"/>
        <v>0.3490641979459716</v>
      </c>
      <c r="E29" s="492">
        <f t="shared" si="4"/>
        <v>226.33310173543873</v>
      </c>
      <c r="F29" s="492">
        <f t="shared" si="1"/>
        <v>20.477756823682537</v>
      </c>
      <c r="G29" s="492">
        <f t="shared" si="2"/>
        <v>20.826821021628508</v>
      </c>
    </row>
    <row r="30" spans="2:7">
      <c r="B30" s="491" t="s">
        <v>411</v>
      </c>
      <c r="C30" s="492">
        <f t="shared" si="3"/>
        <v>6.632219760973463</v>
      </c>
      <c r="D30" s="492">
        <f t="shared" si="0"/>
        <v>0.3490641979459716</v>
      </c>
      <c r="E30" s="492">
        <f t="shared" si="4"/>
        <v>205.85534491175619</v>
      </c>
      <c r="F30" s="492">
        <f t="shared" si="1"/>
        <v>20.477756823682537</v>
      </c>
      <c r="G30" s="492">
        <f t="shared" si="2"/>
        <v>20.826821021628508</v>
      </c>
    </row>
    <row r="31" spans="2:7">
      <c r="B31" s="491" t="s">
        <v>412</v>
      </c>
      <c r="C31" s="492">
        <f t="shared" si="3"/>
        <v>6.2831555630274911</v>
      </c>
      <c r="D31" s="492">
        <f t="shared" si="0"/>
        <v>0.3490641979459716</v>
      </c>
      <c r="E31" s="492">
        <f t="shared" si="4"/>
        <v>185.37758808807365</v>
      </c>
      <c r="F31" s="492">
        <f t="shared" si="1"/>
        <v>20.477756823682537</v>
      </c>
      <c r="G31" s="492">
        <f t="shared" si="2"/>
        <v>20.826821021628508</v>
      </c>
    </row>
    <row r="32" spans="2:7">
      <c r="B32" s="491" t="s">
        <v>413</v>
      </c>
      <c r="C32" s="492">
        <f t="shared" si="3"/>
        <v>5.9340913650815192</v>
      </c>
      <c r="D32" s="492">
        <f t="shared" si="0"/>
        <v>0.3490641979459716</v>
      </c>
      <c r="E32" s="492">
        <f t="shared" si="4"/>
        <v>164.89983126439111</v>
      </c>
      <c r="F32" s="492">
        <f t="shared" si="1"/>
        <v>20.477756823682537</v>
      </c>
      <c r="G32" s="492">
        <f t="shared" si="2"/>
        <v>20.826821021628508</v>
      </c>
    </row>
    <row r="33" spans="2:7">
      <c r="B33" s="491" t="s">
        <v>414</v>
      </c>
      <c r="C33" s="492">
        <f t="shared" si="3"/>
        <v>5.5850271671355474</v>
      </c>
      <c r="D33" s="492">
        <f t="shared" si="0"/>
        <v>0.3490641979459716</v>
      </c>
      <c r="E33" s="492">
        <f t="shared" si="4"/>
        <v>144.42207444070857</v>
      </c>
      <c r="F33" s="492">
        <f t="shared" si="1"/>
        <v>20.477756823682537</v>
      </c>
      <c r="G33" s="492">
        <f t="shared" si="2"/>
        <v>20.826821021628508</v>
      </c>
    </row>
    <row r="34" spans="2:7">
      <c r="B34" s="491" t="s">
        <v>415</v>
      </c>
      <c r="C34" s="492">
        <f t="shared" si="3"/>
        <v>5.2359629691895755</v>
      </c>
      <c r="D34" s="492">
        <f t="shared" si="0"/>
        <v>0.3490641979459716</v>
      </c>
      <c r="E34" s="492">
        <f t="shared" si="4"/>
        <v>123.94431761702603</v>
      </c>
      <c r="F34" s="492">
        <f t="shared" si="1"/>
        <v>20.477756823682537</v>
      </c>
      <c r="G34" s="492">
        <f t="shared" si="2"/>
        <v>20.826821021628508</v>
      </c>
    </row>
    <row r="35" spans="2:7">
      <c r="B35" s="491" t="s">
        <v>416</v>
      </c>
      <c r="C35" s="492">
        <f t="shared" si="3"/>
        <v>4.8868987712436036</v>
      </c>
      <c r="D35" s="492">
        <f t="shared" si="0"/>
        <v>0.3490641979459716</v>
      </c>
      <c r="E35" s="492">
        <f t="shared" si="4"/>
        <v>103.46656079334349</v>
      </c>
      <c r="F35" s="492">
        <f t="shared" si="1"/>
        <v>20.477756823682537</v>
      </c>
      <c r="G35" s="492">
        <f t="shared" si="2"/>
        <v>20.826821021628508</v>
      </c>
    </row>
    <row r="36" spans="2:7">
      <c r="B36" s="491" t="s">
        <v>417</v>
      </c>
      <c r="C36" s="492">
        <f t="shared" si="3"/>
        <v>4.5378345732976317</v>
      </c>
      <c r="D36" s="492">
        <f t="shared" si="0"/>
        <v>0.3490641979459716</v>
      </c>
      <c r="E36" s="492">
        <f t="shared" si="4"/>
        <v>82.98880396966095</v>
      </c>
      <c r="F36" s="492">
        <f t="shared" si="1"/>
        <v>20.477756823682537</v>
      </c>
      <c r="G36" s="492">
        <f t="shared" si="2"/>
        <v>20.826821021628508</v>
      </c>
    </row>
    <row r="37" spans="2:7">
      <c r="B37" s="491" t="s">
        <v>418</v>
      </c>
      <c r="C37" s="492">
        <f t="shared" si="3"/>
        <v>4.1887703753516599</v>
      </c>
      <c r="D37" s="492">
        <f t="shared" si="0"/>
        <v>0.3490641979459716</v>
      </c>
      <c r="E37" s="492">
        <f t="shared" si="4"/>
        <v>62.511047145978409</v>
      </c>
      <c r="F37" s="492">
        <f t="shared" si="1"/>
        <v>20.477756823682537</v>
      </c>
      <c r="G37" s="492">
        <f t="shared" si="2"/>
        <v>20.826821021628508</v>
      </c>
    </row>
    <row r="38" spans="2:7">
      <c r="B38" s="491" t="s">
        <v>419</v>
      </c>
      <c r="C38" s="492">
        <f t="shared" si="3"/>
        <v>3.8397061774056884</v>
      </c>
      <c r="D38" s="492">
        <f t="shared" si="0"/>
        <v>0.3490641979459716</v>
      </c>
      <c r="E38" s="492">
        <f t="shared" si="4"/>
        <v>42.033290322295869</v>
      </c>
      <c r="F38" s="492">
        <f t="shared" si="1"/>
        <v>20.477756823682537</v>
      </c>
      <c r="G38" s="492">
        <f t="shared" si="2"/>
        <v>20.826821021628508</v>
      </c>
    </row>
    <row r="39" spans="2:7">
      <c r="B39" s="3"/>
      <c r="C39" s="3"/>
      <c r="D39" s="3"/>
      <c r="E39" s="3"/>
      <c r="F39" s="3"/>
      <c r="G39" s="493">
        <f>SUM(G19:G38)</f>
        <v>416.53642043257025</v>
      </c>
    </row>
    <row r="40" spans="2:7">
      <c r="B40" s="3"/>
      <c r="C40" s="3"/>
      <c r="D40" s="3"/>
      <c r="E40" s="3"/>
      <c r="F40" s="494" t="s">
        <v>420</v>
      </c>
      <c r="G40" s="495">
        <f>+F11-G39</f>
        <v>25.046175478072826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50F7E-C505-47EF-9AA5-B9A2D15AF5F9}">
  <dimension ref="A1:L38"/>
  <sheetViews>
    <sheetView showGridLines="0" zoomScaleNormal="100" zoomScaleSheetLayoutView="100" workbookViewId="0">
      <selection activeCell="B35" sqref="B35"/>
    </sheetView>
  </sheetViews>
  <sheetFormatPr defaultRowHeight="21" customHeight="1"/>
  <cols>
    <col min="1" max="1" width="33" style="223" customWidth="1"/>
    <col min="2" max="2" width="63.7109375" style="223" bestFit="1" customWidth="1"/>
    <col min="3" max="11" width="10.7109375" style="223" customWidth="1"/>
    <col min="12" max="256" width="9.140625" style="223"/>
    <col min="257" max="257" width="35.7109375" style="223" customWidth="1"/>
    <col min="258" max="267" width="10.7109375" style="223" customWidth="1"/>
    <col min="268" max="512" width="9.140625" style="223"/>
    <col min="513" max="513" width="35.7109375" style="223" customWidth="1"/>
    <col min="514" max="523" width="10.7109375" style="223" customWidth="1"/>
    <col min="524" max="768" width="9.140625" style="223"/>
    <col min="769" max="769" width="35.7109375" style="223" customWidth="1"/>
    <col min="770" max="779" width="10.7109375" style="223" customWidth="1"/>
    <col min="780" max="1024" width="9.140625" style="223"/>
    <col min="1025" max="1025" width="35.7109375" style="223" customWidth="1"/>
    <col min="1026" max="1035" width="10.7109375" style="223" customWidth="1"/>
    <col min="1036" max="1280" width="9.140625" style="223"/>
    <col min="1281" max="1281" width="35.7109375" style="223" customWidth="1"/>
    <col min="1282" max="1291" width="10.7109375" style="223" customWidth="1"/>
    <col min="1292" max="1536" width="9.140625" style="223"/>
    <col min="1537" max="1537" width="35.7109375" style="223" customWidth="1"/>
    <col min="1538" max="1547" width="10.7109375" style="223" customWidth="1"/>
    <col min="1548" max="1792" width="9.140625" style="223"/>
    <col min="1793" max="1793" width="35.7109375" style="223" customWidth="1"/>
    <col min="1794" max="1803" width="10.7109375" style="223" customWidth="1"/>
    <col min="1804" max="2048" width="9.140625" style="223"/>
    <col min="2049" max="2049" width="35.7109375" style="223" customWidth="1"/>
    <col min="2050" max="2059" width="10.7109375" style="223" customWidth="1"/>
    <col min="2060" max="2304" width="9.140625" style="223"/>
    <col min="2305" max="2305" width="35.7109375" style="223" customWidth="1"/>
    <col min="2306" max="2315" width="10.7109375" style="223" customWidth="1"/>
    <col min="2316" max="2560" width="9.140625" style="223"/>
    <col min="2561" max="2561" width="35.7109375" style="223" customWidth="1"/>
    <col min="2562" max="2571" width="10.7109375" style="223" customWidth="1"/>
    <col min="2572" max="2816" width="9.140625" style="223"/>
    <col min="2817" max="2817" width="35.7109375" style="223" customWidth="1"/>
    <col min="2818" max="2827" width="10.7109375" style="223" customWidth="1"/>
    <col min="2828" max="3072" width="9.140625" style="223"/>
    <col min="3073" max="3073" width="35.7109375" style="223" customWidth="1"/>
    <col min="3074" max="3083" width="10.7109375" style="223" customWidth="1"/>
    <col min="3084" max="3328" width="9.140625" style="223"/>
    <col min="3329" max="3329" width="35.7109375" style="223" customWidth="1"/>
    <col min="3330" max="3339" width="10.7109375" style="223" customWidth="1"/>
    <col min="3340" max="3584" width="9.140625" style="223"/>
    <col min="3585" max="3585" width="35.7109375" style="223" customWidth="1"/>
    <col min="3586" max="3595" width="10.7109375" style="223" customWidth="1"/>
    <col min="3596" max="3840" width="9.140625" style="223"/>
    <col min="3841" max="3841" width="35.7109375" style="223" customWidth="1"/>
    <col min="3842" max="3851" width="10.7109375" style="223" customWidth="1"/>
    <col min="3852" max="4096" width="9.140625" style="223"/>
    <col min="4097" max="4097" width="35.7109375" style="223" customWidth="1"/>
    <col min="4098" max="4107" width="10.7109375" style="223" customWidth="1"/>
    <col min="4108" max="4352" width="9.140625" style="223"/>
    <col min="4353" max="4353" width="35.7109375" style="223" customWidth="1"/>
    <col min="4354" max="4363" width="10.7109375" style="223" customWidth="1"/>
    <col min="4364" max="4608" width="9.140625" style="223"/>
    <col min="4609" max="4609" width="35.7109375" style="223" customWidth="1"/>
    <col min="4610" max="4619" width="10.7109375" style="223" customWidth="1"/>
    <col min="4620" max="4864" width="9.140625" style="223"/>
    <col min="4865" max="4865" width="35.7109375" style="223" customWidth="1"/>
    <col min="4866" max="4875" width="10.7109375" style="223" customWidth="1"/>
    <col min="4876" max="5120" width="9.140625" style="223"/>
    <col min="5121" max="5121" width="35.7109375" style="223" customWidth="1"/>
    <col min="5122" max="5131" width="10.7109375" style="223" customWidth="1"/>
    <col min="5132" max="5376" width="9.140625" style="223"/>
    <col min="5377" max="5377" width="35.7109375" style="223" customWidth="1"/>
    <col min="5378" max="5387" width="10.7109375" style="223" customWidth="1"/>
    <col min="5388" max="5632" width="9.140625" style="223"/>
    <col min="5633" max="5633" width="35.7109375" style="223" customWidth="1"/>
    <col min="5634" max="5643" width="10.7109375" style="223" customWidth="1"/>
    <col min="5644" max="5888" width="9.140625" style="223"/>
    <col min="5889" max="5889" width="35.7109375" style="223" customWidth="1"/>
    <col min="5890" max="5899" width="10.7109375" style="223" customWidth="1"/>
    <col min="5900" max="6144" width="9.140625" style="223"/>
    <col min="6145" max="6145" width="35.7109375" style="223" customWidth="1"/>
    <col min="6146" max="6155" width="10.7109375" style="223" customWidth="1"/>
    <col min="6156" max="6400" width="9.140625" style="223"/>
    <col min="6401" max="6401" width="35.7109375" style="223" customWidth="1"/>
    <col min="6402" max="6411" width="10.7109375" style="223" customWidth="1"/>
    <col min="6412" max="6656" width="9.140625" style="223"/>
    <col min="6657" max="6657" width="35.7109375" style="223" customWidth="1"/>
    <col min="6658" max="6667" width="10.7109375" style="223" customWidth="1"/>
    <col min="6668" max="6912" width="9.140625" style="223"/>
    <col min="6913" max="6913" width="35.7109375" style="223" customWidth="1"/>
    <col min="6914" max="6923" width="10.7109375" style="223" customWidth="1"/>
    <col min="6924" max="7168" width="9.140625" style="223"/>
    <col min="7169" max="7169" width="35.7109375" style="223" customWidth="1"/>
    <col min="7170" max="7179" width="10.7109375" style="223" customWidth="1"/>
    <col min="7180" max="7424" width="9.140625" style="223"/>
    <col min="7425" max="7425" width="35.7109375" style="223" customWidth="1"/>
    <col min="7426" max="7435" width="10.7109375" style="223" customWidth="1"/>
    <col min="7436" max="7680" width="9.140625" style="223"/>
    <col min="7681" max="7681" width="35.7109375" style="223" customWidth="1"/>
    <col min="7682" max="7691" width="10.7109375" style="223" customWidth="1"/>
    <col min="7692" max="7936" width="9.140625" style="223"/>
    <col min="7937" max="7937" width="35.7109375" style="223" customWidth="1"/>
    <col min="7938" max="7947" width="10.7109375" style="223" customWidth="1"/>
    <col min="7948" max="8192" width="9.140625" style="223"/>
    <col min="8193" max="8193" width="35.7109375" style="223" customWidth="1"/>
    <col min="8194" max="8203" width="10.7109375" style="223" customWidth="1"/>
    <col min="8204" max="8448" width="9.140625" style="223"/>
    <col min="8449" max="8449" width="35.7109375" style="223" customWidth="1"/>
    <col min="8450" max="8459" width="10.7109375" style="223" customWidth="1"/>
    <col min="8460" max="8704" width="9.140625" style="223"/>
    <col min="8705" max="8705" width="35.7109375" style="223" customWidth="1"/>
    <col min="8706" max="8715" width="10.7109375" style="223" customWidth="1"/>
    <col min="8716" max="8960" width="9.140625" style="223"/>
    <col min="8961" max="8961" width="35.7109375" style="223" customWidth="1"/>
    <col min="8962" max="8971" width="10.7109375" style="223" customWidth="1"/>
    <col min="8972" max="9216" width="9.140625" style="223"/>
    <col min="9217" max="9217" width="35.7109375" style="223" customWidth="1"/>
    <col min="9218" max="9227" width="10.7109375" style="223" customWidth="1"/>
    <col min="9228" max="9472" width="9.140625" style="223"/>
    <col min="9473" max="9473" width="35.7109375" style="223" customWidth="1"/>
    <col min="9474" max="9483" width="10.7109375" style="223" customWidth="1"/>
    <col min="9484" max="9728" width="9.140625" style="223"/>
    <col min="9729" max="9729" width="35.7109375" style="223" customWidth="1"/>
    <col min="9730" max="9739" width="10.7109375" style="223" customWidth="1"/>
    <col min="9740" max="9984" width="9.140625" style="223"/>
    <col min="9985" max="9985" width="35.7109375" style="223" customWidth="1"/>
    <col min="9986" max="9995" width="10.7109375" style="223" customWidth="1"/>
    <col min="9996" max="10240" width="9.140625" style="223"/>
    <col min="10241" max="10241" width="35.7109375" style="223" customWidth="1"/>
    <col min="10242" max="10251" width="10.7109375" style="223" customWidth="1"/>
    <col min="10252" max="10496" width="9.140625" style="223"/>
    <col min="10497" max="10497" width="35.7109375" style="223" customWidth="1"/>
    <col min="10498" max="10507" width="10.7109375" style="223" customWidth="1"/>
    <col min="10508" max="10752" width="9.140625" style="223"/>
    <col min="10753" max="10753" width="35.7109375" style="223" customWidth="1"/>
    <col min="10754" max="10763" width="10.7109375" style="223" customWidth="1"/>
    <col min="10764" max="11008" width="9.140625" style="223"/>
    <col min="11009" max="11009" width="35.7109375" style="223" customWidth="1"/>
    <col min="11010" max="11019" width="10.7109375" style="223" customWidth="1"/>
    <col min="11020" max="11264" width="9.140625" style="223"/>
    <col min="11265" max="11265" width="35.7109375" style="223" customWidth="1"/>
    <col min="11266" max="11275" width="10.7109375" style="223" customWidth="1"/>
    <col min="11276" max="11520" width="9.140625" style="223"/>
    <col min="11521" max="11521" width="35.7109375" style="223" customWidth="1"/>
    <col min="11522" max="11531" width="10.7109375" style="223" customWidth="1"/>
    <col min="11532" max="11776" width="9.140625" style="223"/>
    <col min="11777" max="11777" width="35.7109375" style="223" customWidth="1"/>
    <col min="11778" max="11787" width="10.7109375" style="223" customWidth="1"/>
    <col min="11788" max="12032" width="9.140625" style="223"/>
    <col min="12033" max="12033" width="35.7109375" style="223" customWidth="1"/>
    <col min="12034" max="12043" width="10.7109375" style="223" customWidth="1"/>
    <col min="12044" max="12288" width="9.140625" style="223"/>
    <col min="12289" max="12289" width="35.7109375" style="223" customWidth="1"/>
    <col min="12290" max="12299" width="10.7109375" style="223" customWidth="1"/>
    <col min="12300" max="12544" width="9.140625" style="223"/>
    <col min="12545" max="12545" width="35.7109375" style="223" customWidth="1"/>
    <col min="12546" max="12555" width="10.7109375" style="223" customWidth="1"/>
    <col min="12556" max="12800" width="9.140625" style="223"/>
    <col min="12801" max="12801" width="35.7109375" style="223" customWidth="1"/>
    <col min="12802" max="12811" width="10.7109375" style="223" customWidth="1"/>
    <col min="12812" max="13056" width="9.140625" style="223"/>
    <col min="13057" max="13057" width="35.7109375" style="223" customWidth="1"/>
    <col min="13058" max="13067" width="10.7109375" style="223" customWidth="1"/>
    <col min="13068" max="13312" width="9.140625" style="223"/>
    <col min="13313" max="13313" width="35.7109375" style="223" customWidth="1"/>
    <col min="13314" max="13323" width="10.7109375" style="223" customWidth="1"/>
    <col min="13324" max="13568" width="9.140625" style="223"/>
    <col min="13569" max="13569" width="35.7109375" style="223" customWidth="1"/>
    <col min="13570" max="13579" width="10.7109375" style="223" customWidth="1"/>
    <col min="13580" max="13824" width="9.140625" style="223"/>
    <col min="13825" max="13825" width="35.7109375" style="223" customWidth="1"/>
    <col min="13826" max="13835" width="10.7109375" style="223" customWidth="1"/>
    <col min="13836" max="14080" width="9.140625" style="223"/>
    <col min="14081" max="14081" width="35.7109375" style="223" customWidth="1"/>
    <col min="14082" max="14091" width="10.7109375" style="223" customWidth="1"/>
    <col min="14092" max="14336" width="9.140625" style="223"/>
    <col min="14337" max="14337" width="35.7109375" style="223" customWidth="1"/>
    <col min="14338" max="14347" width="10.7109375" style="223" customWidth="1"/>
    <col min="14348" max="14592" width="9.140625" style="223"/>
    <col min="14593" max="14593" width="35.7109375" style="223" customWidth="1"/>
    <col min="14594" max="14603" width="10.7109375" style="223" customWidth="1"/>
    <col min="14604" max="14848" width="9.140625" style="223"/>
    <col min="14849" max="14849" width="35.7109375" style="223" customWidth="1"/>
    <col min="14850" max="14859" width="10.7109375" style="223" customWidth="1"/>
    <col min="14860" max="15104" width="9.140625" style="223"/>
    <col min="15105" max="15105" width="35.7109375" style="223" customWidth="1"/>
    <col min="15106" max="15115" width="10.7109375" style="223" customWidth="1"/>
    <col min="15116" max="15360" width="9.140625" style="223"/>
    <col min="15361" max="15361" width="35.7109375" style="223" customWidth="1"/>
    <col min="15362" max="15371" width="10.7109375" style="223" customWidth="1"/>
    <col min="15372" max="15616" width="9.140625" style="223"/>
    <col min="15617" max="15617" width="35.7109375" style="223" customWidth="1"/>
    <col min="15618" max="15627" width="10.7109375" style="223" customWidth="1"/>
    <col min="15628" max="15872" width="9.140625" style="223"/>
    <col min="15873" max="15873" width="35.7109375" style="223" customWidth="1"/>
    <col min="15874" max="15883" width="10.7109375" style="223" customWidth="1"/>
    <col min="15884" max="16128" width="9.140625" style="223"/>
    <col min="16129" max="16129" width="35.7109375" style="223" customWidth="1"/>
    <col min="16130" max="16139" width="10.7109375" style="223" customWidth="1"/>
    <col min="16140" max="16384" width="9.140625" style="223"/>
  </cols>
  <sheetData>
    <row r="1" spans="1:12" ht="21" customHeight="1">
      <c r="A1" s="836" t="s">
        <v>289</v>
      </c>
      <c r="B1" s="837"/>
      <c r="C1" s="837"/>
      <c r="D1" s="837"/>
      <c r="E1" s="837"/>
      <c r="F1" s="837"/>
      <c r="G1" s="837"/>
      <c r="H1" s="837"/>
      <c r="I1" s="837"/>
      <c r="J1" s="837"/>
      <c r="K1" s="838"/>
    </row>
    <row r="2" spans="1:12" ht="21" customHeight="1">
      <c r="A2" s="99" t="s">
        <v>94</v>
      </c>
      <c r="B2" s="100">
        <f>'Cashflow '!F3</f>
        <v>0.7</v>
      </c>
      <c r="C2" s="100">
        <f>'Cashflow '!G3</f>
        <v>0.9</v>
      </c>
      <c r="D2" s="100">
        <f>'Cashflow '!H3</f>
        <v>0.95</v>
      </c>
      <c r="E2" s="100">
        <f>'Cashflow '!I3</f>
        <v>0.95</v>
      </c>
      <c r="F2" s="100">
        <f>'Cashflow '!J3</f>
        <v>0.95</v>
      </c>
      <c r="G2" s="100">
        <f>'Cashflow '!K3</f>
        <v>0.95</v>
      </c>
      <c r="H2" s="100">
        <f>'Cashflow '!L3</f>
        <v>0.95</v>
      </c>
      <c r="I2" s="100">
        <f>'Cashflow '!M3</f>
        <v>0.95</v>
      </c>
      <c r="J2" s="100">
        <f>'Cashflow '!N3</f>
        <v>0.95</v>
      </c>
      <c r="K2" s="350">
        <f>'Cashflow '!O3</f>
        <v>0.95</v>
      </c>
    </row>
    <row r="3" spans="1:12" ht="18.75" customHeight="1">
      <c r="A3" s="876" t="s">
        <v>95</v>
      </c>
      <c r="B3" s="877"/>
      <c r="C3" s="877"/>
      <c r="D3" s="877"/>
      <c r="E3" s="877"/>
      <c r="F3" s="877"/>
      <c r="G3" s="877"/>
      <c r="H3" s="877"/>
      <c r="I3" s="877"/>
      <c r="J3" s="877"/>
      <c r="K3" s="878"/>
      <c r="L3" s="224"/>
    </row>
    <row r="4" spans="1:12" ht="21" customHeight="1">
      <c r="A4" s="99"/>
      <c r="B4" s="101" t="s">
        <v>96</v>
      </c>
      <c r="C4" s="101" t="s">
        <v>97</v>
      </c>
      <c r="D4" s="101" t="s">
        <v>98</v>
      </c>
      <c r="E4" s="101" t="s">
        <v>99</v>
      </c>
      <c r="F4" s="101" t="s">
        <v>100</v>
      </c>
      <c r="G4" s="101" t="s">
        <v>101</v>
      </c>
      <c r="H4" s="101" t="s">
        <v>102</v>
      </c>
      <c r="I4" s="101" t="s">
        <v>103</v>
      </c>
      <c r="J4" s="101" t="s">
        <v>104</v>
      </c>
      <c r="K4" s="102" t="s">
        <v>105</v>
      </c>
      <c r="L4" s="224"/>
    </row>
    <row r="5" spans="1:12" s="217" customFormat="1" ht="21" customHeight="1">
      <c r="A5" s="99" t="s">
        <v>132</v>
      </c>
      <c r="B5" s="120">
        <f>'Cashflow '!F10</f>
        <v>279.536992</v>
      </c>
      <c r="C5" s="120">
        <f>'Cashflow '!G10</f>
        <v>359.40470400000004</v>
      </c>
      <c r="D5" s="120">
        <f>'Cashflow '!H10</f>
        <v>379.37163200000003</v>
      </c>
      <c r="E5" s="120">
        <f>'Cashflow '!I10</f>
        <v>379.37163200000003</v>
      </c>
      <c r="F5" s="120">
        <f>'Cashflow '!J10</f>
        <v>379.37163200000003</v>
      </c>
      <c r="G5" s="120">
        <f>'Cashflow '!K10</f>
        <v>379.37163200000003</v>
      </c>
      <c r="H5" s="120">
        <f>'Cashflow '!L10</f>
        <v>379.37163200000003</v>
      </c>
      <c r="I5" s="120">
        <f>'Cashflow '!M10</f>
        <v>379.37163200000003</v>
      </c>
      <c r="J5" s="120">
        <f>'Cashflow '!N10</f>
        <v>379.37163200000003</v>
      </c>
      <c r="K5" s="121">
        <f>'Cashflow '!O10</f>
        <v>379.37163200000003</v>
      </c>
      <c r="L5" s="224"/>
    </row>
    <row r="6" spans="1:12" s="217" customFormat="1" ht="21" customHeight="1">
      <c r="A6" s="99" t="s">
        <v>179</v>
      </c>
      <c r="B6" s="120">
        <f t="shared" ref="B6:K6" si="0">SUM(B7:B8)</f>
        <v>172.51374270057707</v>
      </c>
      <c r="C6" s="120">
        <f t="shared" si="0"/>
        <v>224.96519790689595</v>
      </c>
      <c r="D6" s="120">
        <f t="shared" si="0"/>
        <v>241.12809723847968</v>
      </c>
      <c r="E6" s="120">
        <f t="shared" si="0"/>
        <v>244.6619835810281</v>
      </c>
      <c r="F6" s="120">
        <f t="shared" si="0"/>
        <v>247.67392941738504</v>
      </c>
      <c r="G6" s="120">
        <f t="shared" si="0"/>
        <v>250.992760071578</v>
      </c>
      <c r="H6" s="120">
        <f t="shared" si="0"/>
        <v>254.2891269524676</v>
      </c>
      <c r="I6" s="120">
        <f t="shared" si="0"/>
        <v>257.71920557597497</v>
      </c>
      <c r="J6" s="120">
        <f t="shared" si="0"/>
        <v>261.53919462182796</v>
      </c>
      <c r="K6" s="121">
        <f t="shared" si="0"/>
        <v>264.34622614256921</v>
      </c>
      <c r="L6" s="224"/>
    </row>
    <row r="7" spans="1:12" s="217" customFormat="1" ht="21" customHeight="1">
      <c r="A7" s="49" t="s">
        <v>367</v>
      </c>
      <c r="B7" s="120">
        <f>'Cashflow '!F15</f>
        <v>153.41000505177706</v>
      </c>
      <c r="C7" s="120">
        <f>'Cashflow '!G15</f>
        <v>200.02253930100915</v>
      </c>
      <c r="D7" s="120">
        <f>'Cashflow '!H15</f>
        <v>214.38638009548052</v>
      </c>
      <c r="E7" s="120">
        <f>'Cashflow '!I15</f>
        <v>217.53785988288405</v>
      </c>
      <c r="F7" s="120">
        <f>'Cashflow '!J15</f>
        <v>220.17006798746695</v>
      </c>
      <c r="G7" s="120">
        <f>'Cashflow '!K15</f>
        <v>223.12034689849901</v>
      </c>
      <c r="H7" s="120">
        <f>'Cashflow '!L15</f>
        <v>226.04322344286936</v>
      </c>
      <c r="I7" s="120">
        <f>'Cashflow '!M15</f>
        <v>229.09480695934809</v>
      </c>
      <c r="J7" s="120">
        <f>'Cashflow '!N15</f>
        <v>232.53122906373832</v>
      </c>
      <c r="K7" s="121">
        <f>'Cashflow '!O15</f>
        <v>234.94955384600115</v>
      </c>
      <c r="L7" s="224"/>
    </row>
    <row r="8" spans="1:12" s="217" customFormat="1" ht="21" customHeight="1">
      <c r="A8" s="49" t="s">
        <v>365</v>
      </c>
      <c r="B8" s="120">
        <f>'Cashflow '!F16</f>
        <v>19.103737648799996</v>
      </c>
      <c r="C8" s="120">
        <f>'Cashflow '!G16</f>
        <v>24.942658605886795</v>
      </c>
      <c r="D8" s="120">
        <f>'Cashflow '!H16</f>
        <v>26.741717142999175</v>
      </c>
      <c r="E8" s="120">
        <f>'Cashflow '!I16</f>
        <v>27.124123698144061</v>
      </c>
      <c r="F8" s="120">
        <f>'Cashflow '!J16</f>
        <v>27.503861429918079</v>
      </c>
      <c r="G8" s="120">
        <f>'Cashflow '!K16</f>
        <v>27.872413173078982</v>
      </c>
      <c r="H8" s="120">
        <f>'Cashflow '!L16</f>
        <v>28.245903509598239</v>
      </c>
      <c r="I8" s="120">
        <f>'Cashflow '!M16</f>
        <v>28.624398616626859</v>
      </c>
      <c r="J8" s="120">
        <f>'Cashflow '!N16</f>
        <v>29.007965558089655</v>
      </c>
      <c r="K8" s="121">
        <f>'Cashflow '!O16</f>
        <v>29.39667229656806</v>
      </c>
      <c r="L8" s="224"/>
    </row>
    <row r="9" spans="1:12" ht="21" customHeight="1">
      <c r="A9" s="99" t="s">
        <v>180</v>
      </c>
      <c r="B9" s="120">
        <f t="shared" ref="B9:K9" si="1">B5-B6</f>
        <v>107.02324929942293</v>
      </c>
      <c r="C9" s="120">
        <f t="shared" si="1"/>
        <v>134.43950609310409</v>
      </c>
      <c r="D9" s="120">
        <f t="shared" si="1"/>
        <v>138.24353476152035</v>
      </c>
      <c r="E9" s="120">
        <f t="shared" si="1"/>
        <v>134.70964841897194</v>
      </c>
      <c r="F9" s="120">
        <f t="shared" si="1"/>
        <v>131.69770258261499</v>
      </c>
      <c r="G9" s="120">
        <f t="shared" si="1"/>
        <v>128.37887192842203</v>
      </c>
      <c r="H9" s="120">
        <f t="shared" si="1"/>
        <v>125.08250504753244</v>
      </c>
      <c r="I9" s="120">
        <f t="shared" si="1"/>
        <v>121.65242642402507</v>
      </c>
      <c r="J9" s="120">
        <f t="shared" si="1"/>
        <v>117.83243737817207</v>
      </c>
      <c r="K9" s="121">
        <f t="shared" si="1"/>
        <v>115.02540585743083</v>
      </c>
      <c r="L9" s="225"/>
    </row>
    <row r="10" spans="1:12" s="217" customFormat="1" ht="21" customHeight="1">
      <c r="A10" s="99" t="s">
        <v>183</v>
      </c>
      <c r="B10" s="458">
        <f>Opex!E11</f>
        <v>35.78575</v>
      </c>
      <c r="C10" s="458">
        <f>Opex!F11</f>
        <v>36.340429125</v>
      </c>
      <c r="D10" s="458">
        <f>Opex!G11</f>
        <v>36.903705776437498</v>
      </c>
      <c r="E10" s="458">
        <f>Opex!H11</f>
        <v>37.475713215972277</v>
      </c>
      <c r="F10" s="458">
        <f>Opex!I11</f>
        <v>38.056586770819848</v>
      </c>
      <c r="G10" s="458">
        <f>Opex!J11</f>
        <v>38.646463865767558</v>
      </c>
      <c r="H10" s="458">
        <f>Opex!K11</f>
        <v>39.245484055686958</v>
      </c>
      <c r="I10" s="458">
        <f>Opex!L11</f>
        <v>39.853789058550106</v>
      </c>
      <c r="J10" s="458">
        <f>Opex!M11</f>
        <v>40.471522788957635</v>
      </c>
      <c r="K10" s="459">
        <f>Opex!N11</f>
        <v>41.098831392186476</v>
      </c>
      <c r="L10" s="224"/>
    </row>
    <row r="11" spans="1:12" s="217" customFormat="1" ht="21" customHeight="1">
      <c r="A11" s="99" t="s">
        <v>184</v>
      </c>
      <c r="B11" s="120">
        <f>B9-B10</f>
        <v>71.237499299422922</v>
      </c>
      <c r="C11" s="120">
        <f t="shared" ref="C11:K11" si="2">C9-C10</f>
        <v>98.099076968104086</v>
      </c>
      <c r="D11" s="120">
        <f t="shared" si="2"/>
        <v>101.33982898508285</v>
      </c>
      <c r="E11" s="120">
        <f t="shared" si="2"/>
        <v>97.23393520299966</v>
      </c>
      <c r="F11" s="120">
        <f t="shared" si="2"/>
        <v>93.641115811795146</v>
      </c>
      <c r="G11" s="120">
        <f t="shared" si="2"/>
        <v>89.732408062654471</v>
      </c>
      <c r="H11" s="120">
        <f t="shared" si="2"/>
        <v>85.837020991845478</v>
      </c>
      <c r="I11" s="120">
        <f t="shared" si="2"/>
        <v>81.79863736547496</v>
      </c>
      <c r="J11" s="120">
        <f t="shared" si="2"/>
        <v>77.360914589214445</v>
      </c>
      <c r="K11" s="121">
        <f t="shared" si="2"/>
        <v>73.926574465244357</v>
      </c>
      <c r="L11" s="224"/>
    </row>
    <row r="12" spans="1:12" s="217" customFormat="1" ht="21" customHeight="1">
      <c r="A12" s="99" t="s">
        <v>106</v>
      </c>
      <c r="B12" s="120">
        <f>B11*0.25</f>
        <v>17.80937482485573</v>
      </c>
      <c r="C12" s="120">
        <f>C11*0.25</f>
        <v>24.524769242026021</v>
      </c>
      <c r="D12" s="120">
        <f t="shared" ref="D12:K12" si="3">D11*0.25</f>
        <v>25.334957246270712</v>
      </c>
      <c r="E12" s="120">
        <f t="shared" si="3"/>
        <v>24.308483800749915</v>
      </c>
      <c r="F12" s="120">
        <f t="shared" si="3"/>
        <v>23.410278952948786</v>
      </c>
      <c r="G12" s="120">
        <f t="shared" si="3"/>
        <v>22.433102015663618</v>
      </c>
      <c r="H12" s="120">
        <f t="shared" si="3"/>
        <v>21.459255247961369</v>
      </c>
      <c r="I12" s="120">
        <f t="shared" si="3"/>
        <v>20.44965934136874</v>
      </c>
      <c r="J12" s="120">
        <f t="shared" si="3"/>
        <v>19.340228647303611</v>
      </c>
      <c r="K12" s="121">
        <f t="shared" si="3"/>
        <v>18.481643616311089</v>
      </c>
      <c r="L12" s="224"/>
    </row>
    <row r="13" spans="1:12" s="217" customFormat="1" ht="21" customHeight="1">
      <c r="A13" s="99" t="s">
        <v>107</v>
      </c>
      <c r="B13" s="120">
        <f>B11-B12</f>
        <v>53.428124474567191</v>
      </c>
      <c r="C13" s="120">
        <f t="shared" ref="C13:K13" si="4">C11-C12</f>
        <v>73.574307726078061</v>
      </c>
      <c r="D13" s="120">
        <f t="shared" si="4"/>
        <v>76.004871738812142</v>
      </c>
      <c r="E13" s="120">
        <f t="shared" si="4"/>
        <v>72.925451402249749</v>
      </c>
      <c r="F13" s="120">
        <f t="shared" si="4"/>
        <v>70.230836858846359</v>
      </c>
      <c r="G13" s="120">
        <f t="shared" si="4"/>
        <v>67.29930604699085</v>
      </c>
      <c r="H13" s="120">
        <f t="shared" si="4"/>
        <v>64.377765743884112</v>
      </c>
      <c r="I13" s="120">
        <f t="shared" si="4"/>
        <v>61.348978024106216</v>
      </c>
      <c r="J13" s="120">
        <f t="shared" si="4"/>
        <v>58.020685941910834</v>
      </c>
      <c r="K13" s="121">
        <f t="shared" si="4"/>
        <v>55.444930848933268</v>
      </c>
      <c r="L13" s="224"/>
    </row>
    <row r="14" spans="1:12" s="217" customFormat="1" ht="21" customHeight="1">
      <c r="A14" s="99" t="s">
        <v>368</v>
      </c>
      <c r="B14" s="120">
        <f>Opex!E12</f>
        <v>42.341250000000002</v>
      </c>
      <c r="C14" s="120">
        <f>Opex!F12</f>
        <v>40.929874999999996</v>
      </c>
      <c r="D14" s="120">
        <f>Opex!G12</f>
        <v>35.284374999999997</v>
      </c>
      <c r="E14" s="120">
        <f>Opex!H12</f>
        <v>29.638874999999992</v>
      </c>
      <c r="F14" s="120">
        <f>Opex!I12</f>
        <v>23.99337499999999</v>
      </c>
      <c r="G14" s="120">
        <f>Opex!J12</f>
        <v>21.879624999999997</v>
      </c>
      <c r="H14" s="120">
        <f>Opex!K12</f>
        <v>19.056874999999994</v>
      </c>
      <c r="I14" s="120">
        <f>Opex!L12</f>
        <v>16.234124999999995</v>
      </c>
      <c r="J14" s="120">
        <f>Opex!M12</f>
        <v>13.411374999999996</v>
      </c>
      <c r="K14" s="121">
        <f>Opex!N12</f>
        <v>0</v>
      </c>
      <c r="L14" s="224"/>
    </row>
    <row r="15" spans="1:12" s="217" customFormat="1" ht="21" customHeight="1">
      <c r="A15" s="103" t="s">
        <v>369</v>
      </c>
      <c r="B15" s="122">
        <f>B13-B14</f>
        <v>11.086874474567189</v>
      </c>
      <c r="C15" s="122">
        <f t="shared" ref="C15:K15" si="5">C13-C14</f>
        <v>32.644432726078065</v>
      </c>
      <c r="D15" s="122">
        <f t="shared" si="5"/>
        <v>40.720496738812145</v>
      </c>
      <c r="E15" s="122">
        <f t="shared" si="5"/>
        <v>43.286576402249757</v>
      </c>
      <c r="F15" s="122">
        <f t="shared" si="5"/>
        <v>46.237461858846373</v>
      </c>
      <c r="G15" s="122">
        <f t="shared" si="5"/>
        <v>45.419681046990853</v>
      </c>
      <c r="H15" s="122">
        <f t="shared" si="5"/>
        <v>45.320890743884121</v>
      </c>
      <c r="I15" s="122">
        <f t="shared" si="5"/>
        <v>45.114853024106225</v>
      </c>
      <c r="J15" s="122">
        <f t="shared" si="5"/>
        <v>44.609310941910834</v>
      </c>
      <c r="K15" s="123">
        <f t="shared" si="5"/>
        <v>55.444930848933268</v>
      </c>
      <c r="L15" s="224"/>
    </row>
    <row r="16" spans="1:12" ht="21" customHeight="1">
      <c r="A16" s="839" t="s">
        <v>306</v>
      </c>
      <c r="B16" s="840"/>
      <c r="C16" s="840"/>
      <c r="D16" s="840"/>
      <c r="E16" s="840"/>
      <c r="F16" s="840"/>
      <c r="G16" s="404" t="s">
        <v>350</v>
      </c>
      <c r="H16" s="226"/>
      <c r="I16" s="226"/>
      <c r="J16" s="226"/>
      <c r="K16" s="226"/>
    </row>
    <row r="17" spans="1:11" ht="21" customHeight="1">
      <c r="A17" s="455" t="s">
        <v>94</v>
      </c>
      <c r="B17" s="456">
        <f>'Cashflow '!I3</f>
        <v>0.95</v>
      </c>
      <c r="C17" s="456"/>
      <c r="D17" s="456"/>
      <c r="E17" s="456"/>
      <c r="F17" s="457"/>
      <c r="H17" s="226"/>
      <c r="I17" s="226"/>
      <c r="J17" s="226"/>
      <c r="K17" s="226"/>
    </row>
    <row r="18" spans="1:11" ht="21" customHeight="1">
      <c r="A18" s="876" t="s">
        <v>95</v>
      </c>
      <c r="B18" s="877"/>
      <c r="C18" s="877"/>
      <c r="D18" s="877"/>
      <c r="E18" s="877"/>
      <c r="F18" s="878"/>
      <c r="H18" s="226"/>
      <c r="I18" s="226"/>
      <c r="J18" s="226"/>
      <c r="K18" s="226"/>
    </row>
    <row r="19" spans="1:11" ht="21" customHeight="1">
      <c r="A19" s="99"/>
      <c r="B19" s="101" t="s">
        <v>99</v>
      </c>
      <c r="C19" s="101">
        <v>1</v>
      </c>
      <c r="D19" s="101">
        <v>2</v>
      </c>
      <c r="E19" s="101">
        <v>3</v>
      </c>
      <c r="F19" s="102">
        <v>4</v>
      </c>
      <c r="H19" s="226"/>
      <c r="I19" s="226"/>
      <c r="J19" s="226"/>
      <c r="K19" s="226"/>
    </row>
    <row r="20" spans="1:11" ht="21" customHeight="1">
      <c r="A20" s="99" t="s">
        <v>132</v>
      </c>
      <c r="B20" s="120">
        <f>E5</f>
        <v>379.37163200000003</v>
      </c>
      <c r="C20" s="120">
        <f>B20-(B20*0.05)</f>
        <v>360.40305040000004</v>
      </c>
      <c r="D20" s="120">
        <f>E5</f>
        <v>379.37163200000003</v>
      </c>
      <c r="E20" s="120">
        <f>B20-(B20*0.05)</f>
        <v>360.40305040000004</v>
      </c>
      <c r="F20" s="121">
        <f>E5</f>
        <v>379.37163200000003</v>
      </c>
      <c r="H20" s="226"/>
      <c r="I20" s="226"/>
      <c r="J20" s="226"/>
      <c r="K20" s="226"/>
    </row>
    <row r="21" spans="1:11" ht="21" customHeight="1">
      <c r="A21" s="99" t="s">
        <v>179</v>
      </c>
      <c r="B21" s="120">
        <f>SUM(B22:B23)</f>
        <v>244.6619835810281</v>
      </c>
      <c r="C21" s="120">
        <f>SUM(C22:C23)</f>
        <v>244.6619835810281</v>
      </c>
      <c r="D21" s="120">
        <f>SUM(D22:D23)</f>
        <v>266.41576956931652</v>
      </c>
      <c r="E21" s="120">
        <f>SUM(E22:E23)</f>
        <v>266.41576956931652</v>
      </c>
      <c r="F21" s="121">
        <f>B21+(B21*0.05)</f>
        <v>256.8950827600795</v>
      </c>
      <c r="H21" s="226"/>
      <c r="I21" s="226"/>
      <c r="J21" s="226"/>
      <c r="K21" s="226"/>
    </row>
    <row r="22" spans="1:11" ht="21" customHeight="1">
      <c r="A22" s="49" t="s">
        <v>367</v>
      </c>
      <c r="B22" s="120">
        <f t="shared" ref="B22:B29" si="6">E7</f>
        <v>217.53785988288405</v>
      </c>
      <c r="C22" s="120">
        <f>E7</f>
        <v>217.53785988288405</v>
      </c>
      <c r="D22" s="120">
        <f>B22+(B22*0.1)</f>
        <v>239.29164587117245</v>
      </c>
      <c r="E22" s="120">
        <f>B22+(B22*0.1)</f>
        <v>239.29164587117245</v>
      </c>
      <c r="F22" s="121">
        <f>E7</f>
        <v>217.53785988288405</v>
      </c>
      <c r="H22" s="226"/>
      <c r="I22" s="226"/>
      <c r="J22" s="226"/>
      <c r="K22" s="226"/>
    </row>
    <row r="23" spans="1:11" ht="21" customHeight="1">
      <c r="A23" s="49" t="s">
        <v>365</v>
      </c>
      <c r="B23" s="120">
        <f t="shared" si="6"/>
        <v>27.124123698144061</v>
      </c>
      <c r="C23" s="120">
        <f>E8</f>
        <v>27.124123698144061</v>
      </c>
      <c r="D23" s="120">
        <f>E8</f>
        <v>27.124123698144061</v>
      </c>
      <c r="E23" s="120">
        <f>E8</f>
        <v>27.124123698144061</v>
      </c>
      <c r="F23" s="121">
        <f>E8</f>
        <v>27.124123698144061</v>
      </c>
      <c r="H23" s="226"/>
      <c r="I23" s="226"/>
      <c r="J23" s="226"/>
      <c r="K23" s="226"/>
    </row>
    <row r="24" spans="1:11" ht="21" customHeight="1">
      <c r="A24" s="99" t="s">
        <v>180</v>
      </c>
      <c r="B24" s="120">
        <f>B20-B21</f>
        <v>134.70964841897194</v>
      </c>
      <c r="C24" s="120">
        <f>C20-C21</f>
        <v>115.74106681897194</v>
      </c>
      <c r="D24" s="120">
        <f>D20-D21</f>
        <v>112.95586243068351</v>
      </c>
      <c r="E24" s="120">
        <f>E20-E21</f>
        <v>93.987280830683517</v>
      </c>
      <c r="F24" s="121">
        <f>F20-F21</f>
        <v>122.47654923992053</v>
      </c>
      <c r="H24" s="226"/>
      <c r="I24" s="226"/>
      <c r="J24" s="226"/>
      <c r="K24" s="226"/>
    </row>
    <row r="25" spans="1:11" ht="21" customHeight="1">
      <c r="A25" s="99" t="s">
        <v>183</v>
      </c>
      <c r="B25" s="120">
        <f t="shared" si="6"/>
        <v>37.475713215972277</v>
      </c>
      <c r="C25" s="120">
        <f>E10</f>
        <v>37.475713215972277</v>
      </c>
      <c r="D25" s="120">
        <f>'Cashflow '!$E$8/10</f>
        <v>45.234028497904468</v>
      </c>
      <c r="E25" s="120">
        <f>'Cashflow '!$E$8/10</f>
        <v>45.234028497904468</v>
      </c>
      <c r="F25" s="121">
        <f>'Cashflow '!$E$8/10</f>
        <v>45.234028497904468</v>
      </c>
      <c r="H25" s="226"/>
      <c r="I25" s="226"/>
      <c r="J25" s="226"/>
      <c r="K25" s="226"/>
    </row>
    <row r="26" spans="1:11" ht="21" customHeight="1">
      <c r="A26" s="99" t="s">
        <v>184</v>
      </c>
      <c r="B26" s="120">
        <f>B24-B25</f>
        <v>97.23393520299966</v>
      </c>
      <c r="C26" s="120">
        <f t="shared" ref="C26:F26" si="7">C24-C25</f>
        <v>78.265353602999667</v>
      </c>
      <c r="D26" s="120">
        <f t="shared" si="7"/>
        <v>67.721833932779049</v>
      </c>
      <c r="E26" s="120">
        <f t="shared" si="7"/>
        <v>48.753252332779049</v>
      </c>
      <c r="F26" s="121">
        <f t="shared" si="7"/>
        <v>77.242520742016069</v>
      </c>
      <c r="H26" s="226"/>
      <c r="I26" s="226"/>
      <c r="J26" s="226"/>
      <c r="K26" s="226"/>
    </row>
    <row r="27" spans="1:11" ht="21" customHeight="1">
      <c r="A27" s="99" t="s">
        <v>106</v>
      </c>
      <c r="B27" s="120">
        <f>B26*0.25</f>
        <v>24.308483800749915</v>
      </c>
      <c r="C27" s="120">
        <f t="shared" ref="C27:F27" si="8">C26*0.25</f>
        <v>19.566338400749917</v>
      </c>
      <c r="D27" s="120">
        <f t="shared" si="8"/>
        <v>16.930458483194762</v>
      </c>
      <c r="E27" s="120">
        <f t="shared" si="8"/>
        <v>12.188313083194762</v>
      </c>
      <c r="F27" s="121">
        <f t="shared" si="8"/>
        <v>19.310630185504017</v>
      </c>
      <c r="H27" s="226"/>
      <c r="I27" s="226"/>
      <c r="J27" s="226"/>
      <c r="K27" s="226"/>
    </row>
    <row r="28" spans="1:11" ht="21" customHeight="1">
      <c r="A28" s="99" t="s">
        <v>107</v>
      </c>
      <c r="B28" s="120">
        <f>B26-B27</f>
        <v>72.925451402249749</v>
      </c>
      <c r="C28" s="120">
        <f t="shared" ref="C28:F28" si="9">C26-C27</f>
        <v>58.699015202249754</v>
      </c>
      <c r="D28" s="120">
        <f t="shared" si="9"/>
        <v>50.791375449584287</v>
      </c>
      <c r="E28" s="120">
        <f t="shared" si="9"/>
        <v>36.564939249584285</v>
      </c>
      <c r="F28" s="121">
        <f t="shared" si="9"/>
        <v>57.931890556512052</v>
      </c>
      <c r="H28" s="226"/>
      <c r="I28" s="226"/>
      <c r="J28" s="226"/>
      <c r="K28" s="226"/>
    </row>
    <row r="29" spans="1:11" ht="21" customHeight="1">
      <c r="A29" s="99" t="s">
        <v>368</v>
      </c>
      <c r="B29" s="120">
        <f t="shared" si="6"/>
        <v>29.638874999999992</v>
      </c>
      <c r="C29" s="120">
        <f>B29</f>
        <v>29.638874999999992</v>
      </c>
      <c r="D29" s="120">
        <f>B29</f>
        <v>29.638874999999992</v>
      </c>
      <c r="E29" s="120">
        <f>B29</f>
        <v>29.638874999999992</v>
      </c>
      <c r="F29" s="121">
        <f>B29</f>
        <v>29.638874999999992</v>
      </c>
      <c r="H29" s="226"/>
      <c r="I29" s="226"/>
      <c r="J29" s="226"/>
      <c r="K29" s="226"/>
    </row>
    <row r="30" spans="1:11" ht="21" customHeight="1">
      <c r="A30" s="103" t="s">
        <v>369</v>
      </c>
      <c r="B30" s="122">
        <f>B28-B29</f>
        <v>43.286576402249757</v>
      </c>
      <c r="C30" s="122">
        <f>C28-C29</f>
        <v>29.060140202249762</v>
      </c>
      <c r="D30" s="122">
        <f>D28-D29</f>
        <v>21.152500449584295</v>
      </c>
      <c r="E30" s="122">
        <f>E28-E29</f>
        <v>6.926064249584293</v>
      </c>
      <c r="F30" s="123">
        <f>F28-F29</f>
        <v>28.29301555651206</v>
      </c>
      <c r="H30" s="226"/>
      <c r="I30" s="226"/>
      <c r="J30" s="226"/>
      <c r="K30" s="226"/>
    </row>
    <row r="31" spans="1:11" ht="17.25" customHeight="1">
      <c r="A31" s="453" t="s">
        <v>63</v>
      </c>
      <c r="B31" s="454" t="s">
        <v>159</v>
      </c>
      <c r="C31" s="454" t="s">
        <v>296</v>
      </c>
      <c r="D31" s="454" t="s">
        <v>295</v>
      </c>
      <c r="E31" s="229"/>
      <c r="F31" s="229"/>
      <c r="G31" s="229"/>
      <c r="H31" s="227"/>
      <c r="I31" s="227"/>
      <c r="J31" s="227"/>
      <c r="K31" s="227"/>
    </row>
    <row r="32" spans="1:11" ht="17.25" customHeight="1">
      <c r="A32" s="118"/>
      <c r="B32" s="93" t="s">
        <v>153</v>
      </c>
      <c r="C32" s="127"/>
      <c r="D32" s="127"/>
      <c r="E32" s="229"/>
      <c r="F32" s="229"/>
      <c r="G32" s="229"/>
    </row>
    <row r="33" spans="1:7" ht="17.25" customHeight="1">
      <c r="A33" s="119"/>
      <c r="B33" s="94" t="s">
        <v>297</v>
      </c>
      <c r="C33" s="267">
        <f>B30</f>
        <v>43.286576402249757</v>
      </c>
      <c r="D33" s="267" t="s">
        <v>186</v>
      </c>
      <c r="E33" s="229"/>
      <c r="F33" s="229"/>
      <c r="G33" s="229"/>
    </row>
    <row r="34" spans="1:7" ht="17.25" customHeight="1">
      <c r="A34" s="119"/>
      <c r="B34" s="94"/>
      <c r="C34" s="266"/>
      <c r="D34" s="266"/>
      <c r="E34" s="229"/>
      <c r="F34" s="229"/>
      <c r="G34" s="229"/>
    </row>
    <row r="35" spans="1:7" ht="17.25" customHeight="1">
      <c r="A35" s="353">
        <v>1</v>
      </c>
      <c r="B35" s="94" t="s">
        <v>370</v>
      </c>
      <c r="C35" s="267">
        <f>C30</f>
        <v>29.060140202249762</v>
      </c>
      <c r="D35" s="269">
        <f>(C35-$C$33)/$C$33</f>
        <v>-0.32865699675108972</v>
      </c>
      <c r="E35" s="229"/>
      <c r="F35" s="229"/>
      <c r="G35" s="229"/>
    </row>
    <row r="36" spans="1:7" ht="17.25" customHeight="1">
      <c r="A36" s="353">
        <v>2</v>
      </c>
      <c r="B36" s="94" t="s">
        <v>371</v>
      </c>
      <c r="C36" s="267">
        <f>D30</f>
        <v>21.152500449584295</v>
      </c>
      <c r="D36" s="269">
        <f t="shared" ref="D36:D38" si="10">(C36-$C$33)/$C$33</f>
        <v>-0.51133810507395716</v>
      </c>
      <c r="E36" s="229"/>
      <c r="F36" s="229"/>
      <c r="G36" s="229"/>
    </row>
    <row r="37" spans="1:7" ht="17.25" customHeight="1">
      <c r="A37" s="353">
        <v>3</v>
      </c>
      <c r="B37" s="94" t="s">
        <v>372</v>
      </c>
      <c r="C37" s="267">
        <f>E30</f>
        <v>6.926064249584293</v>
      </c>
      <c r="D37" s="269">
        <f t="shared" si="10"/>
        <v>-0.83999510182504711</v>
      </c>
      <c r="E37" s="229"/>
      <c r="F37" s="229"/>
      <c r="G37" s="229"/>
    </row>
    <row r="38" spans="1:7" ht="17.25" customHeight="1">
      <c r="A38" s="354">
        <v>4</v>
      </c>
      <c r="B38" s="95" t="s">
        <v>373</v>
      </c>
      <c r="C38" s="268">
        <f>F30</f>
        <v>28.29301555651206</v>
      </c>
      <c r="D38" s="270">
        <f t="shared" si="10"/>
        <v>-0.3463789953358018</v>
      </c>
      <c r="E38" s="229"/>
      <c r="F38" s="229"/>
      <c r="G38" s="229"/>
    </row>
  </sheetData>
  <mergeCells count="4">
    <mergeCell ref="A18:F18"/>
    <mergeCell ref="A1:K1"/>
    <mergeCell ref="A3:K3"/>
    <mergeCell ref="A16:F16"/>
  </mergeCells>
  <printOptions horizontalCentered="1" gridLines="1"/>
  <pageMargins left="0.75" right="0.75" top="0.66" bottom="0.28999999999999998" header="0.23" footer="0.44"/>
  <pageSetup paperSize="9" scale="78" orientation="landscape" r:id="rId1"/>
  <headerFooter alignWithMargins="0"/>
  <ignoredErrors>
    <ignoredError sqref="D11:K11"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A8B08-AEC5-4635-AF99-22B3D63F7E1B}">
  <dimension ref="A1:H36"/>
  <sheetViews>
    <sheetView showGridLines="0" zoomScaleNormal="100" zoomScaleSheetLayoutView="98" workbookViewId="0">
      <selection activeCell="B7" sqref="B7"/>
    </sheetView>
  </sheetViews>
  <sheetFormatPr defaultRowHeight="12.75"/>
  <cols>
    <col min="1" max="1" width="33.5703125" style="229" customWidth="1"/>
    <col min="2" max="2" width="63.7109375" style="229" bestFit="1" customWidth="1"/>
    <col min="3" max="3" width="16.7109375" style="229" bestFit="1" customWidth="1"/>
    <col min="4" max="7" width="12.42578125" style="229" customWidth="1"/>
    <col min="8" max="252" width="9.140625" style="229"/>
    <col min="253" max="253" width="49.140625" style="229" customWidth="1"/>
    <col min="254" max="254" width="20.7109375" style="229" customWidth="1"/>
    <col min="255" max="255" width="9.140625" style="229"/>
    <col min="256" max="256" width="11.85546875" style="229" customWidth="1"/>
    <col min="257" max="257" width="11.7109375" style="229" customWidth="1"/>
    <col min="258" max="258" width="12.42578125" style="229" customWidth="1"/>
    <col min="259" max="259" width="13.42578125" style="229" customWidth="1"/>
    <col min="260" max="508" width="9.140625" style="229"/>
    <col min="509" max="509" width="49.140625" style="229" customWidth="1"/>
    <col min="510" max="510" width="20.7109375" style="229" customWidth="1"/>
    <col min="511" max="511" width="9.140625" style="229"/>
    <col min="512" max="512" width="11.85546875" style="229" customWidth="1"/>
    <col min="513" max="513" width="11.7109375" style="229" customWidth="1"/>
    <col min="514" max="514" width="12.42578125" style="229" customWidth="1"/>
    <col min="515" max="515" width="13.42578125" style="229" customWidth="1"/>
    <col min="516" max="764" width="9.140625" style="229"/>
    <col min="765" max="765" width="49.140625" style="229" customWidth="1"/>
    <col min="766" max="766" width="20.7109375" style="229" customWidth="1"/>
    <col min="767" max="767" width="9.140625" style="229"/>
    <col min="768" max="768" width="11.85546875" style="229" customWidth="1"/>
    <col min="769" max="769" width="11.7109375" style="229" customWidth="1"/>
    <col min="770" max="770" width="12.42578125" style="229" customWidth="1"/>
    <col min="771" max="771" width="13.42578125" style="229" customWidth="1"/>
    <col min="772" max="1020" width="9.140625" style="229"/>
    <col min="1021" max="1021" width="49.140625" style="229" customWidth="1"/>
    <col min="1022" max="1022" width="20.7109375" style="229" customWidth="1"/>
    <col min="1023" max="1023" width="9.140625" style="229"/>
    <col min="1024" max="1024" width="11.85546875" style="229" customWidth="1"/>
    <col min="1025" max="1025" width="11.7109375" style="229" customWidth="1"/>
    <col min="1026" max="1026" width="12.42578125" style="229" customWidth="1"/>
    <col min="1027" max="1027" width="13.42578125" style="229" customWidth="1"/>
    <col min="1028" max="1276" width="9.140625" style="229"/>
    <col min="1277" max="1277" width="49.140625" style="229" customWidth="1"/>
    <col min="1278" max="1278" width="20.7109375" style="229" customWidth="1"/>
    <col min="1279" max="1279" width="9.140625" style="229"/>
    <col min="1280" max="1280" width="11.85546875" style="229" customWidth="1"/>
    <col min="1281" max="1281" width="11.7109375" style="229" customWidth="1"/>
    <col min="1282" max="1282" width="12.42578125" style="229" customWidth="1"/>
    <col min="1283" max="1283" width="13.42578125" style="229" customWidth="1"/>
    <col min="1284" max="1532" width="9.140625" style="229"/>
    <col min="1533" max="1533" width="49.140625" style="229" customWidth="1"/>
    <col min="1534" max="1534" width="20.7109375" style="229" customWidth="1"/>
    <col min="1535" max="1535" width="9.140625" style="229"/>
    <col min="1536" max="1536" width="11.85546875" style="229" customWidth="1"/>
    <col min="1537" max="1537" width="11.7109375" style="229" customWidth="1"/>
    <col min="1538" max="1538" width="12.42578125" style="229" customWidth="1"/>
    <col min="1539" max="1539" width="13.42578125" style="229" customWidth="1"/>
    <col min="1540" max="1788" width="9.140625" style="229"/>
    <col min="1789" max="1789" width="49.140625" style="229" customWidth="1"/>
    <col min="1790" max="1790" width="20.7109375" style="229" customWidth="1"/>
    <col min="1791" max="1791" width="9.140625" style="229"/>
    <col min="1792" max="1792" width="11.85546875" style="229" customWidth="1"/>
    <col min="1793" max="1793" width="11.7109375" style="229" customWidth="1"/>
    <col min="1794" max="1794" width="12.42578125" style="229" customWidth="1"/>
    <col min="1795" max="1795" width="13.42578125" style="229" customWidth="1"/>
    <col min="1796" max="2044" width="9.140625" style="229"/>
    <col min="2045" max="2045" width="49.140625" style="229" customWidth="1"/>
    <col min="2046" max="2046" width="20.7109375" style="229" customWidth="1"/>
    <col min="2047" max="2047" width="9.140625" style="229"/>
    <col min="2048" max="2048" width="11.85546875" style="229" customWidth="1"/>
    <col min="2049" max="2049" width="11.7109375" style="229" customWidth="1"/>
    <col min="2050" max="2050" width="12.42578125" style="229" customWidth="1"/>
    <col min="2051" max="2051" width="13.42578125" style="229" customWidth="1"/>
    <col min="2052" max="2300" width="9.140625" style="229"/>
    <col min="2301" max="2301" width="49.140625" style="229" customWidth="1"/>
    <col min="2302" max="2302" width="20.7109375" style="229" customWidth="1"/>
    <col min="2303" max="2303" width="9.140625" style="229"/>
    <col min="2304" max="2304" width="11.85546875" style="229" customWidth="1"/>
    <col min="2305" max="2305" width="11.7109375" style="229" customWidth="1"/>
    <col min="2306" max="2306" width="12.42578125" style="229" customWidth="1"/>
    <col min="2307" max="2307" width="13.42578125" style="229" customWidth="1"/>
    <col min="2308" max="2556" width="9.140625" style="229"/>
    <col min="2557" max="2557" width="49.140625" style="229" customWidth="1"/>
    <col min="2558" max="2558" width="20.7109375" style="229" customWidth="1"/>
    <col min="2559" max="2559" width="9.140625" style="229"/>
    <col min="2560" max="2560" width="11.85546875" style="229" customWidth="1"/>
    <col min="2561" max="2561" width="11.7109375" style="229" customWidth="1"/>
    <col min="2562" max="2562" width="12.42578125" style="229" customWidth="1"/>
    <col min="2563" max="2563" width="13.42578125" style="229" customWidth="1"/>
    <col min="2564" max="2812" width="9.140625" style="229"/>
    <col min="2813" max="2813" width="49.140625" style="229" customWidth="1"/>
    <col min="2814" max="2814" width="20.7109375" style="229" customWidth="1"/>
    <col min="2815" max="2815" width="9.140625" style="229"/>
    <col min="2816" max="2816" width="11.85546875" style="229" customWidth="1"/>
    <col min="2817" max="2817" width="11.7109375" style="229" customWidth="1"/>
    <col min="2818" max="2818" width="12.42578125" style="229" customWidth="1"/>
    <col min="2819" max="2819" width="13.42578125" style="229" customWidth="1"/>
    <col min="2820" max="3068" width="9.140625" style="229"/>
    <col min="3069" max="3069" width="49.140625" style="229" customWidth="1"/>
    <col min="3070" max="3070" width="20.7109375" style="229" customWidth="1"/>
    <col min="3071" max="3071" width="9.140625" style="229"/>
    <col min="3072" max="3072" width="11.85546875" style="229" customWidth="1"/>
    <col min="3073" max="3073" width="11.7109375" style="229" customWidth="1"/>
    <col min="3074" max="3074" width="12.42578125" style="229" customWidth="1"/>
    <col min="3075" max="3075" width="13.42578125" style="229" customWidth="1"/>
    <col min="3076" max="3324" width="9.140625" style="229"/>
    <col min="3325" max="3325" width="49.140625" style="229" customWidth="1"/>
    <col min="3326" max="3326" width="20.7109375" style="229" customWidth="1"/>
    <col min="3327" max="3327" width="9.140625" style="229"/>
    <col min="3328" max="3328" width="11.85546875" style="229" customWidth="1"/>
    <col min="3329" max="3329" width="11.7109375" style="229" customWidth="1"/>
    <col min="3330" max="3330" width="12.42578125" style="229" customWidth="1"/>
    <col min="3331" max="3331" width="13.42578125" style="229" customWidth="1"/>
    <col min="3332" max="3580" width="9.140625" style="229"/>
    <col min="3581" max="3581" width="49.140625" style="229" customWidth="1"/>
    <col min="3582" max="3582" width="20.7109375" style="229" customWidth="1"/>
    <col min="3583" max="3583" width="9.140625" style="229"/>
    <col min="3584" max="3584" width="11.85546875" style="229" customWidth="1"/>
    <col min="3585" max="3585" width="11.7109375" style="229" customWidth="1"/>
    <col min="3586" max="3586" width="12.42578125" style="229" customWidth="1"/>
    <col min="3587" max="3587" width="13.42578125" style="229" customWidth="1"/>
    <col min="3588" max="3836" width="9.140625" style="229"/>
    <col min="3837" max="3837" width="49.140625" style="229" customWidth="1"/>
    <col min="3838" max="3838" width="20.7109375" style="229" customWidth="1"/>
    <col min="3839" max="3839" width="9.140625" style="229"/>
    <col min="3840" max="3840" width="11.85546875" style="229" customWidth="1"/>
    <col min="3841" max="3841" width="11.7109375" style="229" customWidth="1"/>
    <col min="3842" max="3842" width="12.42578125" style="229" customWidth="1"/>
    <col min="3843" max="3843" width="13.42578125" style="229" customWidth="1"/>
    <col min="3844" max="4092" width="9.140625" style="229"/>
    <col min="4093" max="4093" width="49.140625" style="229" customWidth="1"/>
    <col min="4094" max="4094" width="20.7109375" style="229" customWidth="1"/>
    <col min="4095" max="4095" width="9.140625" style="229"/>
    <col min="4096" max="4096" width="11.85546875" style="229" customWidth="1"/>
    <col min="4097" max="4097" width="11.7109375" style="229" customWidth="1"/>
    <col min="4098" max="4098" width="12.42578125" style="229" customWidth="1"/>
    <col min="4099" max="4099" width="13.42578125" style="229" customWidth="1"/>
    <col min="4100" max="4348" width="9.140625" style="229"/>
    <col min="4349" max="4349" width="49.140625" style="229" customWidth="1"/>
    <col min="4350" max="4350" width="20.7109375" style="229" customWidth="1"/>
    <col min="4351" max="4351" width="9.140625" style="229"/>
    <col min="4352" max="4352" width="11.85546875" style="229" customWidth="1"/>
    <col min="4353" max="4353" width="11.7109375" style="229" customWidth="1"/>
    <col min="4354" max="4354" width="12.42578125" style="229" customWidth="1"/>
    <col min="4355" max="4355" width="13.42578125" style="229" customWidth="1"/>
    <col min="4356" max="4604" width="9.140625" style="229"/>
    <col min="4605" max="4605" width="49.140625" style="229" customWidth="1"/>
    <col min="4606" max="4606" width="20.7109375" style="229" customWidth="1"/>
    <col min="4607" max="4607" width="9.140625" style="229"/>
    <col min="4608" max="4608" width="11.85546875" style="229" customWidth="1"/>
    <col min="4609" max="4609" width="11.7109375" style="229" customWidth="1"/>
    <col min="4610" max="4610" width="12.42578125" style="229" customWidth="1"/>
    <col min="4611" max="4611" width="13.42578125" style="229" customWidth="1"/>
    <col min="4612" max="4860" width="9.140625" style="229"/>
    <col min="4861" max="4861" width="49.140625" style="229" customWidth="1"/>
    <col min="4862" max="4862" width="20.7109375" style="229" customWidth="1"/>
    <col min="4863" max="4863" width="9.140625" style="229"/>
    <col min="4864" max="4864" width="11.85546875" style="229" customWidth="1"/>
    <col min="4865" max="4865" width="11.7109375" style="229" customWidth="1"/>
    <col min="4866" max="4866" width="12.42578125" style="229" customWidth="1"/>
    <col min="4867" max="4867" width="13.42578125" style="229" customWidth="1"/>
    <col min="4868" max="5116" width="9.140625" style="229"/>
    <col min="5117" max="5117" width="49.140625" style="229" customWidth="1"/>
    <col min="5118" max="5118" width="20.7109375" style="229" customWidth="1"/>
    <col min="5119" max="5119" width="9.140625" style="229"/>
    <col min="5120" max="5120" width="11.85546875" style="229" customWidth="1"/>
    <col min="5121" max="5121" width="11.7109375" style="229" customWidth="1"/>
    <col min="5122" max="5122" width="12.42578125" style="229" customWidth="1"/>
    <col min="5123" max="5123" width="13.42578125" style="229" customWidth="1"/>
    <col min="5124" max="5372" width="9.140625" style="229"/>
    <col min="5373" max="5373" width="49.140625" style="229" customWidth="1"/>
    <col min="5374" max="5374" width="20.7109375" style="229" customWidth="1"/>
    <col min="5375" max="5375" width="9.140625" style="229"/>
    <col min="5376" max="5376" width="11.85546875" style="229" customWidth="1"/>
    <col min="5377" max="5377" width="11.7109375" style="229" customWidth="1"/>
    <col min="5378" max="5378" width="12.42578125" style="229" customWidth="1"/>
    <col min="5379" max="5379" width="13.42578125" style="229" customWidth="1"/>
    <col min="5380" max="5628" width="9.140625" style="229"/>
    <col min="5629" max="5629" width="49.140625" style="229" customWidth="1"/>
    <col min="5630" max="5630" width="20.7109375" style="229" customWidth="1"/>
    <col min="5631" max="5631" width="9.140625" style="229"/>
    <col min="5632" max="5632" width="11.85546875" style="229" customWidth="1"/>
    <col min="5633" max="5633" width="11.7109375" style="229" customWidth="1"/>
    <col min="5634" max="5634" width="12.42578125" style="229" customWidth="1"/>
    <col min="5635" max="5635" width="13.42578125" style="229" customWidth="1"/>
    <col min="5636" max="5884" width="9.140625" style="229"/>
    <col min="5885" max="5885" width="49.140625" style="229" customWidth="1"/>
    <col min="5886" max="5886" width="20.7109375" style="229" customWidth="1"/>
    <col min="5887" max="5887" width="9.140625" style="229"/>
    <col min="5888" max="5888" width="11.85546875" style="229" customWidth="1"/>
    <col min="5889" max="5889" width="11.7109375" style="229" customWidth="1"/>
    <col min="5890" max="5890" width="12.42578125" style="229" customWidth="1"/>
    <col min="5891" max="5891" width="13.42578125" style="229" customWidth="1"/>
    <col min="5892" max="6140" width="9.140625" style="229"/>
    <col min="6141" max="6141" width="49.140625" style="229" customWidth="1"/>
    <col min="6142" max="6142" width="20.7109375" style="229" customWidth="1"/>
    <col min="6143" max="6143" width="9.140625" style="229"/>
    <col min="6144" max="6144" width="11.85546875" style="229" customWidth="1"/>
    <col min="6145" max="6145" width="11.7109375" style="229" customWidth="1"/>
    <col min="6146" max="6146" width="12.42578125" style="229" customWidth="1"/>
    <col min="6147" max="6147" width="13.42578125" style="229" customWidth="1"/>
    <col min="6148" max="6396" width="9.140625" style="229"/>
    <col min="6397" max="6397" width="49.140625" style="229" customWidth="1"/>
    <col min="6398" max="6398" width="20.7109375" style="229" customWidth="1"/>
    <col min="6399" max="6399" width="9.140625" style="229"/>
    <col min="6400" max="6400" width="11.85546875" style="229" customWidth="1"/>
    <col min="6401" max="6401" width="11.7109375" style="229" customWidth="1"/>
    <col min="6402" max="6402" width="12.42578125" style="229" customWidth="1"/>
    <col min="6403" max="6403" width="13.42578125" style="229" customWidth="1"/>
    <col min="6404" max="6652" width="9.140625" style="229"/>
    <col min="6653" max="6653" width="49.140625" style="229" customWidth="1"/>
    <col min="6654" max="6654" width="20.7109375" style="229" customWidth="1"/>
    <col min="6655" max="6655" width="9.140625" style="229"/>
    <col min="6656" max="6656" width="11.85546875" style="229" customWidth="1"/>
    <col min="6657" max="6657" width="11.7109375" style="229" customWidth="1"/>
    <col min="6658" max="6658" width="12.42578125" style="229" customWidth="1"/>
    <col min="6659" max="6659" width="13.42578125" style="229" customWidth="1"/>
    <col min="6660" max="6908" width="9.140625" style="229"/>
    <col min="6909" max="6909" width="49.140625" style="229" customWidth="1"/>
    <col min="6910" max="6910" width="20.7109375" style="229" customWidth="1"/>
    <col min="6911" max="6911" width="9.140625" style="229"/>
    <col min="6912" max="6912" width="11.85546875" style="229" customWidth="1"/>
    <col min="6913" max="6913" width="11.7109375" style="229" customWidth="1"/>
    <col min="6914" max="6914" width="12.42578125" style="229" customWidth="1"/>
    <col min="6915" max="6915" width="13.42578125" style="229" customWidth="1"/>
    <col min="6916" max="7164" width="9.140625" style="229"/>
    <col min="7165" max="7165" width="49.140625" style="229" customWidth="1"/>
    <col min="7166" max="7166" width="20.7109375" style="229" customWidth="1"/>
    <col min="7167" max="7167" width="9.140625" style="229"/>
    <col min="7168" max="7168" width="11.85546875" style="229" customWidth="1"/>
    <col min="7169" max="7169" width="11.7109375" style="229" customWidth="1"/>
    <col min="7170" max="7170" width="12.42578125" style="229" customWidth="1"/>
    <col min="7171" max="7171" width="13.42578125" style="229" customWidth="1"/>
    <col min="7172" max="7420" width="9.140625" style="229"/>
    <col min="7421" max="7421" width="49.140625" style="229" customWidth="1"/>
    <col min="7422" max="7422" width="20.7109375" style="229" customWidth="1"/>
    <col min="7423" max="7423" width="9.140625" style="229"/>
    <col min="7424" max="7424" width="11.85546875" style="229" customWidth="1"/>
    <col min="7425" max="7425" width="11.7109375" style="229" customWidth="1"/>
    <col min="7426" max="7426" width="12.42578125" style="229" customWidth="1"/>
    <col min="7427" max="7427" width="13.42578125" style="229" customWidth="1"/>
    <col min="7428" max="7676" width="9.140625" style="229"/>
    <col min="7677" max="7677" width="49.140625" style="229" customWidth="1"/>
    <col min="7678" max="7678" width="20.7109375" style="229" customWidth="1"/>
    <col min="7679" max="7679" width="9.140625" style="229"/>
    <col min="7680" max="7680" width="11.85546875" style="229" customWidth="1"/>
    <col min="7681" max="7681" width="11.7109375" style="229" customWidth="1"/>
    <col min="7682" max="7682" width="12.42578125" style="229" customWidth="1"/>
    <col min="7683" max="7683" width="13.42578125" style="229" customWidth="1"/>
    <col min="7684" max="7932" width="9.140625" style="229"/>
    <col min="7933" max="7933" width="49.140625" style="229" customWidth="1"/>
    <col min="7934" max="7934" width="20.7109375" style="229" customWidth="1"/>
    <col min="7935" max="7935" width="9.140625" style="229"/>
    <col min="7936" max="7936" width="11.85546875" style="229" customWidth="1"/>
    <col min="7937" max="7937" width="11.7109375" style="229" customWidth="1"/>
    <col min="7938" max="7938" width="12.42578125" style="229" customWidth="1"/>
    <col min="7939" max="7939" width="13.42578125" style="229" customWidth="1"/>
    <col min="7940" max="8188" width="9.140625" style="229"/>
    <col min="8189" max="8189" width="49.140625" style="229" customWidth="1"/>
    <col min="8190" max="8190" width="20.7109375" style="229" customWidth="1"/>
    <col min="8191" max="8191" width="9.140625" style="229"/>
    <col min="8192" max="8192" width="11.85546875" style="229" customWidth="1"/>
    <col min="8193" max="8193" width="11.7109375" style="229" customWidth="1"/>
    <col min="8194" max="8194" width="12.42578125" style="229" customWidth="1"/>
    <col min="8195" max="8195" width="13.42578125" style="229" customWidth="1"/>
    <col min="8196" max="8444" width="9.140625" style="229"/>
    <col min="8445" max="8445" width="49.140625" style="229" customWidth="1"/>
    <col min="8446" max="8446" width="20.7109375" style="229" customWidth="1"/>
    <col min="8447" max="8447" width="9.140625" style="229"/>
    <col min="8448" max="8448" width="11.85546875" style="229" customWidth="1"/>
    <col min="8449" max="8449" width="11.7109375" style="229" customWidth="1"/>
    <col min="8450" max="8450" width="12.42578125" style="229" customWidth="1"/>
    <col min="8451" max="8451" width="13.42578125" style="229" customWidth="1"/>
    <col min="8452" max="8700" width="9.140625" style="229"/>
    <col min="8701" max="8701" width="49.140625" style="229" customWidth="1"/>
    <col min="8702" max="8702" width="20.7109375" style="229" customWidth="1"/>
    <col min="8703" max="8703" width="9.140625" style="229"/>
    <col min="8704" max="8704" width="11.85546875" style="229" customWidth="1"/>
    <col min="8705" max="8705" width="11.7109375" style="229" customWidth="1"/>
    <col min="8706" max="8706" width="12.42578125" style="229" customWidth="1"/>
    <col min="8707" max="8707" width="13.42578125" style="229" customWidth="1"/>
    <col min="8708" max="8956" width="9.140625" style="229"/>
    <col min="8957" max="8957" width="49.140625" style="229" customWidth="1"/>
    <col min="8958" max="8958" width="20.7109375" style="229" customWidth="1"/>
    <col min="8959" max="8959" width="9.140625" style="229"/>
    <col min="8960" max="8960" width="11.85546875" style="229" customWidth="1"/>
    <col min="8961" max="8961" width="11.7109375" style="229" customWidth="1"/>
    <col min="8962" max="8962" width="12.42578125" style="229" customWidth="1"/>
    <col min="8963" max="8963" width="13.42578125" style="229" customWidth="1"/>
    <col min="8964" max="9212" width="9.140625" style="229"/>
    <col min="9213" max="9213" width="49.140625" style="229" customWidth="1"/>
    <col min="9214" max="9214" width="20.7109375" style="229" customWidth="1"/>
    <col min="9215" max="9215" width="9.140625" style="229"/>
    <col min="9216" max="9216" width="11.85546875" style="229" customWidth="1"/>
    <col min="9217" max="9217" width="11.7109375" style="229" customWidth="1"/>
    <col min="9218" max="9218" width="12.42578125" style="229" customWidth="1"/>
    <col min="9219" max="9219" width="13.42578125" style="229" customWidth="1"/>
    <col min="9220" max="9468" width="9.140625" style="229"/>
    <col min="9469" max="9469" width="49.140625" style="229" customWidth="1"/>
    <col min="9470" max="9470" width="20.7109375" style="229" customWidth="1"/>
    <col min="9471" max="9471" width="9.140625" style="229"/>
    <col min="9472" max="9472" width="11.85546875" style="229" customWidth="1"/>
    <col min="9473" max="9473" width="11.7109375" style="229" customWidth="1"/>
    <col min="9474" max="9474" width="12.42578125" style="229" customWidth="1"/>
    <col min="9475" max="9475" width="13.42578125" style="229" customWidth="1"/>
    <col min="9476" max="9724" width="9.140625" style="229"/>
    <col min="9725" max="9725" width="49.140625" style="229" customWidth="1"/>
    <col min="9726" max="9726" width="20.7109375" style="229" customWidth="1"/>
    <col min="9727" max="9727" width="9.140625" style="229"/>
    <col min="9728" max="9728" width="11.85546875" style="229" customWidth="1"/>
    <col min="9729" max="9729" width="11.7109375" style="229" customWidth="1"/>
    <col min="9730" max="9730" width="12.42578125" style="229" customWidth="1"/>
    <col min="9731" max="9731" width="13.42578125" style="229" customWidth="1"/>
    <col min="9732" max="9980" width="9.140625" style="229"/>
    <col min="9981" max="9981" width="49.140625" style="229" customWidth="1"/>
    <col min="9982" max="9982" width="20.7109375" style="229" customWidth="1"/>
    <col min="9983" max="9983" width="9.140625" style="229"/>
    <col min="9984" max="9984" width="11.85546875" style="229" customWidth="1"/>
    <col min="9985" max="9985" width="11.7109375" style="229" customWidth="1"/>
    <col min="9986" max="9986" width="12.42578125" style="229" customWidth="1"/>
    <col min="9987" max="9987" width="13.42578125" style="229" customWidth="1"/>
    <col min="9988" max="10236" width="9.140625" style="229"/>
    <col min="10237" max="10237" width="49.140625" style="229" customWidth="1"/>
    <col min="10238" max="10238" width="20.7109375" style="229" customWidth="1"/>
    <col min="10239" max="10239" width="9.140625" style="229"/>
    <col min="10240" max="10240" width="11.85546875" style="229" customWidth="1"/>
    <col min="10241" max="10241" width="11.7109375" style="229" customWidth="1"/>
    <col min="10242" max="10242" width="12.42578125" style="229" customWidth="1"/>
    <col min="10243" max="10243" width="13.42578125" style="229" customWidth="1"/>
    <col min="10244" max="10492" width="9.140625" style="229"/>
    <col min="10493" max="10493" width="49.140625" style="229" customWidth="1"/>
    <col min="10494" max="10494" width="20.7109375" style="229" customWidth="1"/>
    <col min="10495" max="10495" width="9.140625" style="229"/>
    <col min="10496" max="10496" width="11.85546875" style="229" customWidth="1"/>
    <col min="10497" max="10497" width="11.7109375" style="229" customWidth="1"/>
    <col min="10498" max="10498" width="12.42578125" style="229" customWidth="1"/>
    <col min="10499" max="10499" width="13.42578125" style="229" customWidth="1"/>
    <col min="10500" max="10748" width="9.140625" style="229"/>
    <col min="10749" max="10749" width="49.140625" style="229" customWidth="1"/>
    <col min="10750" max="10750" width="20.7109375" style="229" customWidth="1"/>
    <col min="10751" max="10751" width="9.140625" style="229"/>
    <col min="10752" max="10752" width="11.85546875" style="229" customWidth="1"/>
    <col min="10753" max="10753" width="11.7109375" style="229" customWidth="1"/>
    <col min="10754" max="10754" width="12.42578125" style="229" customWidth="1"/>
    <col min="10755" max="10755" width="13.42578125" style="229" customWidth="1"/>
    <col min="10756" max="11004" width="9.140625" style="229"/>
    <col min="11005" max="11005" width="49.140625" style="229" customWidth="1"/>
    <col min="11006" max="11006" width="20.7109375" style="229" customWidth="1"/>
    <col min="11007" max="11007" width="9.140625" style="229"/>
    <col min="11008" max="11008" width="11.85546875" style="229" customWidth="1"/>
    <col min="11009" max="11009" width="11.7109375" style="229" customWidth="1"/>
    <col min="11010" max="11010" width="12.42578125" style="229" customWidth="1"/>
    <col min="11011" max="11011" width="13.42578125" style="229" customWidth="1"/>
    <col min="11012" max="11260" width="9.140625" style="229"/>
    <col min="11261" max="11261" width="49.140625" style="229" customWidth="1"/>
    <col min="11262" max="11262" width="20.7109375" style="229" customWidth="1"/>
    <col min="11263" max="11263" width="9.140625" style="229"/>
    <col min="11264" max="11264" width="11.85546875" style="229" customWidth="1"/>
    <col min="11265" max="11265" width="11.7109375" style="229" customWidth="1"/>
    <col min="11266" max="11266" width="12.42578125" style="229" customWidth="1"/>
    <col min="11267" max="11267" width="13.42578125" style="229" customWidth="1"/>
    <col min="11268" max="11516" width="9.140625" style="229"/>
    <col min="11517" max="11517" width="49.140625" style="229" customWidth="1"/>
    <col min="11518" max="11518" width="20.7109375" style="229" customWidth="1"/>
    <col min="11519" max="11519" width="9.140625" style="229"/>
    <col min="11520" max="11520" width="11.85546875" style="229" customWidth="1"/>
    <col min="11521" max="11521" width="11.7109375" style="229" customWidth="1"/>
    <col min="11522" max="11522" width="12.42578125" style="229" customWidth="1"/>
    <col min="11523" max="11523" width="13.42578125" style="229" customWidth="1"/>
    <col min="11524" max="11772" width="9.140625" style="229"/>
    <col min="11773" max="11773" width="49.140625" style="229" customWidth="1"/>
    <col min="11774" max="11774" width="20.7109375" style="229" customWidth="1"/>
    <col min="11775" max="11775" width="9.140625" style="229"/>
    <col min="11776" max="11776" width="11.85546875" style="229" customWidth="1"/>
    <col min="11777" max="11777" width="11.7109375" style="229" customWidth="1"/>
    <col min="11778" max="11778" width="12.42578125" style="229" customWidth="1"/>
    <col min="11779" max="11779" width="13.42578125" style="229" customWidth="1"/>
    <col min="11780" max="12028" width="9.140625" style="229"/>
    <col min="12029" max="12029" width="49.140625" style="229" customWidth="1"/>
    <col min="12030" max="12030" width="20.7109375" style="229" customWidth="1"/>
    <col min="12031" max="12031" width="9.140625" style="229"/>
    <col min="12032" max="12032" width="11.85546875" style="229" customWidth="1"/>
    <col min="12033" max="12033" width="11.7109375" style="229" customWidth="1"/>
    <col min="12034" max="12034" width="12.42578125" style="229" customWidth="1"/>
    <col min="12035" max="12035" width="13.42578125" style="229" customWidth="1"/>
    <col min="12036" max="12284" width="9.140625" style="229"/>
    <col min="12285" max="12285" width="49.140625" style="229" customWidth="1"/>
    <col min="12286" max="12286" width="20.7109375" style="229" customWidth="1"/>
    <col min="12287" max="12287" width="9.140625" style="229"/>
    <col min="12288" max="12288" width="11.85546875" style="229" customWidth="1"/>
    <col min="12289" max="12289" width="11.7109375" style="229" customWidth="1"/>
    <col min="12290" max="12290" width="12.42578125" style="229" customWidth="1"/>
    <col min="12291" max="12291" width="13.42578125" style="229" customWidth="1"/>
    <col min="12292" max="12540" width="9.140625" style="229"/>
    <col min="12541" max="12541" width="49.140625" style="229" customWidth="1"/>
    <col min="12542" max="12542" width="20.7109375" style="229" customWidth="1"/>
    <col min="12543" max="12543" width="9.140625" style="229"/>
    <col min="12544" max="12544" width="11.85546875" style="229" customWidth="1"/>
    <col min="12545" max="12545" width="11.7109375" style="229" customWidth="1"/>
    <col min="12546" max="12546" width="12.42578125" style="229" customWidth="1"/>
    <col min="12547" max="12547" width="13.42578125" style="229" customWidth="1"/>
    <col min="12548" max="12796" width="9.140625" style="229"/>
    <col min="12797" max="12797" width="49.140625" style="229" customWidth="1"/>
    <col min="12798" max="12798" width="20.7109375" style="229" customWidth="1"/>
    <col min="12799" max="12799" width="9.140625" style="229"/>
    <col min="12800" max="12800" width="11.85546875" style="229" customWidth="1"/>
    <col min="12801" max="12801" width="11.7109375" style="229" customWidth="1"/>
    <col min="12802" max="12802" width="12.42578125" style="229" customWidth="1"/>
    <col min="12803" max="12803" width="13.42578125" style="229" customWidth="1"/>
    <col min="12804" max="13052" width="9.140625" style="229"/>
    <col min="13053" max="13053" width="49.140625" style="229" customWidth="1"/>
    <col min="13054" max="13054" width="20.7109375" style="229" customWidth="1"/>
    <col min="13055" max="13055" width="9.140625" style="229"/>
    <col min="13056" max="13056" width="11.85546875" style="229" customWidth="1"/>
    <col min="13057" max="13057" width="11.7109375" style="229" customWidth="1"/>
    <col min="13058" max="13058" width="12.42578125" style="229" customWidth="1"/>
    <col min="13059" max="13059" width="13.42578125" style="229" customWidth="1"/>
    <col min="13060" max="13308" width="9.140625" style="229"/>
    <col min="13309" max="13309" width="49.140625" style="229" customWidth="1"/>
    <col min="13310" max="13310" width="20.7109375" style="229" customWidth="1"/>
    <col min="13311" max="13311" width="9.140625" style="229"/>
    <col min="13312" max="13312" width="11.85546875" style="229" customWidth="1"/>
    <col min="13313" max="13313" width="11.7109375" style="229" customWidth="1"/>
    <col min="13314" max="13314" width="12.42578125" style="229" customWidth="1"/>
    <col min="13315" max="13315" width="13.42578125" style="229" customWidth="1"/>
    <col min="13316" max="13564" width="9.140625" style="229"/>
    <col min="13565" max="13565" width="49.140625" style="229" customWidth="1"/>
    <col min="13566" max="13566" width="20.7109375" style="229" customWidth="1"/>
    <col min="13567" max="13567" width="9.140625" style="229"/>
    <col min="13568" max="13568" width="11.85546875" style="229" customWidth="1"/>
    <col min="13569" max="13569" width="11.7109375" style="229" customWidth="1"/>
    <col min="13570" max="13570" width="12.42578125" style="229" customWidth="1"/>
    <col min="13571" max="13571" width="13.42578125" style="229" customWidth="1"/>
    <col min="13572" max="13820" width="9.140625" style="229"/>
    <col min="13821" max="13821" width="49.140625" style="229" customWidth="1"/>
    <col min="13822" max="13822" width="20.7109375" style="229" customWidth="1"/>
    <col min="13823" max="13823" width="9.140625" style="229"/>
    <col min="13824" max="13824" width="11.85546875" style="229" customWidth="1"/>
    <col min="13825" max="13825" width="11.7109375" style="229" customWidth="1"/>
    <col min="13826" max="13826" width="12.42578125" style="229" customWidth="1"/>
    <col min="13827" max="13827" width="13.42578125" style="229" customWidth="1"/>
    <col min="13828" max="14076" width="9.140625" style="229"/>
    <col min="14077" max="14077" width="49.140625" style="229" customWidth="1"/>
    <col min="14078" max="14078" width="20.7109375" style="229" customWidth="1"/>
    <col min="14079" max="14079" width="9.140625" style="229"/>
    <col min="14080" max="14080" width="11.85546875" style="229" customWidth="1"/>
    <col min="14081" max="14081" width="11.7109375" style="229" customWidth="1"/>
    <col min="14082" max="14082" width="12.42578125" style="229" customWidth="1"/>
    <col min="14083" max="14083" width="13.42578125" style="229" customWidth="1"/>
    <col min="14084" max="14332" width="9.140625" style="229"/>
    <col min="14333" max="14333" width="49.140625" style="229" customWidth="1"/>
    <col min="14334" max="14334" width="20.7109375" style="229" customWidth="1"/>
    <col min="14335" max="14335" width="9.140625" style="229"/>
    <col min="14336" max="14336" width="11.85546875" style="229" customWidth="1"/>
    <col min="14337" max="14337" width="11.7109375" style="229" customWidth="1"/>
    <col min="14338" max="14338" width="12.42578125" style="229" customWidth="1"/>
    <col min="14339" max="14339" width="13.42578125" style="229" customWidth="1"/>
    <col min="14340" max="14588" width="9.140625" style="229"/>
    <col min="14589" max="14589" width="49.140625" style="229" customWidth="1"/>
    <col min="14590" max="14590" width="20.7109375" style="229" customWidth="1"/>
    <col min="14591" max="14591" width="9.140625" style="229"/>
    <col min="14592" max="14592" width="11.85546875" style="229" customWidth="1"/>
    <col min="14593" max="14593" width="11.7109375" style="229" customWidth="1"/>
    <col min="14594" max="14594" width="12.42578125" style="229" customWidth="1"/>
    <col min="14595" max="14595" width="13.42578125" style="229" customWidth="1"/>
    <col min="14596" max="14844" width="9.140625" style="229"/>
    <col min="14845" max="14845" width="49.140625" style="229" customWidth="1"/>
    <col min="14846" max="14846" width="20.7109375" style="229" customWidth="1"/>
    <col min="14847" max="14847" width="9.140625" style="229"/>
    <col min="14848" max="14848" width="11.85546875" style="229" customWidth="1"/>
    <col min="14849" max="14849" width="11.7109375" style="229" customWidth="1"/>
    <col min="14850" max="14850" width="12.42578125" style="229" customWidth="1"/>
    <col min="14851" max="14851" width="13.42578125" style="229" customWidth="1"/>
    <col min="14852" max="15100" width="9.140625" style="229"/>
    <col min="15101" max="15101" width="49.140625" style="229" customWidth="1"/>
    <col min="15102" max="15102" width="20.7109375" style="229" customWidth="1"/>
    <col min="15103" max="15103" width="9.140625" style="229"/>
    <col min="15104" max="15104" width="11.85546875" style="229" customWidth="1"/>
    <col min="15105" max="15105" width="11.7109375" style="229" customWidth="1"/>
    <col min="15106" max="15106" width="12.42578125" style="229" customWidth="1"/>
    <col min="15107" max="15107" width="13.42578125" style="229" customWidth="1"/>
    <col min="15108" max="15356" width="9.140625" style="229"/>
    <col min="15357" max="15357" width="49.140625" style="229" customWidth="1"/>
    <col min="15358" max="15358" width="20.7109375" style="229" customWidth="1"/>
    <col min="15359" max="15359" width="9.140625" style="229"/>
    <col min="15360" max="15360" width="11.85546875" style="229" customWidth="1"/>
    <col min="15361" max="15361" width="11.7109375" style="229" customWidth="1"/>
    <col min="15362" max="15362" width="12.42578125" style="229" customWidth="1"/>
    <col min="15363" max="15363" width="13.42578125" style="229" customWidth="1"/>
    <col min="15364" max="15612" width="9.140625" style="229"/>
    <col min="15613" max="15613" width="49.140625" style="229" customWidth="1"/>
    <col min="15614" max="15614" width="20.7109375" style="229" customWidth="1"/>
    <col min="15615" max="15615" width="9.140625" style="229"/>
    <col min="15616" max="15616" width="11.85546875" style="229" customWidth="1"/>
    <col min="15617" max="15617" width="11.7109375" style="229" customWidth="1"/>
    <col min="15618" max="15618" width="12.42578125" style="229" customWidth="1"/>
    <col min="15619" max="15619" width="13.42578125" style="229" customWidth="1"/>
    <col min="15620" max="15868" width="9.140625" style="229"/>
    <col min="15869" max="15869" width="49.140625" style="229" customWidth="1"/>
    <col min="15870" max="15870" width="20.7109375" style="229" customWidth="1"/>
    <col min="15871" max="15871" width="9.140625" style="229"/>
    <col min="15872" max="15872" width="11.85546875" style="229" customWidth="1"/>
    <col min="15873" max="15873" width="11.7109375" style="229" customWidth="1"/>
    <col min="15874" max="15874" width="12.42578125" style="229" customWidth="1"/>
    <col min="15875" max="15875" width="13.42578125" style="229" customWidth="1"/>
    <col min="15876" max="16124" width="9.140625" style="229"/>
    <col min="16125" max="16125" width="49.140625" style="229" customWidth="1"/>
    <col min="16126" max="16126" width="20.7109375" style="229" customWidth="1"/>
    <col min="16127" max="16127" width="9.140625" style="229"/>
    <col min="16128" max="16128" width="11.85546875" style="229" customWidth="1"/>
    <col min="16129" max="16129" width="11.7109375" style="229" customWidth="1"/>
    <col min="16130" max="16130" width="12.42578125" style="229" customWidth="1"/>
    <col min="16131" max="16131" width="13.42578125" style="229" customWidth="1"/>
    <col min="16132" max="16384" width="9.140625" style="229"/>
  </cols>
  <sheetData>
    <row r="1" spans="1:8" ht="20.100000000000001" customHeight="1">
      <c r="A1" s="879" t="s">
        <v>288</v>
      </c>
      <c r="B1" s="880"/>
      <c r="C1" s="228"/>
      <c r="D1" s="228"/>
      <c r="E1" s="228"/>
      <c r="F1" s="228"/>
      <c r="G1" s="228"/>
      <c r="H1" s="228"/>
    </row>
    <row r="2" spans="1:8" ht="20.100000000000001" customHeight="1">
      <c r="A2" s="881" t="s">
        <v>307</v>
      </c>
      <c r="B2" s="882"/>
    </row>
    <row r="3" spans="1:8" ht="20.100000000000001" customHeight="1">
      <c r="A3" s="104" t="s">
        <v>108</v>
      </c>
      <c r="B3" s="105">
        <f>'Cashflow '!I10</f>
        <v>379.37163200000003</v>
      </c>
      <c r="C3" s="230"/>
    </row>
    <row r="4" spans="1:8" ht="20.100000000000001" customHeight="1">
      <c r="A4" s="104" t="s">
        <v>109</v>
      </c>
      <c r="B4" s="108">
        <f>'Cashflow '!I15</f>
        <v>217.53785988288405</v>
      </c>
      <c r="C4" s="232"/>
    </row>
    <row r="5" spans="1:8" ht="20.100000000000001" customHeight="1">
      <c r="A5" s="104" t="s">
        <v>304</v>
      </c>
      <c r="B5" s="105">
        <f>+B3-B4</f>
        <v>161.83377211711598</v>
      </c>
      <c r="C5" s="233"/>
      <c r="D5" s="231"/>
    </row>
    <row r="6" spans="1:8" ht="20.100000000000001" customHeight="1">
      <c r="A6" s="104" t="s">
        <v>112</v>
      </c>
      <c r="B6" s="106"/>
      <c r="C6" s="232"/>
      <c r="D6" s="231"/>
    </row>
    <row r="7" spans="1:8" ht="20.100000000000001" customHeight="1">
      <c r="A7" s="107" t="s">
        <v>6</v>
      </c>
      <c r="B7" s="108">
        <f>'Cashflow '!I16</f>
        <v>27.124123698144061</v>
      </c>
      <c r="C7" s="231"/>
      <c r="D7" s="231"/>
    </row>
    <row r="8" spans="1:8" ht="20.100000000000001" customHeight="1">
      <c r="A8" s="107" t="s">
        <v>185</v>
      </c>
      <c r="B8" s="108">
        <f>Norms!E91</f>
        <v>29.638874999999992</v>
      </c>
      <c r="C8" s="231"/>
      <c r="D8" s="231"/>
    </row>
    <row r="9" spans="1:8" ht="20.100000000000001" customHeight="1">
      <c r="A9" s="107" t="s">
        <v>13</v>
      </c>
      <c r="B9" s="108">
        <f>Opex!H11</f>
        <v>37.475713215972277</v>
      </c>
      <c r="C9" s="231"/>
      <c r="D9" s="234"/>
    </row>
    <row r="10" spans="1:8" ht="20.100000000000001" customHeight="1">
      <c r="A10" s="107" t="s">
        <v>70</v>
      </c>
      <c r="B10" s="105">
        <f>SUM(B7:B9)</f>
        <v>94.238711914116323</v>
      </c>
      <c r="C10" s="231"/>
      <c r="D10" s="234"/>
    </row>
    <row r="11" spans="1:8" ht="20.100000000000001" customHeight="1">
      <c r="A11" s="110" t="s">
        <v>113</v>
      </c>
      <c r="B11" s="111">
        <f>B10/B5</f>
        <v>0.58231795923237573</v>
      </c>
      <c r="C11" s="235"/>
      <c r="D11" s="234"/>
      <c r="E11" s="228"/>
    </row>
    <row r="12" spans="1:8" ht="20.100000000000001" hidden="1" customHeight="1">
      <c r="A12" s="884" t="s">
        <v>305</v>
      </c>
      <c r="B12" s="885"/>
      <c r="C12" s="885"/>
      <c r="D12" s="885"/>
      <c r="E12" s="885"/>
      <c r="F12" s="885"/>
    </row>
    <row r="13" spans="1:8" ht="20.100000000000001" hidden="1" customHeight="1">
      <c r="A13" s="886" t="s">
        <v>307</v>
      </c>
      <c r="B13" s="887"/>
      <c r="C13" s="887"/>
      <c r="D13" s="887"/>
      <c r="E13" s="887"/>
      <c r="F13" s="888"/>
    </row>
    <row r="14" spans="1:8" ht="20.100000000000001" hidden="1" customHeight="1">
      <c r="A14" s="104"/>
      <c r="B14" s="351"/>
      <c r="C14" s="116">
        <v>1</v>
      </c>
      <c r="D14" s="116">
        <v>2</v>
      </c>
      <c r="E14" s="116">
        <v>3</v>
      </c>
      <c r="F14" s="117">
        <v>4</v>
      </c>
    </row>
    <row r="15" spans="1:8" ht="17.25" hidden="1" customHeight="1">
      <c r="A15" s="104" t="s">
        <v>108</v>
      </c>
      <c r="B15" s="24">
        <f>B3</f>
        <v>379.37163200000003</v>
      </c>
      <c r="C15" s="24">
        <f>B15-B15*0.11</f>
        <v>337.64075248000006</v>
      </c>
      <c r="D15" s="24">
        <f>B15</f>
        <v>379.37163200000003</v>
      </c>
      <c r="E15" s="24">
        <f>B15-B15*0.05</f>
        <v>360.40305040000004</v>
      </c>
      <c r="F15" s="105">
        <f>B15</f>
        <v>379.37163200000003</v>
      </c>
    </row>
    <row r="16" spans="1:8" ht="17.25" hidden="1" customHeight="1">
      <c r="A16" s="104" t="s">
        <v>109</v>
      </c>
      <c r="B16" s="25"/>
      <c r="C16" s="26"/>
      <c r="D16" s="26"/>
      <c r="E16" s="26"/>
      <c r="F16" s="108"/>
    </row>
    <row r="17" spans="1:6" ht="17.25" hidden="1" customHeight="1">
      <c r="A17" s="107" t="s">
        <v>182</v>
      </c>
      <c r="B17" s="26" t="e">
        <f>#REF!</f>
        <v>#REF!</v>
      </c>
      <c r="C17" s="26" t="e">
        <f>B17</f>
        <v>#REF!</v>
      </c>
      <c r="D17" s="26" t="e">
        <f>C17+C17*16.5%</f>
        <v>#REF!</v>
      </c>
      <c r="E17" s="26" t="e">
        <f>B17+B17*0.09</f>
        <v>#REF!</v>
      </c>
      <c r="F17" s="108" t="e">
        <f>B17</f>
        <v>#REF!</v>
      </c>
    </row>
    <row r="18" spans="1:6" ht="17.25" hidden="1" customHeight="1">
      <c r="A18" s="107" t="s">
        <v>5</v>
      </c>
      <c r="B18" s="26" t="e">
        <f>#REF!</f>
        <v>#REF!</v>
      </c>
      <c r="C18" s="26" t="e">
        <f>B18</f>
        <v>#REF!</v>
      </c>
      <c r="D18" s="26" t="e">
        <f t="shared" ref="D18:F20" si="0">C18</f>
        <v>#REF!</v>
      </c>
      <c r="E18" s="26" t="e">
        <f t="shared" si="0"/>
        <v>#REF!</v>
      </c>
      <c r="F18" s="108" t="e">
        <f t="shared" si="0"/>
        <v>#REF!</v>
      </c>
    </row>
    <row r="19" spans="1:6" ht="17.25" hidden="1" customHeight="1">
      <c r="A19" s="107" t="s">
        <v>4</v>
      </c>
      <c r="B19" s="26" t="e">
        <f>#REF!</f>
        <v>#REF!</v>
      </c>
      <c r="C19" s="26" t="e">
        <f>B19</f>
        <v>#REF!</v>
      </c>
      <c r="D19" s="26" t="e">
        <f t="shared" si="0"/>
        <v>#REF!</v>
      </c>
      <c r="E19" s="26" t="e">
        <f t="shared" si="0"/>
        <v>#REF!</v>
      </c>
      <c r="F19" s="108" t="e">
        <f t="shared" si="0"/>
        <v>#REF!</v>
      </c>
    </row>
    <row r="20" spans="1:6" ht="17.25" hidden="1" customHeight="1">
      <c r="A20" s="107" t="s">
        <v>7</v>
      </c>
      <c r="B20" s="26" t="e">
        <f>#REF!</f>
        <v>#REF!</v>
      </c>
      <c r="C20" s="26" t="e">
        <f>B20</f>
        <v>#REF!</v>
      </c>
      <c r="D20" s="26" t="e">
        <f t="shared" si="0"/>
        <v>#REF!</v>
      </c>
      <c r="E20" s="26" t="e">
        <f t="shared" si="0"/>
        <v>#REF!</v>
      </c>
      <c r="F20" s="108" t="e">
        <f t="shared" si="0"/>
        <v>#REF!</v>
      </c>
    </row>
    <row r="21" spans="1:6" ht="17.25" hidden="1" customHeight="1">
      <c r="A21" s="109" t="s">
        <v>110</v>
      </c>
      <c r="B21" s="24" t="e">
        <f>SUM(B17:B20)</f>
        <v>#REF!</v>
      </c>
      <c r="C21" s="24" t="e">
        <f>SUM(C17:C20)</f>
        <v>#REF!</v>
      </c>
      <c r="D21" s="24" t="e">
        <f>SUM(D17:D20)</f>
        <v>#REF!</v>
      </c>
      <c r="E21" s="24" t="e">
        <f>SUM(E17:E20)</f>
        <v>#REF!</v>
      </c>
      <c r="F21" s="105" t="e">
        <f>SUM(F17:F20)+SUM(F17:F20)*14.5%</f>
        <v>#REF!</v>
      </c>
    </row>
    <row r="22" spans="1:6" ht="17.25" hidden="1" customHeight="1">
      <c r="A22" s="104" t="s">
        <v>111</v>
      </c>
      <c r="B22" s="24" t="e">
        <f>+B15-B21</f>
        <v>#REF!</v>
      </c>
      <c r="C22" s="24" t="e">
        <f>+C15-C21</f>
        <v>#REF!</v>
      </c>
      <c r="D22" s="24" t="e">
        <f>+D15-D21</f>
        <v>#REF!</v>
      </c>
      <c r="E22" s="24" t="e">
        <f>+E15-E21</f>
        <v>#REF!</v>
      </c>
      <c r="F22" s="105" t="e">
        <f>+F15-F21</f>
        <v>#REF!</v>
      </c>
    </row>
    <row r="23" spans="1:6" ht="17.25" hidden="1" customHeight="1">
      <c r="A23" s="104" t="s">
        <v>112</v>
      </c>
      <c r="B23" s="25"/>
      <c r="C23" s="112"/>
      <c r="D23" s="112"/>
      <c r="E23" s="113"/>
      <c r="F23" s="114"/>
    </row>
    <row r="24" spans="1:6" ht="17.25" hidden="1" customHeight="1">
      <c r="A24" s="107" t="s">
        <v>6</v>
      </c>
      <c r="B24" s="26">
        <f>B7</f>
        <v>27.124123698144061</v>
      </c>
      <c r="C24" s="26">
        <f>B24</f>
        <v>27.124123698144061</v>
      </c>
      <c r="D24" s="26">
        <f t="shared" ref="D24:F25" si="1">C24</f>
        <v>27.124123698144061</v>
      </c>
      <c r="E24" s="26">
        <f t="shared" si="1"/>
        <v>27.124123698144061</v>
      </c>
      <c r="F24" s="108">
        <f t="shared" si="1"/>
        <v>27.124123698144061</v>
      </c>
    </row>
    <row r="25" spans="1:6" ht="17.25" hidden="1" customHeight="1">
      <c r="A25" s="107" t="s">
        <v>13</v>
      </c>
      <c r="B25" s="26">
        <f>B8</f>
        <v>29.638874999999992</v>
      </c>
      <c r="C25" s="26">
        <f>B25</f>
        <v>29.638874999999992</v>
      </c>
      <c r="D25" s="26">
        <f t="shared" si="1"/>
        <v>29.638874999999992</v>
      </c>
      <c r="E25" s="26">
        <f t="shared" si="1"/>
        <v>29.638874999999992</v>
      </c>
      <c r="F25" s="108">
        <f t="shared" si="1"/>
        <v>29.638874999999992</v>
      </c>
    </row>
    <row r="26" spans="1:6" ht="17.25" hidden="1" customHeight="1">
      <c r="A26" s="107" t="s">
        <v>185</v>
      </c>
      <c r="B26" s="26">
        <f>B9</f>
        <v>37.475713215972277</v>
      </c>
      <c r="C26" s="26">
        <f>B26</f>
        <v>37.475713215972277</v>
      </c>
      <c r="D26" s="26">
        <f>C26</f>
        <v>37.475713215972277</v>
      </c>
      <c r="E26" s="26">
        <f>C26</f>
        <v>37.475713215972277</v>
      </c>
      <c r="F26" s="108">
        <f>D26</f>
        <v>37.475713215972277</v>
      </c>
    </row>
    <row r="27" spans="1:6" ht="17.25" hidden="1" customHeight="1">
      <c r="A27" s="107" t="s">
        <v>70</v>
      </c>
      <c r="B27" s="24">
        <f>SUM(B24:B26)</f>
        <v>94.238711914116323</v>
      </c>
      <c r="C27" s="24">
        <f>SUM(C24:C26)</f>
        <v>94.238711914116323</v>
      </c>
      <c r="D27" s="24">
        <f>SUM(D24:D26)</f>
        <v>94.238711914116323</v>
      </c>
      <c r="E27" s="24">
        <f>SUM(E24:E26)</f>
        <v>94.238711914116323</v>
      </c>
      <c r="F27" s="105">
        <f>SUM(F24:F26)</f>
        <v>94.238711914116323</v>
      </c>
    </row>
    <row r="28" spans="1:6" ht="17.25" hidden="1" customHeight="1">
      <c r="A28" s="110" t="s">
        <v>113</v>
      </c>
      <c r="B28" s="115" t="e">
        <f>B27/B22</f>
        <v>#REF!</v>
      </c>
      <c r="C28" s="115" t="e">
        <f>C27/C22</f>
        <v>#REF!</v>
      </c>
      <c r="D28" s="115" t="e">
        <f>D27/D22</f>
        <v>#REF!</v>
      </c>
      <c r="E28" s="115" t="e">
        <f>E27/E22</f>
        <v>#REF!</v>
      </c>
      <c r="F28" s="111" t="e">
        <f>F27/F22</f>
        <v>#REF!</v>
      </c>
    </row>
    <row r="29" spans="1:6" hidden="1">
      <c r="A29" s="352" t="s">
        <v>63</v>
      </c>
      <c r="B29" s="883" t="s">
        <v>159</v>
      </c>
      <c r="C29" s="883"/>
    </row>
    <row r="30" spans="1:6" hidden="1">
      <c r="A30" s="118"/>
      <c r="B30" s="93" t="s">
        <v>153</v>
      </c>
      <c r="C30" s="127" t="s">
        <v>154</v>
      </c>
    </row>
    <row r="31" spans="1:6" hidden="1">
      <c r="A31" s="119"/>
      <c r="B31" s="94" t="s">
        <v>177</v>
      </c>
      <c r="C31" s="355" t="e">
        <f>B28</f>
        <v>#REF!</v>
      </c>
    </row>
    <row r="32" spans="1:6" hidden="1">
      <c r="A32" s="119"/>
      <c r="B32" s="94"/>
      <c r="C32" s="356"/>
    </row>
    <row r="33" spans="1:3" hidden="1">
      <c r="A33" s="353">
        <v>1</v>
      </c>
      <c r="B33" s="94" t="s">
        <v>155</v>
      </c>
      <c r="C33" s="357" t="e">
        <f>C28</f>
        <v>#REF!</v>
      </c>
    </row>
    <row r="34" spans="1:3" hidden="1">
      <c r="A34" s="353">
        <v>2</v>
      </c>
      <c r="B34" s="94" t="s">
        <v>156</v>
      </c>
      <c r="C34" s="357" t="e">
        <f>D28</f>
        <v>#REF!</v>
      </c>
    </row>
    <row r="35" spans="1:3" hidden="1">
      <c r="A35" s="353">
        <v>3</v>
      </c>
      <c r="B35" s="94" t="s">
        <v>157</v>
      </c>
      <c r="C35" s="357" t="e">
        <f>E28</f>
        <v>#REF!</v>
      </c>
    </row>
    <row r="36" spans="1:3" hidden="1">
      <c r="A36" s="354">
        <v>4</v>
      </c>
      <c r="B36" s="95" t="s">
        <v>158</v>
      </c>
      <c r="C36" s="358" t="e">
        <f>F28</f>
        <v>#REF!</v>
      </c>
    </row>
  </sheetData>
  <mergeCells count="5">
    <mergeCell ref="A1:B1"/>
    <mergeCell ref="A2:B2"/>
    <mergeCell ref="B29:C29"/>
    <mergeCell ref="A12:F12"/>
    <mergeCell ref="A13:F13"/>
  </mergeCells>
  <printOptions horizontalCentered="1" gridLines="1"/>
  <pageMargins left="1"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B14BC-54E9-4783-B7F7-D6D5F130E908}">
  <dimension ref="A1:L39"/>
  <sheetViews>
    <sheetView showGridLines="0" zoomScaleNormal="100" zoomScaleSheetLayoutView="100" workbookViewId="0">
      <selection activeCell="I18" sqref="I18"/>
    </sheetView>
  </sheetViews>
  <sheetFormatPr defaultRowHeight="12.75"/>
  <cols>
    <col min="1" max="1" width="38.140625" style="216" customWidth="1"/>
    <col min="2" max="3" width="9.7109375" style="216" bestFit="1" customWidth="1"/>
    <col min="4" max="4" width="9.5703125" style="216" bestFit="1" customWidth="1"/>
    <col min="5" max="10" width="9.7109375" style="216" bestFit="1" customWidth="1"/>
    <col min="11" max="255" width="9.140625" style="216"/>
    <col min="256" max="256" width="38.140625" style="216" customWidth="1"/>
    <col min="257" max="258" width="9.5703125" style="216" bestFit="1" customWidth="1"/>
    <col min="259" max="259" width="9.28515625" style="216" bestFit="1" customWidth="1"/>
    <col min="260" max="265" width="9.5703125" style="216" bestFit="1" customWidth="1"/>
    <col min="266" max="266" width="10.28515625" style="216" bestFit="1" customWidth="1"/>
    <col min="267" max="511" width="9.140625" style="216"/>
    <col min="512" max="512" width="38.140625" style="216" customWidth="1"/>
    <col min="513" max="514" width="9.5703125" style="216" bestFit="1" customWidth="1"/>
    <col min="515" max="515" width="9.28515625" style="216" bestFit="1" customWidth="1"/>
    <col min="516" max="521" width="9.5703125" style="216" bestFit="1" customWidth="1"/>
    <col min="522" max="522" width="10.28515625" style="216" bestFit="1" customWidth="1"/>
    <col min="523" max="767" width="9.140625" style="216"/>
    <col min="768" max="768" width="38.140625" style="216" customWidth="1"/>
    <col min="769" max="770" width="9.5703125" style="216" bestFit="1" customWidth="1"/>
    <col min="771" max="771" width="9.28515625" style="216" bestFit="1" customWidth="1"/>
    <col min="772" max="777" width="9.5703125" style="216" bestFit="1" customWidth="1"/>
    <col min="778" max="778" width="10.28515625" style="216" bestFit="1" customWidth="1"/>
    <col min="779" max="1023" width="9.140625" style="216"/>
    <col min="1024" max="1024" width="38.140625" style="216" customWidth="1"/>
    <col min="1025" max="1026" width="9.5703125" style="216" bestFit="1" customWidth="1"/>
    <col min="1027" max="1027" width="9.28515625" style="216" bestFit="1" customWidth="1"/>
    <col min="1028" max="1033" width="9.5703125" style="216" bestFit="1" customWidth="1"/>
    <col min="1034" max="1034" width="10.28515625" style="216" bestFit="1" customWidth="1"/>
    <col min="1035" max="1279" width="9.140625" style="216"/>
    <col min="1280" max="1280" width="38.140625" style="216" customWidth="1"/>
    <col min="1281" max="1282" width="9.5703125" style="216" bestFit="1" customWidth="1"/>
    <col min="1283" max="1283" width="9.28515625" style="216" bestFit="1" customWidth="1"/>
    <col min="1284" max="1289" width="9.5703125" style="216" bestFit="1" customWidth="1"/>
    <col min="1290" max="1290" width="10.28515625" style="216" bestFit="1" customWidth="1"/>
    <col min="1291" max="1535" width="9.140625" style="216"/>
    <col min="1536" max="1536" width="38.140625" style="216" customWidth="1"/>
    <col min="1537" max="1538" width="9.5703125" style="216" bestFit="1" customWidth="1"/>
    <col min="1539" max="1539" width="9.28515625" style="216" bestFit="1" customWidth="1"/>
    <col min="1540" max="1545" width="9.5703125" style="216" bestFit="1" customWidth="1"/>
    <col min="1546" max="1546" width="10.28515625" style="216" bestFit="1" customWidth="1"/>
    <col min="1547" max="1791" width="9.140625" style="216"/>
    <col min="1792" max="1792" width="38.140625" style="216" customWidth="1"/>
    <col min="1793" max="1794" width="9.5703125" style="216" bestFit="1" customWidth="1"/>
    <col min="1795" max="1795" width="9.28515625" style="216" bestFit="1" customWidth="1"/>
    <col min="1796" max="1801" width="9.5703125" style="216" bestFit="1" customWidth="1"/>
    <col min="1802" max="1802" width="10.28515625" style="216" bestFit="1" customWidth="1"/>
    <col min="1803" max="2047" width="9.140625" style="216"/>
    <col min="2048" max="2048" width="38.140625" style="216" customWidth="1"/>
    <col min="2049" max="2050" width="9.5703125" style="216" bestFit="1" customWidth="1"/>
    <col min="2051" max="2051" width="9.28515625" style="216" bestFit="1" customWidth="1"/>
    <col min="2052" max="2057" width="9.5703125" style="216" bestFit="1" customWidth="1"/>
    <col min="2058" max="2058" width="10.28515625" style="216" bestFit="1" customWidth="1"/>
    <col min="2059" max="2303" width="9.140625" style="216"/>
    <col min="2304" max="2304" width="38.140625" style="216" customWidth="1"/>
    <col min="2305" max="2306" width="9.5703125" style="216" bestFit="1" customWidth="1"/>
    <col min="2307" max="2307" width="9.28515625" style="216" bestFit="1" customWidth="1"/>
    <col min="2308" max="2313" width="9.5703125" style="216" bestFit="1" customWidth="1"/>
    <col min="2314" max="2314" width="10.28515625" style="216" bestFit="1" customWidth="1"/>
    <col min="2315" max="2559" width="9.140625" style="216"/>
    <col min="2560" max="2560" width="38.140625" style="216" customWidth="1"/>
    <col min="2561" max="2562" width="9.5703125" style="216" bestFit="1" customWidth="1"/>
    <col min="2563" max="2563" width="9.28515625" style="216" bestFit="1" customWidth="1"/>
    <col min="2564" max="2569" width="9.5703125" style="216" bestFit="1" customWidth="1"/>
    <col min="2570" max="2570" width="10.28515625" style="216" bestFit="1" customWidth="1"/>
    <col min="2571" max="2815" width="9.140625" style="216"/>
    <col min="2816" max="2816" width="38.140625" style="216" customWidth="1"/>
    <col min="2817" max="2818" width="9.5703125" style="216" bestFit="1" customWidth="1"/>
    <col min="2819" max="2819" width="9.28515625" style="216" bestFit="1" customWidth="1"/>
    <col min="2820" max="2825" width="9.5703125" style="216" bestFit="1" customWidth="1"/>
    <col min="2826" max="2826" width="10.28515625" style="216" bestFit="1" customWidth="1"/>
    <col min="2827" max="3071" width="9.140625" style="216"/>
    <col min="3072" max="3072" width="38.140625" style="216" customWidth="1"/>
    <col min="3073" max="3074" width="9.5703125" style="216" bestFit="1" customWidth="1"/>
    <col min="3075" max="3075" width="9.28515625" style="216" bestFit="1" customWidth="1"/>
    <col min="3076" max="3081" width="9.5703125" style="216" bestFit="1" customWidth="1"/>
    <col min="3082" max="3082" width="10.28515625" style="216" bestFit="1" customWidth="1"/>
    <col min="3083" max="3327" width="9.140625" style="216"/>
    <col min="3328" max="3328" width="38.140625" style="216" customWidth="1"/>
    <col min="3329" max="3330" width="9.5703125" style="216" bestFit="1" customWidth="1"/>
    <col min="3331" max="3331" width="9.28515625" style="216" bestFit="1" customWidth="1"/>
    <col min="3332" max="3337" width="9.5703125" style="216" bestFit="1" customWidth="1"/>
    <col min="3338" max="3338" width="10.28515625" style="216" bestFit="1" customWidth="1"/>
    <col min="3339" max="3583" width="9.140625" style="216"/>
    <col min="3584" max="3584" width="38.140625" style="216" customWidth="1"/>
    <col min="3585" max="3586" width="9.5703125" style="216" bestFit="1" customWidth="1"/>
    <col min="3587" max="3587" width="9.28515625" style="216" bestFit="1" customWidth="1"/>
    <col min="3588" max="3593" width="9.5703125" style="216" bestFit="1" customWidth="1"/>
    <col min="3594" max="3594" width="10.28515625" style="216" bestFit="1" customWidth="1"/>
    <col min="3595" max="3839" width="9.140625" style="216"/>
    <col min="3840" max="3840" width="38.140625" style="216" customWidth="1"/>
    <col min="3841" max="3842" width="9.5703125" style="216" bestFit="1" customWidth="1"/>
    <col min="3843" max="3843" width="9.28515625" style="216" bestFit="1" customWidth="1"/>
    <col min="3844" max="3849" width="9.5703125" style="216" bestFit="1" customWidth="1"/>
    <col min="3850" max="3850" width="10.28515625" style="216" bestFit="1" customWidth="1"/>
    <col min="3851" max="4095" width="9.140625" style="216"/>
    <col min="4096" max="4096" width="38.140625" style="216" customWidth="1"/>
    <col min="4097" max="4098" width="9.5703125" style="216" bestFit="1" customWidth="1"/>
    <col min="4099" max="4099" width="9.28515625" style="216" bestFit="1" customWidth="1"/>
    <col min="4100" max="4105" width="9.5703125" style="216" bestFit="1" customWidth="1"/>
    <col min="4106" max="4106" width="10.28515625" style="216" bestFit="1" customWidth="1"/>
    <col min="4107" max="4351" width="9.140625" style="216"/>
    <col min="4352" max="4352" width="38.140625" style="216" customWidth="1"/>
    <col min="4353" max="4354" width="9.5703125" style="216" bestFit="1" customWidth="1"/>
    <col min="4355" max="4355" width="9.28515625" style="216" bestFit="1" customWidth="1"/>
    <col min="4356" max="4361" width="9.5703125" style="216" bestFit="1" customWidth="1"/>
    <col min="4362" max="4362" width="10.28515625" style="216" bestFit="1" customWidth="1"/>
    <col min="4363" max="4607" width="9.140625" style="216"/>
    <col min="4608" max="4608" width="38.140625" style="216" customWidth="1"/>
    <col min="4609" max="4610" width="9.5703125" style="216" bestFit="1" customWidth="1"/>
    <col min="4611" max="4611" width="9.28515625" style="216" bestFit="1" customWidth="1"/>
    <col min="4612" max="4617" width="9.5703125" style="216" bestFit="1" customWidth="1"/>
    <col min="4618" max="4618" width="10.28515625" style="216" bestFit="1" customWidth="1"/>
    <col min="4619" max="4863" width="9.140625" style="216"/>
    <col min="4864" max="4864" width="38.140625" style="216" customWidth="1"/>
    <col min="4865" max="4866" width="9.5703125" style="216" bestFit="1" customWidth="1"/>
    <col min="4867" max="4867" width="9.28515625" style="216" bestFit="1" customWidth="1"/>
    <col min="4868" max="4873" width="9.5703125" style="216" bestFit="1" customWidth="1"/>
    <col min="4874" max="4874" width="10.28515625" style="216" bestFit="1" customWidth="1"/>
    <col min="4875" max="5119" width="9.140625" style="216"/>
    <col min="5120" max="5120" width="38.140625" style="216" customWidth="1"/>
    <col min="5121" max="5122" width="9.5703125" style="216" bestFit="1" customWidth="1"/>
    <col min="5123" max="5123" width="9.28515625" style="216" bestFit="1" customWidth="1"/>
    <col min="5124" max="5129" width="9.5703125" style="216" bestFit="1" customWidth="1"/>
    <col min="5130" max="5130" width="10.28515625" style="216" bestFit="1" customWidth="1"/>
    <col min="5131" max="5375" width="9.140625" style="216"/>
    <col min="5376" max="5376" width="38.140625" style="216" customWidth="1"/>
    <col min="5377" max="5378" width="9.5703125" style="216" bestFit="1" customWidth="1"/>
    <col min="5379" max="5379" width="9.28515625" style="216" bestFit="1" customWidth="1"/>
    <col min="5380" max="5385" width="9.5703125" style="216" bestFit="1" customWidth="1"/>
    <col min="5386" max="5386" width="10.28515625" style="216" bestFit="1" customWidth="1"/>
    <col min="5387" max="5631" width="9.140625" style="216"/>
    <col min="5632" max="5632" width="38.140625" style="216" customWidth="1"/>
    <col min="5633" max="5634" width="9.5703125" style="216" bestFit="1" customWidth="1"/>
    <col min="5635" max="5635" width="9.28515625" style="216" bestFit="1" customWidth="1"/>
    <col min="5636" max="5641" width="9.5703125" style="216" bestFit="1" customWidth="1"/>
    <col min="5642" max="5642" width="10.28515625" style="216" bestFit="1" customWidth="1"/>
    <col min="5643" max="5887" width="9.140625" style="216"/>
    <col min="5888" max="5888" width="38.140625" style="216" customWidth="1"/>
    <col min="5889" max="5890" width="9.5703125" style="216" bestFit="1" customWidth="1"/>
    <col min="5891" max="5891" width="9.28515625" style="216" bestFit="1" customWidth="1"/>
    <col min="5892" max="5897" width="9.5703125" style="216" bestFit="1" customWidth="1"/>
    <col min="5898" max="5898" width="10.28515625" style="216" bestFit="1" customWidth="1"/>
    <col min="5899" max="6143" width="9.140625" style="216"/>
    <col min="6144" max="6144" width="38.140625" style="216" customWidth="1"/>
    <col min="6145" max="6146" width="9.5703125" style="216" bestFit="1" customWidth="1"/>
    <col min="6147" max="6147" width="9.28515625" style="216" bestFit="1" customWidth="1"/>
    <col min="6148" max="6153" width="9.5703125" style="216" bestFit="1" customWidth="1"/>
    <col min="6154" max="6154" width="10.28515625" style="216" bestFit="1" customWidth="1"/>
    <col min="6155" max="6399" width="9.140625" style="216"/>
    <col min="6400" max="6400" width="38.140625" style="216" customWidth="1"/>
    <col min="6401" max="6402" width="9.5703125" style="216" bestFit="1" customWidth="1"/>
    <col min="6403" max="6403" width="9.28515625" style="216" bestFit="1" customWidth="1"/>
    <col min="6404" max="6409" width="9.5703125" style="216" bestFit="1" customWidth="1"/>
    <col min="6410" max="6410" width="10.28515625" style="216" bestFit="1" customWidth="1"/>
    <col min="6411" max="6655" width="9.140625" style="216"/>
    <col min="6656" max="6656" width="38.140625" style="216" customWidth="1"/>
    <col min="6657" max="6658" width="9.5703125" style="216" bestFit="1" customWidth="1"/>
    <col min="6659" max="6659" width="9.28515625" style="216" bestFit="1" customWidth="1"/>
    <col min="6660" max="6665" width="9.5703125" style="216" bestFit="1" customWidth="1"/>
    <col min="6666" max="6666" width="10.28515625" style="216" bestFit="1" customWidth="1"/>
    <col min="6667" max="6911" width="9.140625" style="216"/>
    <col min="6912" max="6912" width="38.140625" style="216" customWidth="1"/>
    <col min="6913" max="6914" width="9.5703125" style="216" bestFit="1" customWidth="1"/>
    <col min="6915" max="6915" width="9.28515625" style="216" bestFit="1" customWidth="1"/>
    <col min="6916" max="6921" width="9.5703125" style="216" bestFit="1" customWidth="1"/>
    <col min="6922" max="6922" width="10.28515625" style="216" bestFit="1" customWidth="1"/>
    <col min="6923" max="7167" width="9.140625" style="216"/>
    <col min="7168" max="7168" width="38.140625" style="216" customWidth="1"/>
    <col min="7169" max="7170" width="9.5703125" style="216" bestFit="1" customWidth="1"/>
    <col min="7171" max="7171" width="9.28515625" style="216" bestFit="1" customWidth="1"/>
    <col min="7172" max="7177" width="9.5703125" style="216" bestFit="1" customWidth="1"/>
    <col min="7178" max="7178" width="10.28515625" style="216" bestFit="1" customWidth="1"/>
    <col min="7179" max="7423" width="9.140625" style="216"/>
    <col min="7424" max="7424" width="38.140625" style="216" customWidth="1"/>
    <col min="7425" max="7426" width="9.5703125" style="216" bestFit="1" customWidth="1"/>
    <col min="7427" max="7427" width="9.28515625" style="216" bestFit="1" customWidth="1"/>
    <col min="7428" max="7433" width="9.5703125" style="216" bestFit="1" customWidth="1"/>
    <col min="7434" max="7434" width="10.28515625" style="216" bestFit="1" customWidth="1"/>
    <col min="7435" max="7679" width="9.140625" style="216"/>
    <col min="7680" max="7680" width="38.140625" style="216" customWidth="1"/>
    <col min="7681" max="7682" width="9.5703125" style="216" bestFit="1" customWidth="1"/>
    <col min="7683" max="7683" width="9.28515625" style="216" bestFit="1" customWidth="1"/>
    <col min="7684" max="7689" width="9.5703125" style="216" bestFit="1" customWidth="1"/>
    <col min="7690" max="7690" width="10.28515625" style="216" bestFit="1" customWidth="1"/>
    <col min="7691" max="7935" width="9.140625" style="216"/>
    <col min="7936" max="7936" width="38.140625" style="216" customWidth="1"/>
    <col min="7937" max="7938" width="9.5703125" style="216" bestFit="1" customWidth="1"/>
    <col min="7939" max="7939" width="9.28515625" style="216" bestFit="1" customWidth="1"/>
    <col min="7940" max="7945" width="9.5703125" style="216" bestFit="1" customWidth="1"/>
    <col min="7946" max="7946" width="10.28515625" style="216" bestFit="1" customWidth="1"/>
    <col min="7947" max="8191" width="9.140625" style="216"/>
    <col min="8192" max="8192" width="38.140625" style="216" customWidth="1"/>
    <col min="8193" max="8194" width="9.5703125" style="216" bestFit="1" customWidth="1"/>
    <col min="8195" max="8195" width="9.28515625" style="216" bestFit="1" customWidth="1"/>
    <col min="8196" max="8201" width="9.5703125" style="216" bestFit="1" customWidth="1"/>
    <col min="8202" max="8202" width="10.28515625" style="216" bestFit="1" customWidth="1"/>
    <col min="8203" max="8447" width="9.140625" style="216"/>
    <col min="8448" max="8448" width="38.140625" style="216" customWidth="1"/>
    <col min="8449" max="8450" width="9.5703125" style="216" bestFit="1" customWidth="1"/>
    <col min="8451" max="8451" width="9.28515625" style="216" bestFit="1" customWidth="1"/>
    <col min="8452" max="8457" width="9.5703125" style="216" bestFit="1" customWidth="1"/>
    <col min="8458" max="8458" width="10.28515625" style="216" bestFit="1" customWidth="1"/>
    <col min="8459" max="8703" width="9.140625" style="216"/>
    <col min="8704" max="8704" width="38.140625" style="216" customWidth="1"/>
    <col min="8705" max="8706" width="9.5703125" style="216" bestFit="1" customWidth="1"/>
    <col min="8707" max="8707" width="9.28515625" style="216" bestFit="1" customWidth="1"/>
    <col min="8708" max="8713" width="9.5703125" style="216" bestFit="1" customWidth="1"/>
    <col min="8714" max="8714" width="10.28515625" style="216" bestFit="1" customWidth="1"/>
    <col min="8715" max="8959" width="9.140625" style="216"/>
    <col min="8960" max="8960" width="38.140625" style="216" customWidth="1"/>
    <col min="8961" max="8962" width="9.5703125" style="216" bestFit="1" customWidth="1"/>
    <col min="8963" max="8963" width="9.28515625" style="216" bestFit="1" customWidth="1"/>
    <col min="8964" max="8969" width="9.5703125" style="216" bestFit="1" customWidth="1"/>
    <col min="8970" max="8970" width="10.28515625" style="216" bestFit="1" customWidth="1"/>
    <col min="8971" max="9215" width="9.140625" style="216"/>
    <col min="9216" max="9216" width="38.140625" style="216" customWidth="1"/>
    <col min="9217" max="9218" width="9.5703125" style="216" bestFit="1" customWidth="1"/>
    <col min="9219" max="9219" width="9.28515625" style="216" bestFit="1" customWidth="1"/>
    <col min="9220" max="9225" width="9.5703125" style="216" bestFit="1" customWidth="1"/>
    <col min="9226" max="9226" width="10.28515625" style="216" bestFit="1" customWidth="1"/>
    <col min="9227" max="9471" width="9.140625" style="216"/>
    <col min="9472" max="9472" width="38.140625" style="216" customWidth="1"/>
    <col min="9473" max="9474" width="9.5703125" style="216" bestFit="1" customWidth="1"/>
    <col min="9475" max="9475" width="9.28515625" style="216" bestFit="1" customWidth="1"/>
    <col min="9476" max="9481" width="9.5703125" style="216" bestFit="1" customWidth="1"/>
    <col min="9482" max="9482" width="10.28515625" style="216" bestFit="1" customWidth="1"/>
    <col min="9483" max="9727" width="9.140625" style="216"/>
    <col min="9728" max="9728" width="38.140625" style="216" customWidth="1"/>
    <col min="9729" max="9730" width="9.5703125" style="216" bestFit="1" customWidth="1"/>
    <col min="9731" max="9731" width="9.28515625" style="216" bestFit="1" customWidth="1"/>
    <col min="9732" max="9737" width="9.5703125" style="216" bestFit="1" customWidth="1"/>
    <col min="9738" max="9738" width="10.28515625" style="216" bestFit="1" customWidth="1"/>
    <col min="9739" max="9983" width="9.140625" style="216"/>
    <col min="9984" max="9984" width="38.140625" style="216" customWidth="1"/>
    <col min="9985" max="9986" width="9.5703125" style="216" bestFit="1" customWidth="1"/>
    <col min="9987" max="9987" width="9.28515625" style="216" bestFit="1" customWidth="1"/>
    <col min="9988" max="9993" width="9.5703125" style="216" bestFit="1" customWidth="1"/>
    <col min="9994" max="9994" width="10.28515625" style="216" bestFit="1" customWidth="1"/>
    <col min="9995" max="10239" width="9.140625" style="216"/>
    <col min="10240" max="10240" width="38.140625" style="216" customWidth="1"/>
    <col min="10241" max="10242" width="9.5703125" style="216" bestFit="1" customWidth="1"/>
    <col min="10243" max="10243" width="9.28515625" style="216" bestFit="1" customWidth="1"/>
    <col min="10244" max="10249" width="9.5703125" style="216" bestFit="1" customWidth="1"/>
    <col min="10250" max="10250" width="10.28515625" style="216" bestFit="1" customWidth="1"/>
    <col min="10251" max="10495" width="9.140625" style="216"/>
    <col min="10496" max="10496" width="38.140625" style="216" customWidth="1"/>
    <col min="10497" max="10498" width="9.5703125" style="216" bestFit="1" customWidth="1"/>
    <col min="10499" max="10499" width="9.28515625" style="216" bestFit="1" customWidth="1"/>
    <col min="10500" max="10505" width="9.5703125" style="216" bestFit="1" customWidth="1"/>
    <col min="10506" max="10506" width="10.28515625" style="216" bestFit="1" customWidth="1"/>
    <col min="10507" max="10751" width="9.140625" style="216"/>
    <col min="10752" max="10752" width="38.140625" style="216" customWidth="1"/>
    <col min="10753" max="10754" width="9.5703125" style="216" bestFit="1" customWidth="1"/>
    <col min="10755" max="10755" width="9.28515625" style="216" bestFit="1" customWidth="1"/>
    <col min="10756" max="10761" width="9.5703125" style="216" bestFit="1" customWidth="1"/>
    <col min="10762" max="10762" width="10.28515625" style="216" bestFit="1" customWidth="1"/>
    <col min="10763" max="11007" width="9.140625" style="216"/>
    <col min="11008" max="11008" width="38.140625" style="216" customWidth="1"/>
    <col min="11009" max="11010" width="9.5703125" style="216" bestFit="1" customWidth="1"/>
    <col min="11011" max="11011" width="9.28515625" style="216" bestFit="1" customWidth="1"/>
    <col min="11012" max="11017" width="9.5703125" style="216" bestFit="1" customWidth="1"/>
    <col min="11018" max="11018" width="10.28515625" style="216" bestFit="1" customWidth="1"/>
    <col min="11019" max="11263" width="9.140625" style="216"/>
    <col min="11264" max="11264" width="38.140625" style="216" customWidth="1"/>
    <col min="11265" max="11266" width="9.5703125" style="216" bestFit="1" customWidth="1"/>
    <col min="11267" max="11267" width="9.28515625" style="216" bestFit="1" customWidth="1"/>
    <col min="11268" max="11273" width="9.5703125" style="216" bestFit="1" customWidth="1"/>
    <col min="11274" max="11274" width="10.28515625" style="216" bestFit="1" customWidth="1"/>
    <col min="11275" max="11519" width="9.140625" style="216"/>
    <col min="11520" max="11520" width="38.140625" style="216" customWidth="1"/>
    <col min="11521" max="11522" width="9.5703125" style="216" bestFit="1" customWidth="1"/>
    <col min="11523" max="11523" width="9.28515625" style="216" bestFit="1" customWidth="1"/>
    <col min="11524" max="11529" width="9.5703125" style="216" bestFit="1" customWidth="1"/>
    <col min="11530" max="11530" width="10.28515625" style="216" bestFit="1" customWidth="1"/>
    <col min="11531" max="11775" width="9.140625" style="216"/>
    <col min="11776" max="11776" width="38.140625" style="216" customWidth="1"/>
    <col min="11777" max="11778" width="9.5703125" style="216" bestFit="1" customWidth="1"/>
    <col min="11779" max="11779" width="9.28515625" style="216" bestFit="1" customWidth="1"/>
    <col min="11780" max="11785" width="9.5703125" style="216" bestFit="1" customWidth="1"/>
    <col min="11786" max="11786" width="10.28515625" style="216" bestFit="1" customWidth="1"/>
    <col min="11787" max="12031" width="9.140625" style="216"/>
    <col min="12032" max="12032" width="38.140625" style="216" customWidth="1"/>
    <col min="12033" max="12034" width="9.5703125" style="216" bestFit="1" customWidth="1"/>
    <col min="12035" max="12035" width="9.28515625" style="216" bestFit="1" customWidth="1"/>
    <col min="12036" max="12041" width="9.5703125" style="216" bestFit="1" customWidth="1"/>
    <col min="12042" max="12042" width="10.28515625" style="216" bestFit="1" customWidth="1"/>
    <col min="12043" max="12287" width="9.140625" style="216"/>
    <col min="12288" max="12288" width="38.140625" style="216" customWidth="1"/>
    <col min="12289" max="12290" width="9.5703125" style="216" bestFit="1" customWidth="1"/>
    <col min="12291" max="12291" width="9.28515625" style="216" bestFit="1" customWidth="1"/>
    <col min="12292" max="12297" width="9.5703125" style="216" bestFit="1" customWidth="1"/>
    <col min="12298" max="12298" width="10.28515625" style="216" bestFit="1" customWidth="1"/>
    <col min="12299" max="12543" width="9.140625" style="216"/>
    <col min="12544" max="12544" width="38.140625" style="216" customWidth="1"/>
    <col min="12545" max="12546" width="9.5703125" style="216" bestFit="1" customWidth="1"/>
    <col min="12547" max="12547" width="9.28515625" style="216" bestFit="1" customWidth="1"/>
    <col min="12548" max="12553" width="9.5703125" style="216" bestFit="1" customWidth="1"/>
    <col min="12554" max="12554" width="10.28515625" style="216" bestFit="1" customWidth="1"/>
    <col min="12555" max="12799" width="9.140625" style="216"/>
    <col min="12800" max="12800" width="38.140625" style="216" customWidth="1"/>
    <col min="12801" max="12802" width="9.5703125" style="216" bestFit="1" customWidth="1"/>
    <col min="12803" max="12803" width="9.28515625" style="216" bestFit="1" customWidth="1"/>
    <col min="12804" max="12809" width="9.5703125" style="216" bestFit="1" customWidth="1"/>
    <col min="12810" max="12810" width="10.28515625" style="216" bestFit="1" customWidth="1"/>
    <col min="12811" max="13055" width="9.140625" style="216"/>
    <col min="13056" max="13056" width="38.140625" style="216" customWidth="1"/>
    <col min="13057" max="13058" width="9.5703125" style="216" bestFit="1" customWidth="1"/>
    <col min="13059" max="13059" width="9.28515625" style="216" bestFit="1" customWidth="1"/>
    <col min="13060" max="13065" width="9.5703125" style="216" bestFit="1" customWidth="1"/>
    <col min="13066" max="13066" width="10.28515625" style="216" bestFit="1" customWidth="1"/>
    <col min="13067" max="13311" width="9.140625" style="216"/>
    <col min="13312" max="13312" width="38.140625" style="216" customWidth="1"/>
    <col min="13313" max="13314" width="9.5703125" style="216" bestFit="1" customWidth="1"/>
    <col min="13315" max="13315" width="9.28515625" style="216" bestFit="1" customWidth="1"/>
    <col min="13316" max="13321" width="9.5703125" style="216" bestFit="1" customWidth="1"/>
    <col min="13322" max="13322" width="10.28515625" style="216" bestFit="1" customWidth="1"/>
    <col min="13323" max="13567" width="9.140625" style="216"/>
    <col min="13568" max="13568" width="38.140625" style="216" customWidth="1"/>
    <col min="13569" max="13570" width="9.5703125" style="216" bestFit="1" customWidth="1"/>
    <col min="13571" max="13571" width="9.28515625" style="216" bestFit="1" customWidth="1"/>
    <col min="13572" max="13577" width="9.5703125" style="216" bestFit="1" customWidth="1"/>
    <col min="13578" max="13578" width="10.28515625" style="216" bestFit="1" customWidth="1"/>
    <col min="13579" max="13823" width="9.140625" style="216"/>
    <col min="13824" max="13824" width="38.140625" style="216" customWidth="1"/>
    <col min="13825" max="13826" width="9.5703125" style="216" bestFit="1" customWidth="1"/>
    <col min="13827" max="13827" width="9.28515625" style="216" bestFit="1" customWidth="1"/>
    <col min="13828" max="13833" width="9.5703125" style="216" bestFit="1" customWidth="1"/>
    <col min="13834" max="13834" width="10.28515625" style="216" bestFit="1" customWidth="1"/>
    <col min="13835" max="14079" width="9.140625" style="216"/>
    <col min="14080" max="14080" width="38.140625" style="216" customWidth="1"/>
    <col min="14081" max="14082" width="9.5703125" style="216" bestFit="1" customWidth="1"/>
    <col min="14083" max="14083" width="9.28515625" style="216" bestFit="1" customWidth="1"/>
    <col min="14084" max="14089" width="9.5703125" style="216" bestFit="1" customWidth="1"/>
    <col min="14090" max="14090" width="10.28515625" style="216" bestFit="1" customWidth="1"/>
    <col min="14091" max="14335" width="9.140625" style="216"/>
    <col min="14336" max="14336" width="38.140625" style="216" customWidth="1"/>
    <col min="14337" max="14338" width="9.5703125" style="216" bestFit="1" customWidth="1"/>
    <col min="14339" max="14339" width="9.28515625" style="216" bestFit="1" customWidth="1"/>
    <col min="14340" max="14345" width="9.5703125" style="216" bestFit="1" customWidth="1"/>
    <col min="14346" max="14346" width="10.28515625" style="216" bestFit="1" customWidth="1"/>
    <col min="14347" max="14591" width="9.140625" style="216"/>
    <col min="14592" max="14592" width="38.140625" style="216" customWidth="1"/>
    <col min="14593" max="14594" width="9.5703125" style="216" bestFit="1" customWidth="1"/>
    <col min="14595" max="14595" width="9.28515625" style="216" bestFit="1" customWidth="1"/>
    <col min="14596" max="14601" width="9.5703125" style="216" bestFit="1" customWidth="1"/>
    <col min="14602" max="14602" width="10.28515625" style="216" bestFit="1" customWidth="1"/>
    <col min="14603" max="14847" width="9.140625" style="216"/>
    <col min="14848" max="14848" width="38.140625" style="216" customWidth="1"/>
    <col min="14849" max="14850" width="9.5703125" style="216" bestFit="1" customWidth="1"/>
    <col min="14851" max="14851" width="9.28515625" style="216" bestFit="1" customWidth="1"/>
    <col min="14852" max="14857" width="9.5703125" style="216" bestFit="1" customWidth="1"/>
    <col min="14858" max="14858" width="10.28515625" style="216" bestFit="1" customWidth="1"/>
    <col min="14859" max="15103" width="9.140625" style="216"/>
    <col min="15104" max="15104" width="38.140625" style="216" customWidth="1"/>
    <col min="15105" max="15106" width="9.5703125" style="216" bestFit="1" customWidth="1"/>
    <col min="15107" max="15107" width="9.28515625" style="216" bestFit="1" customWidth="1"/>
    <col min="15108" max="15113" width="9.5703125" style="216" bestFit="1" customWidth="1"/>
    <col min="15114" max="15114" width="10.28515625" style="216" bestFit="1" customWidth="1"/>
    <col min="15115" max="15359" width="9.140625" style="216"/>
    <col min="15360" max="15360" width="38.140625" style="216" customWidth="1"/>
    <col min="15361" max="15362" width="9.5703125" style="216" bestFit="1" customWidth="1"/>
    <col min="15363" max="15363" width="9.28515625" style="216" bestFit="1" customWidth="1"/>
    <col min="15364" max="15369" width="9.5703125" style="216" bestFit="1" customWidth="1"/>
    <col min="15370" max="15370" width="10.28515625" style="216" bestFit="1" customWidth="1"/>
    <col min="15371" max="15615" width="9.140625" style="216"/>
    <col min="15616" max="15616" width="38.140625" style="216" customWidth="1"/>
    <col min="15617" max="15618" width="9.5703125" style="216" bestFit="1" customWidth="1"/>
    <col min="15619" max="15619" width="9.28515625" style="216" bestFit="1" customWidth="1"/>
    <col min="15620" max="15625" width="9.5703125" style="216" bestFit="1" customWidth="1"/>
    <col min="15626" max="15626" width="10.28515625" style="216" bestFit="1" customWidth="1"/>
    <col min="15627" max="15871" width="9.140625" style="216"/>
    <col min="15872" max="15872" width="38.140625" style="216" customWidth="1"/>
    <col min="15873" max="15874" width="9.5703125" style="216" bestFit="1" customWidth="1"/>
    <col min="15875" max="15875" width="9.28515625" style="216" bestFit="1" customWidth="1"/>
    <col min="15876" max="15881" width="9.5703125" style="216" bestFit="1" customWidth="1"/>
    <col min="15882" max="15882" width="10.28515625" style="216" bestFit="1" customWidth="1"/>
    <col min="15883" max="16127" width="9.140625" style="216"/>
    <col min="16128" max="16128" width="38.140625" style="216" customWidth="1"/>
    <col min="16129" max="16130" width="9.5703125" style="216" bestFit="1" customWidth="1"/>
    <col min="16131" max="16131" width="9.28515625" style="216" bestFit="1" customWidth="1"/>
    <col min="16132" max="16137" width="9.5703125" style="216" bestFit="1" customWidth="1"/>
    <col min="16138" max="16138" width="10.28515625" style="216" bestFit="1" customWidth="1"/>
    <col min="16139" max="16384" width="9.140625" style="216"/>
  </cols>
  <sheetData>
    <row r="1" spans="1:12" ht="17.100000000000001" customHeight="1">
      <c r="A1" s="836" t="s">
        <v>114</v>
      </c>
      <c r="B1" s="837"/>
      <c r="C1" s="837"/>
      <c r="D1" s="837"/>
      <c r="E1" s="837"/>
      <c r="F1" s="837"/>
      <c r="G1" s="837"/>
      <c r="H1" s="837"/>
      <c r="I1" s="837"/>
      <c r="J1" s="838"/>
    </row>
    <row r="2" spans="1:12" ht="17.100000000000001" customHeight="1">
      <c r="A2" s="876" t="s">
        <v>95</v>
      </c>
      <c r="B2" s="877"/>
      <c r="C2" s="877"/>
      <c r="D2" s="877"/>
      <c r="E2" s="877"/>
      <c r="F2" s="877"/>
      <c r="G2" s="877"/>
      <c r="H2" s="877"/>
      <c r="I2" s="877"/>
      <c r="J2" s="878"/>
    </row>
    <row r="3" spans="1:12" ht="17.100000000000001" customHeight="1">
      <c r="A3" s="132" t="s">
        <v>115</v>
      </c>
      <c r="B3" s="101" t="s">
        <v>96</v>
      </c>
      <c r="C3" s="101" t="s">
        <v>97</v>
      </c>
      <c r="D3" s="101" t="s">
        <v>98</v>
      </c>
      <c r="E3" s="101" t="s">
        <v>99</v>
      </c>
      <c r="F3" s="101" t="s">
        <v>100</v>
      </c>
      <c r="G3" s="101" t="s">
        <v>101</v>
      </c>
      <c r="H3" s="101" t="s">
        <v>102</v>
      </c>
      <c r="I3" s="101" t="s">
        <v>103</v>
      </c>
      <c r="J3" s="102" t="s">
        <v>104</v>
      </c>
      <c r="K3" s="217"/>
    </row>
    <row r="4" spans="1:12" ht="17.100000000000001" customHeight="1">
      <c r="A4" s="889"/>
      <c r="B4" s="890"/>
      <c r="C4" s="890"/>
      <c r="D4" s="890"/>
      <c r="E4" s="890"/>
      <c r="F4" s="890"/>
      <c r="G4" s="890"/>
      <c r="H4" s="890"/>
      <c r="I4" s="890"/>
      <c r="J4" s="891"/>
    </row>
    <row r="5" spans="1:12" ht="17.100000000000001" customHeight="1">
      <c r="A5" s="133" t="s">
        <v>116</v>
      </c>
      <c r="B5" s="130">
        <f>Profitability!B13</f>
        <v>53.428124474567191</v>
      </c>
      <c r="C5" s="130">
        <f>Profitability!C13</f>
        <v>73.574307726078061</v>
      </c>
      <c r="D5" s="130">
        <f>Profitability!D13</f>
        <v>76.004871738812142</v>
      </c>
      <c r="E5" s="130">
        <f>Profitability!E13</f>
        <v>72.925451402249749</v>
      </c>
      <c r="F5" s="130">
        <f>Profitability!F13</f>
        <v>70.230836858846359</v>
      </c>
      <c r="G5" s="130">
        <f>Profitability!G13</f>
        <v>67.29930604699085</v>
      </c>
      <c r="H5" s="130">
        <f>Profitability!H13</f>
        <v>64.377765743884112</v>
      </c>
      <c r="I5" s="130">
        <f>Profitability!I13</f>
        <v>61.348978024106216</v>
      </c>
      <c r="J5" s="134">
        <f>Profitability!J13</f>
        <v>58.020685941910834</v>
      </c>
    </row>
    <row r="6" spans="1:12" ht="17.100000000000001" customHeight="1">
      <c r="A6" s="133" t="s">
        <v>117</v>
      </c>
      <c r="B6" s="130">
        <f>Norms!B91</f>
        <v>42.341250000000002</v>
      </c>
      <c r="C6" s="130">
        <f>Norms!C91</f>
        <v>40.929874999999996</v>
      </c>
      <c r="D6" s="130">
        <f>Norms!D91</f>
        <v>35.284374999999997</v>
      </c>
      <c r="E6" s="130">
        <f>Norms!E91</f>
        <v>29.638874999999992</v>
      </c>
      <c r="F6" s="130">
        <f>Norms!F91</f>
        <v>23.99337499999999</v>
      </c>
      <c r="G6" s="130">
        <f>Norms!G91</f>
        <v>21.879624999999997</v>
      </c>
      <c r="H6" s="130">
        <f>Norms!H91</f>
        <v>19.056874999999994</v>
      </c>
      <c r="I6" s="130">
        <f>Norms!I91</f>
        <v>16.234124999999995</v>
      </c>
      <c r="J6" s="134">
        <f>Norms!J91</f>
        <v>13.411374999999996</v>
      </c>
    </row>
    <row r="7" spans="1:12" ht="17.100000000000001" customHeight="1">
      <c r="A7" s="889"/>
      <c r="B7" s="890"/>
      <c r="C7" s="890"/>
      <c r="D7" s="890"/>
      <c r="E7" s="890"/>
      <c r="F7" s="890"/>
      <c r="G7" s="890"/>
      <c r="H7" s="890"/>
      <c r="I7" s="890"/>
      <c r="J7" s="891"/>
    </row>
    <row r="8" spans="1:12" s="218" customFormat="1" ht="17.100000000000001" customHeight="1">
      <c r="A8" s="99" t="s">
        <v>160</v>
      </c>
      <c r="B8" s="131">
        <f t="shared" ref="B8:J8" si="0">SUM(B5:B6)</f>
        <v>95.769374474567201</v>
      </c>
      <c r="C8" s="131">
        <f t="shared" si="0"/>
        <v>114.50418272607806</v>
      </c>
      <c r="D8" s="131">
        <f t="shared" si="0"/>
        <v>111.28924673881214</v>
      </c>
      <c r="E8" s="131">
        <f t="shared" si="0"/>
        <v>102.56432640224975</v>
      </c>
      <c r="F8" s="131">
        <f t="shared" si="0"/>
        <v>94.224211858846346</v>
      </c>
      <c r="G8" s="131">
        <f t="shared" si="0"/>
        <v>89.17893104699084</v>
      </c>
      <c r="H8" s="131">
        <f t="shared" si="0"/>
        <v>83.434640743884103</v>
      </c>
      <c r="I8" s="131">
        <f t="shared" si="0"/>
        <v>77.583103024106208</v>
      </c>
      <c r="J8" s="135">
        <f t="shared" si="0"/>
        <v>71.432060941910834</v>
      </c>
      <c r="L8" s="219"/>
    </row>
    <row r="9" spans="1:12" ht="17.100000000000001" customHeight="1">
      <c r="A9" s="889"/>
      <c r="B9" s="890"/>
      <c r="C9" s="890"/>
      <c r="D9" s="890"/>
      <c r="E9" s="890"/>
      <c r="F9" s="890"/>
      <c r="G9" s="890"/>
      <c r="H9" s="890"/>
      <c r="I9" s="890"/>
      <c r="J9" s="891"/>
    </row>
    <row r="10" spans="1:12" ht="17.100000000000001" customHeight="1">
      <c r="A10" s="133" t="s">
        <v>161</v>
      </c>
      <c r="B10" s="130">
        <f t="shared" ref="B10:J10" si="1">+B6</f>
        <v>42.341250000000002</v>
      </c>
      <c r="C10" s="130">
        <f t="shared" si="1"/>
        <v>40.929874999999996</v>
      </c>
      <c r="D10" s="130">
        <f t="shared" si="1"/>
        <v>35.284374999999997</v>
      </c>
      <c r="E10" s="130">
        <f t="shared" si="1"/>
        <v>29.638874999999992</v>
      </c>
      <c r="F10" s="130">
        <f t="shared" si="1"/>
        <v>23.99337499999999</v>
      </c>
      <c r="G10" s="130">
        <f t="shared" si="1"/>
        <v>21.879624999999997</v>
      </c>
      <c r="H10" s="130">
        <f t="shared" si="1"/>
        <v>19.056874999999994</v>
      </c>
      <c r="I10" s="130">
        <f t="shared" si="1"/>
        <v>16.234124999999995</v>
      </c>
      <c r="J10" s="134">
        <f t="shared" si="1"/>
        <v>13.411374999999996</v>
      </c>
    </row>
    <row r="11" spans="1:12" ht="17.100000000000001" customHeight="1">
      <c r="A11" s="133" t="s">
        <v>162</v>
      </c>
      <c r="B11" s="130">
        <f>Norms!B88</f>
        <v>0</v>
      </c>
      <c r="C11" s="130">
        <f>Norms!C88</f>
        <v>56.454999999999998</v>
      </c>
      <c r="D11" s="130">
        <f>Norms!D88</f>
        <v>56.454999999999998</v>
      </c>
      <c r="E11" s="130">
        <f>Norms!E88</f>
        <v>56.454999999999998</v>
      </c>
      <c r="F11" s="130">
        <f>Norms!F88</f>
        <v>56.454999999999998</v>
      </c>
      <c r="G11" s="130">
        <f>Norms!G88</f>
        <v>56.454999999999998</v>
      </c>
      <c r="H11" s="130">
        <f>Norms!H88</f>
        <v>56.454999999999998</v>
      </c>
      <c r="I11" s="130">
        <f>Norms!I88</f>
        <v>56.454999999999998</v>
      </c>
      <c r="J11" s="134">
        <f>Norms!J88</f>
        <v>56.454999999999998</v>
      </c>
    </row>
    <row r="12" spans="1:12" ht="17.100000000000001" customHeight="1">
      <c r="A12" s="889"/>
      <c r="B12" s="890"/>
      <c r="C12" s="890"/>
      <c r="D12" s="890"/>
      <c r="E12" s="890"/>
      <c r="F12" s="890"/>
      <c r="G12" s="890"/>
      <c r="H12" s="890"/>
      <c r="I12" s="890"/>
      <c r="J12" s="891"/>
    </row>
    <row r="13" spans="1:12" s="218" customFormat="1" ht="17.100000000000001" customHeight="1">
      <c r="A13" s="99" t="s">
        <v>163</v>
      </c>
      <c r="B13" s="131">
        <f t="shared" ref="B13:J13" si="2">SUM(B10:B11)</f>
        <v>42.341250000000002</v>
      </c>
      <c r="C13" s="131">
        <f t="shared" si="2"/>
        <v>97.384874999999994</v>
      </c>
      <c r="D13" s="131">
        <f t="shared" si="2"/>
        <v>91.739374999999995</v>
      </c>
      <c r="E13" s="131">
        <f t="shared" si="2"/>
        <v>86.093874999999997</v>
      </c>
      <c r="F13" s="131">
        <f t="shared" si="2"/>
        <v>80.448374999999984</v>
      </c>
      <c r="G13" s="131">
        <f t="shared" si="2"/>
        <v>78.334624999999988</v>
      </c>
      <c r="H13" s="131">
        <f t="shared" si="2"/>
        <v>75.511874999999989</v>
      </c>
      <c r="I13" s="131">
        <f t="shared" si="2"/>
        <v>72.68912499999999</v>
      </c>
      <c r="J13" s="135">
        <f t="shared" si="2"/>
        <v>69.866374999999991</v>
      </c>
      <c r="L13" s="219"/>
    </row>
    <row r="14" spans="1:12" ht="17.100000000000001" customHeight="1">
      <c r="A14" s="889"/>
      <c r="B14" s="890"/>
      <c r="C14" s="890"/>
      <c r="D14" s="890"/>
      <c r="E14" s="890"/>
      <c r="F14" s="890"/>
      <c r="G14" s="890"/>
      <c r="H14" s="890"/>
      <c r="I14" s="890"/>
      <c r="J14" s="891"/>
    </row>
    <row r="15" spans="1:12" s="218" customFormat="1" ht="17.100000000000001" customHeight="1">
      <c r="A15" s="132" t="s">
        <v>164</v>
      </c>
      <c r="B15" s="131">
        <f t="shared" ref="B15:J15" si="3">+B8/B13</f>
        <v>2.2618457054188812</v>
      </c>
      <c r="C15" s="131">
        <f t="shared" si="3"/>
        <v>1.1757902110166292</v>
      </c>
      <c r="D15" s="131">
        <f t="shared" si="3"/>
        <v>1.2131022991906382</v>
      </c>
      <c r="E15" s="131">
        <f t="shared" si="3"/>
        <v>1.191308050685949</v>
      </c>
      <c r="F15" s="131">
        <f t="shared" si="3"/>
        <v>1.1712382240019934</v>
      </c>
      <c r="G15" s="131">
        <f t="shared" si="3"/>
        <v>1.1384356668202709</v>
      </c>
      <c r="H15" s="131">
        <f t="shared" si="3"/>
        <v>1.1049207921785031</v>
      </c>
      <c r="I15" s="131">
        <f t="shared" si="3"/>
        <v>1.0673275132161271</v>
      </c>
      <c r="J15" s="135">
        <f t="shared" si="3"/>
        <v>1.0224097205831968</v>
      </c>
    </row>
    <row r="16" spans="1:12" ht="17.100000000000001" customHeight="1">
      <c r="A16" s="889"/>
      <c r="B16" s="890"/>
      <c r="C16" s="890"/>
      <c r="D16" s="890"/>
      <c r="E16" s="890"/>
      <c r="F16" s="890"/>
      <c r="G16" s="890"/>
      <c r="H16" s="890"/>
      <c r="I16" s="890"/>
      <c r="J16" s="891"/>
      <c r="K16" s="254"/>
    </row>
    <row r="17" spans="1:10" ht="17.100000000000001" customHeight="1">
      <c r="A17" s="136" t="s">
        <v>118</v>
      </c>
      <c r="B17" s="137">
        <f>SUM(B8:I8)/SUM(B13:I13)</f>
        <v>1.230575885967143</v>
      </c>
      <c r="C17" s="138"/>
      <c r="D17" s="138"/>
      <c r="E17" s="138"/>
      <c r="F17" s="138"/>
      <c r="G17" s="138"/>
      <c r="H17" s="138"/>
      <c r="I17" s="138"/>
      <c r="J17" s="139"/>
    </row>
    <row r="18" spans="1:10" ht="17.100000000000001" customHeight="1">
      <c r="A18" s="220"/>
      <c r="B18" s="220"/>
      <c r="C18" s="220"/>
      <c r="D18" s="220"/>
      <c r="E18" s="220"/>
      <c r="F18" s="220"/>
      <c r="G18" s="220"/>
      <c r="H18" s="220"/>
      <c r="I18" s="220"/>
      <c r="J18" s="220"/>
    </row>
    <row r="21" spans="1:10">
      <c r="B21" s="221"/>
      <c r="D21" s="222"/>
      <c r="E21" s="222"/>
      <c r="F21" s="222"/>
      <c r="G21" s="222"/>
      <c r="H21" s="222"/>
      <c r="I21" s="222"/>
      <c r="J21" s="222"/>
    </row>
    <row r="22" spans="1:10">
      <c r="D22" s="222"/>
      <c r="E22" s="222"/>
      <c r="F22" s="222"/>
      <c r="G22" s="222"/>
      <c r="H22" s="222"/>
      <c r="I22" s="222"/>
      <c r="J22" s="222"/>
    </row>
    <row r="23" spans="1:10">
      <c r="D23" s="222"/>
      <c r="E23" s="222"/>
      <c r="F23" s="222"/>
      <c r="G23" s="222"/>
      <c r="H23" s="222"/>
      <c r="I23" s="222"/>
      <c r="J23" s="222"/>
    </row>
    <row r="24" spans="1:10">
      <c r="D24" s="222"/>
      <c r="E24" s="222"/>
      <c r="F24" s="222"/>
      <c r="G24" s="222"/>
      <c r="H24" s="222"/>
      <c r="I24" s="222"/>
      <c r="J24" s="222"/>
    </row>
    <row r="25" spans="1:10">
      <c r="D25" s="222"/>
      <c r="E25" s="222"/>
      <c r="F25" s="222"/>
      <c r="G25" s="222"/>
      <c r="H25" s="222"/>
      <c r="I25" s="222"/>
      <c r="J25" s="222"/>
    </row>
    <row r="26" spans="1:10">
      <c r="D26" s="222"/>
      <c r="E26" s="222"/>
      <c r="F26" s="222"/>
      <c r="G26" s="222"/>
      <c r="H26" s="222"/>
      <c r="I26" s="222"/>
      <c r="J26" s="222"/>
    </row>
    <row r="27" spans="1:10">
      <c r="D27" s="222"/>
      <c r="E27" s="222"/>
      <c r="F27" s="222"/>
      <c r="G27" s="222"/>
      <c r="H27" s="222"/>
      <c r="I27" s="222"/>
      <c r="J27" s="222"/>
    </row>
    <row r="28" spans="1:10">
      <c r="D28" s="222"/>
      <c r="E28" s="222"/>
      <c r="F28" s="222"/>
      <c r="G28" s="222"/>
      <c r="H28" s="222"/>
      <c r="I28" s="222"/>
      <c r="J28" s="222"/>
    </row>
    <row r="29" spans="1:10">
      <c r="D29" s="222"/>
      <c r="E29" s="222"/>
      <c r="F29" s="222"/>
      <c r="G29" s="222"/>
      <c r="H29" s="222"/>
      <c r="I29" s="222"/>
      <c r="J29" s="222"/>
    </row>
    <row r="30" spans="1:10">
      <c r="D30" s="222"/>
      <c r="E30" s="222"/>
      <c r="F30" s="222"/>
      <c r="G30" s="222"/>
      <c r="H30" s="222"/>
      <c r="I30" s="222"/>
      <c r="J30" s="222"/>
    </row>
    <row r="31" spans="1:10">
      <c r="D31" s="222"/>
      <c r="E31" s="222"/>
      <c r="F31" s="222"/>
      <c r="G31" s="222"/>
      <c r="H31" s="222"/>
      <c r="I31" s="222"/>
      <c r="J31" s="222"/>
    </row>
    <row r="32" spans="1:10">
      <c r="D32" s="222"/>
      <c r="E32" s="222"/>
      <c r="F32" s="222"/>
      <c r="G32" s="222"/>
      <c r="H32" s="222"/>
      <c r="I32" s="222"/>
      <c r="J32" s="222"/>
    </row>
    <row r="33" spans="4:10">
      <c r="D33" s="222"/>
      <c r="E33" s="222"/>
      <c r="F33" s="222"/>
      <c r="G33" s="222"/>
      <c r="H33" s="222"/>
      <c r="I33" s="222"/>
      <c r="J33" s="222"/>
    </row>
    <row r="34" spans="4:10">
      <c r="D34" s="222"/>
      <c r="E34" s="222"/>
      <c r="F34" s="222"/>
      <c r="G34" s="222"/>
      <c r="H34" s="222"/>
      <c r="I34" s="222"/>
      <c r="J34" s="222"/>
    </row>
    <row r="35" spans="4:10">
      <c r="D35" s="222"/>
      <c r="E35" s="222"/>
      <c r="F35" s="222"/>
      <c r="G35" s="222"/>
      <c r="H35" s="222"/>
      <c r="I35" s="222"/>
      <c r="J35" s="222"/>
    </row>
    <row r="36" spans="4:10">
      <c r="D36" s="222"/>
      <c r="E36" s="222"/>
      <c r="F36" s="222"/>
      <c r="G36" s="222"/>
      <c r="H36" s="222"/>
      <c r="I36" s="222"/>
      <c r="J36" s="222"/>
    </row>
    <row r="37" spans="4:10">
      <c r="D37" s="222"/>
      <c r="E37" s="222"/>
      <c r="F37" s="222"/>
      <c r="G37" s="222"/>
      <c r="H37" s="222"/>
      <c r="I37" s="222"/>
      <c r="J37" s="222"/>
    </row>
    <row r="38" spans="4:10">
      <c r="D38" s="222"/>
      <c r="E38" s="222"/>
      <c r="F38" s="222"/>
      <c r="G38" s="222"/>
      <c r="H38" s="222"/>
      <c r="I38" s="222"/>
      <c r="J38" s="222"/>
    </row>
    <row r="39" spans="4:10">
      <c r="D39" s="222"/>
      <c r="E39" s="222"/>
      <c r="F39" s="222"/>
      <c r="G39" s="222"/>
      <c r="H39" s="222"/>
      <c r="I39" s="222"/>
      <c r="J39" s="222"/>
    </row>
  </sheetData>
  <mergeCells count="8">
    <mergeCell ref="A14:J14"/>
    <mergeCell ref="A16:J16"/>
    <mergeCell ref="A1:J1"/>
    <mergeCell ref="A2:J2"/>
    <mergeCell ref="A4:J4"/>
    <mergeCell ref="A7:J7"/>
    <mergeCell ref="A9:J9"/>
    <mergeCell ref="A12:J12"/>
  </mergeCells>
  <printOptions gridLines="1"/>
  <pageMargins left="0.75" right="0.75" top="1" bottom="1" header="0.5" footer="0.5"/>
  <pageSetup paperSize="9" scale="95"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3A89DF-BB95-480C-BDFA-0BE007097B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Raw Materials Requirement </vt:lpstr>
      <vt:lpstr>Basis</vt:lpstr>
      <vt:lpstr>Norms</vt:lpstr>
      <vt:lpstr>Capex</vt:lpstr>
      <vt:lpstr>Opex</vt:lpstr>
      <vt:lpstr>Cashflow </vt:lpstr>
      <vt:lpstr>IRR</vt:lpstr>
      <vt:lpstr>Reference Values</vt:lpstr>
      <vt:lpstr>Interest Cal.</vt:lpstr>
      <vt:lpstr>Bal sheet</vt:lpstr>
      <vt:lpstr>Depreciation</vt:lpstr>
      <vt:lpstr>Profitability</vt:lpstr>
      <vt:lpstr> Breakeven Point</vt:lpstr>
      <vt:lpstr>DSCR</vt:lpstr>
      <vt:lpstr>' Breakeven Point'!Print_Area</vt:lpstr>
      <vt:lpstr>DSCR!Print_Area</vt:lpstr>
      <vt:lpstr>IRR!Print_Area</vt:lpstr>
      <vt:lpstr>Profitability!Print_Area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L. Shukla</dc:creator>
  <cp:lastModifiedBy>Hardik Malhotra</cp:lastModifiedBy>
  <dcterms:created xsi:type="dcterms:W3CDTF">2021-10-29T09:15:20Z</dcterms:created>
  <dcterms:modified xsi:type="dcterms:W3CDTF">2022-09-30T12:46:48Z</dcterms:modified>
</cp:coreProperties>
</file>