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updateLinks="never" codeName="ThisWorkbook" defaultThemeVersion="166925"/>
  <mc:AlternateContent xmlns:mc="http://schemas.openxmlformats.org/markup-compatibility/2006">
    <mc:Choice Requires="x15">
      <x15ac:absPath xmlns:x15ac="http://schemas.microsoft.com/office/spreadsheetml/2010/11/ac" url="C:\Users\hardik.malhotra\Desktop\Desktop Data\Ammonium Nitrate\"/>
    </mc:Choice>
  </mc:AlternateContent>
  <xr:revisionPtr revIDLastSave="0" documentId="13_ncr:1_{6097D95D-428C-4A07-BC90-B13F09BDDEB6}" xr6:coauthVersionLast="47" xr6:coauthVersionMax="47" xr10:uidLastSave="{00000000-0000-0000-0000-000000000000}"/>
  <bookViews>
    <workbookView xWindow="-120" yWindow="-120" windowWidth="20730" windowHeight="11160" tabRatio="916" activeTab="6" xr2:uid="{00000000-000D-0000-FFFF-FFFF00000000}"/>
  </bookViews>
  <sheets>
    <sheet name="Raw Materials Requirement " sheetId="98" r:id="rId1"/>
    <sheet name="Basis" sheetId="102" r:id="rId2"/>
    <sheet name="Norms" sheetId="99" r:id="rId3"/>
    <sheet name="Reference Values" sheetId="101" r:id="rId4"/>
    <sheet name="Capex" sheetId="16" r:id="rId5"/>
    <sheet name="Opex" sheetId="13" r:id="rId6"/>
    <sheet name="Cashflow " sheetId="39" r:id="rId7"/>
    <sheet name="Profitability" sheetId="56" r:id="rId8"/>
    <sheet name=" Breakeven Point" sheetId="57" r:id="rId9"/>
    <sheet name="DSCR" sheetId="58" r:id="rId10"/>
  </sheets>
  <externalReferences>
    <externalReference r:id="rId11"/>
    <externalReference r:id="rId12"/>
    <externalReference r:id="rId13"/>
    <externalReference r:id="rId14"/>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8">' Breakeven Point'!$A$1:$B$16</definedName>
    <definedName name="_xlnm.Print_Area" localSheetId="9">DSCR!$A$1:$J$17</definedName>
    <definedName name="_xlnm.Print_Area" localSheetId="7">Profitability!$A$1:$K$17</definedName>
    <definedName name="product">#REF!</definedName>
    <definedName name="Product2">#REF!</definedName>
    <definedName name="product25">#REF!</definedName>
    <definedName name="quantity">[2]Terms!$C$1</definedName>
    <definedName name="rate">#REF!</definedName>
    <definedName name="ReportTitle1">#REF!</definedName>
    <definedName name="RowDetails1">#REF!</definedName>
    <definedName name="sencount" hidden="1">2</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98" l="1"/>
  <c r="C21" i="13"/>
  <c r="C4" i="13"/>
  <c r="H21" i="99"/>
  <c r="I21" i="99"/>
  <c r="J21" i="99"/>
  <c r="G21" i="99"/>
  <c r="H18" i="99"/>
  <c r="I18" i="99"/>
  <c r="J18" i="99"/>
  <c r="G18" i="99"/>
  <c r="H16" i="99"/>
  <c r="I16" i="99"/>
  <c r="J16" i="99"/>
  <c r="G16" i="99"/>
  <c r="H15" i="99"/>
  <c r="I15" i="99"/>
  <c r="J15" i="99"/>
  <c r="G15" i="99"/>
  <c r="C21" i="101"/>
  <c r="B19" i="56" l="1"/>
  <c r="F31" i="56"/>
  <c r="E31" i="56"/>
  <c r="D31" i="56"/>
  <c r="C31" i="56"/>
  <c r="B31" i="56"/>
  <c r="B11" i="58"/>
  <c r="B66" i="101"/>
  <c r="B67" i="101"/>
  <c r="B68" i="101"/>
  <c r="B69" i="101"/>
  <c r="B70" i="101"/>
  <c r="B65" i="101"/>
  <c r="D6" i="101"/>
  <c r="B21" i="13" s="1"/>
  <c r="D5" i="101"/>
  <c r="B22" i="13" s="1"/>
  <c r="D4" i="101"/>
  <c r="D3" i="101"/>
  <c r="B4" i="13" s="1"/>
  <c r="C60" i="101"/>
  <c r="C61" i="101" s="1"/>
  <c r="N12" i="39" s="1"/>
  <c r="C56" i="101"/>
  <c r="C57" i="101" s="1"/>
  <c r="E9" i="13" s="1"/>
  <c r="C13" i="101"/>
  <c r="C11" i="101"/>
  <c r="B89" i="101"/>
  <c r="H33" i="99"/>
  <c r="I33" i="99"/>
  <c r="J33" i="99"/>
  <c r="G33" i="99"/>
  <c r="H32" i="99"/>
  <c r="I32" i="99"/>
  <c r="J32" i="99"/>
  <c r="G32" i="99"/>
  <c r="C33" i="101" l="1"/>
  <c r="Q11" i="39"/>
  <c r="Y11" i="39"/>
  <c r="G12" i="39"/>
  <c r="L12" i="39"/>
  <c r="J12" i="39"/>
  <c r="C32" i="101"/>
  <c r="U12" i="39"/>
  <c r="T12" i="39"/>
  <c r="R12" i="39"/>
  <c r="E25" i="13"/>
  <c r="M12" i="39"/>
  <c r="I11" i="39"/>
  <c r="X11" i="39"/>
  <c r="P11" i="39"/>
  <c r="H11" i="39"/>
  <c r="S12" i="39"/>
  <c r="K12" i="39"/>
  <c r="O11" i="39"/>
  <c r="W11" i="39"/>
  <c r="E28" i="13"/>
  <c r="V11" i="39"/>
  <c r="N11" i="39"/>
  <c r="Y12" i="39"/>
  <c r="Q12" i="39"/>
  <c r="I12" i="39"/>
  <c r="E15" i="13"/>
  <c r="U11" i="39"/>
  <c r="M11" i="39"/>
  <c r="X12" i="39"/>
  <c r="P12" i="39"/>
  <c r="H12" i="39"/>
  <c r="T11" i="39"/>
  <c r="L11" i="39"/>
  <c r="W12" i="39"/>
  <c r="O12" i="39"/>
  <c r="S11" i="39"/>
  <c r="K11" i="39"/>
  <c r="V12" i="39"/>
  <c r="G11" i="39"/>
  <c r="R11" i="39"/>
  <c r="J11" i="39"/>
  <c r="B71" i="101"/>
  <c r="E6" i="13" s="1"/>
  <c r="E7" i="13" s="1"/>
  <c r="Q21" i="99" l="1"/>
  <c r="Q17" i="99"/>
  <c r="Q19" i="99"/>
  <c r="F23" i="13"/>
  <c r="G23" i="13" s="1"/>
  <c r="H23" i="13" s="1"/>
  <c r="I23" i="13" s="1"/>
  <c r="J23" i="13" s="1"/>
  <c r="K23" i="13" s="1"/>
  <c r="L23" i="13" s="1"/>
  <c r="M23" i="13" s="1"/>
  <c r="N23" i="13" s="1"/>
  <c r="O23" i="13" s="1"/>
  <c r="P23" i="13" s="1"/>
  <c r="Q23" i="13" s="1"/>
  <c r="R23" i="13" s="1"/>
  <c r="S23" i="13" s="1"/>
  <c r="T23" i="13" s="1"/>
  <c r="U23" i="13" s="1"/>
  <c r="V23" i="13" s="1"/>
  <c r="W23" i="13" s="1"/>
  <c r="X23" i="13" s="1"/>
  <c r="B60" i="99"/>
  <c r="H14" i="99"/>
  <c r="H31" i="99" s="1"/>
  <c r="I14" i="99"/>
  <c r="I31" i="99" s="1"/>
  <c r="J14" i="99"/>
  <c r="J31" i="99" s="1"/>
  <c r="G14" i="99"/>
  <c r="H22" i="99"/>
  <c r="I22" i="99"/>
  <c r="J22" i="99"/>
  <c r="G22" i="99"/>
  <c r="Q22" i="99"/>
  <c r="Q20" i="99"/>
  <c r="Q18" i="99"/>
  <c r="Q16" i="99"/>
  <c r="Q15" i="99"/>
  <c r="C19" i="16"/>
  <c r="C18" i="16" s="1"/>
  <c r="C15" i="101" l="1"/>
  <c r="C18" i="101"/>
  <c r="C16" i="101"/>
  <c r="C14" i="101"/>
  <c r="G31" i="99"/>
  <c r="C31" i="101" s="1"/>
  <c r="E5" i="13" s="1"/>
  <c r="E27" i="13"/>
  <c r="Y10" i="39"/>
  <c r="W40" i="101" s="1"/>
  <c r="W41" i="101" s="1"/>
  <c r="Q10" i="39"/>
  <c r="O40" i="101" s="1"/>
  <c r="O41" i="101" s="1"/>
  <c r="I10" i="39"/>
  <c r="G40" i="101" s="1"/>
  <c r="G41" i="101" s="1"/>
  <c r="X10" i="39"/>
  <c r="V40" i="101" s="1"/>
  <c r="V41" i="101" s="1"/>
  <c r="P10" i="39"/>
  <c r="N40" i="101" s="1"/>
  <c r="N41" i="101" s="1"/>
  <c r="H10" i="39"/>
  <c r="F40" i="101" s="1"/>
  <c r="F41" i="101" s="1"/>
  <c r="W10" i="39"/>
  <c r="U40" i="101" s="1"/>
  <c r="U41" i="101" s="1"/>
  <c r="V10" i="39"/>
  <c r="T40" i="101" s="1"/>
  <c r="T41" i="101" s="1"/>
  <c r="O10" i="39"/>
  <c r="M40" i="101" s="1"/>
  <c r="M41" i="101" s="1"/>
  <c r="U10" i="39"/>
  <c r="S40" i="101" s="1"/>
  <c r="S41" i="101" s="1"/>
  <c r="M10" i="39"/>
  <c r="K40" i="101" s="1"/>
  <c r="K41" i="101" s="1"/>
  <c r="L10" i="39"/>
  <c r="J40" i="101" s="1"/>
  <c r="J41" i="101" s="1"/>
  <c r="S10" i="39"/>
  <c r="Q40" i="101" s="1"/>
  <c r="Q41" i="101" s="1"/>
  <c r="K10" i="39"/>
  <c r="I40" i="101" s="1"/>
  <c r="I41" i="101" s="1"/>
  <c r="G10" i="39"/>
  <c r="E40" i="101" s="1"/>
  <c r="E41" i="101" s="1"/>
  <c r="J10" i="39"/>
  <c r="H40" i="101" s="1"/>
  <c r="H41" i="101" s="1"/>
  <c r="C2" i="56"/>
  <c r="D2" i="56"/>
  <c r="E2" i="56"/>
  <c r="F2" i="56"/>
  <c r="G2" i="56"/>
  <c r="H2" i="56"/>
  <c r="I2" i="56"/>
  <c r="J2" i="56"/>
  <c r="K2" i="56"/>
  <c r="B2" i="56"/>
  <c r="C22" i="101" l="1"/>
  <c r="E10" i="13" s="1"/>
  <c r="J5" i="56"/>
  <c r="N10" i="39"/>
  <c r="L40" i="101" s="1"/>
  <c r="L41" i="101" s="1"/>
  <c r="H5" i="56"/>
  <c r="B5" i="56"/>
  <c r="G5" i="56"/>
  <c r="C5" i="56"/>
  <c r="D5" i="56"/>
  <c r="R10" i="39"/>
  <c r="P40" i="101" s="1"/>
  <c r="P41" i="101" s="1"/>
  <c r="F5" i="56"/>
  <c r="T10" i="39"/>
  <c r="R40" i="101" s="1"/>
  <c r="R41" i="101" s="1"/>
  <c r="K5" i="56"/>
  <c r="E5" i="56"/>
  <c r="G16" i="39"/>
  <c r="G22" i="98" l="1"/>
  <c r="H22" i="98" s="1"/>
  <c r="I22" i="98" s="1"/>
  <c r="D22" i="98"/>
  <c r="B22" i="56"/>
  <c r="F22" i="56"/>
  <c r="D22" i="56"/>
  <c r="I5" i="56"/>
  <c r="E21" i="13"/>
  <c r="E4" i="13"/>
  <c r="G10" i="98"/>
  <c r="L6" i="98"/>
  <c r="K6" i="98"/>
  <c r="L3" i="98"/>
  <c r="K3" i="98"/>
  <c r="H1" i="98"/>
  <c r="H6" i="98"/>
  <c r="I6" i="98"/>
  <c r="H7" i="98"/>
  <c r="I7" i="98"/>
  <c r="F14" i="98"/>
  <c r="F15" i="98"/>
  <c r="E16" i="98"/>
  <c r="F16" i="98"/>
  <c r="E18" i="98"/>
  <c r="I23" i="98" l="1"/>
  <c r="J22" i="98"/>
  <c r="E22" i="56"/>
  <c r="C22" i="56"/>
  <c r="E3" i="13"/>
  <c r="E8" i="13" l="1"/>
  <c r="G28" i="39" l="1"/>
  <c r="F5" i="13" l="1"/>
  <c r="H16" i="39" s="1"/>
  <c r="B8" i="56" l="1"/>
  <c r="G5" i="13"/>
  <c r="I16" i="39" s="1"/>
  <c r="C8" i="56"/>
  <c r="D8" i="56" l="1"/>
  <c r="H5" i="13"/>
  <c r="J16" i="39" s="1"/>
  <c r="I5" i="13" l="1"/>
  <c r="K16" i="39" s="1"/>
  <c r="E8" i="56" l="1"/>
  <c r="F8" i="56"/>
  <c r="J5" i="13"/>
  <c r="L16" i="39" s="1"/>
  <c r="F25" i="56" l="1"/>
  <c r="D25" i="56"/>
  <c r="E25" i="56"/>
  <c r="C25" i="56"/>
  <c r="B25" i="56"/>
  <c r="K5" i="13"/>
  <c r="M16" i="39" s="1"/>
  <c r="G8" i="56"/>
  <c r="L5" i="13" l="1"/>
  <c r="N16" i="39" s="1"/>
  <c r="H8" i="56"/>
  <c r="M5" i="13" l="1"/>
  <c r="O16" i="39" s="1"/>
  <c r="I8" i="56"/>
  <c r="N5" i="13" l="1"/>
  <c r="P16" i="39" s="1"/>
  <c r="J8" i="56"/>
  <c r="O5" i="13" l="1"/>
  <c r="Q16" i="39" s="1"/>
  <c r="K8" i="56"/>
  <c r="P5" i="13" l="1"/>
  <c r="R16" i="39" s="1"/>
  <c r="Q5" i="13" l="1"/>
  <c r="S16" i="39" s="1"/>
  <c r="R5" i="13" l="1"/>
  <c r="T16" i="39" s="1"/>
  <c r="S5" i="13" l="1"/>
  <c r="U16" i="39" s="1"/>
  <c r="T5" i="13" l="1"/>
  <c r="V16" i="39" s="1"/>
  <c r="U5" i="13" l="1"/>
  <c r="W16" i="39" s="1"/>
  <c r="V5" i="13" l="1"/>
  <c r="X16" i="39" s="1"/>
  <c r="W5" i="13" l="1"/>
  <c r="Y16" i="39" s="1"/>
  <c r="X5" i="13" l="1"/>
  <c r="G49" i="39" l="1"/>
  <c r="H28" i="39"/>
  <c r="I28" i="39" s="1"/>
  <c r="J28" i="39" s="1"/>
  <c r="K28" i="39" s="1"/>
  <c r="L28" i="39" s="1"/>
  <c r="M28" i="39" s="1"/>
  <c r="N28" i="39" s="1"/>
  <c r="O28" i="39" s="1"/>
  <c r="P28" i="39" s="1"/>
  <c r="Q28" i="39" s="1"/>
  <c r="R28" i="39" s="1"/>
  <c r="S28" i="39" s="1"/>
  <c r="T28" i="39" s="1"/>
  <c r="U28" i="39" s="1"/>
  <c r="V28" i="39" s="1"/>
  <c r="W28" i="39" s="1"/>
  <c r="X28" i="39" s="1"/>
  <c r="Y28" i="39" s="1"/>
  <c r="H49" i="39" l="1"/>
  <c r="I49" i="39" l="1"/>
  <c r="F3" i="13"/>
  <c r="G3" i="13" l="1"/>
  <c r="J49" i="39"/>
  <c r="B3" i="57"/>
  <c r="B20" i="57" l="1"/>
  <c r="K49" i="39"/>
  <c r="H3" i="13"/>
  <c r="D20" i="57" l="1"/>
  <c r="E20" i="57"/>
  <c r="F20" i="57"/>
  <c r="C20" i="57"/>
  <c r="L49" i="39"/>
  <c r="I3" i="13"/>
  <c r="M49" i="39" l="1"/>
  <c r="J3" i="13"/>
  <c r="N49" i="39" l="1"/>
  <c r="K3" i="13"/>
  <c r="J17" i="39"/>
  <c r="N17" i="39"/>
  <c r="I9" i="56" s="1"/>
  <c r="R17" i="39"/>
  <c r="V17" i="39"/>
  <c r="G17" i="39"/>
  <c r="K17" i="39"/>
  <c r="F9" i="56" s="1"/>
  <c r="O17" i="39"/>
  <c r="J9" i="56" s="1"/>
  <c r="S17" i="39"/>
  <c r="W17" i="39"/>
  <c r="P17" i="39"/>
  <c r="K9" i="56" s="1"/>
  <c r="H17" i="39"/>
  <c r="C9" i="56" s="1"/>
  <c r="L17" i="39"/>
  <c r="G9" i="56" s="1"/>
  <c r="T17" i="39"/>
  <c r="X17" i="39"/>
  <c r="I17" i="39"/>
  <c r="D9" i="56" s="1"/>
  <c r="M17" i="39"/>
  <c r="H9" i="56" s="1"/>
  <c r="Q17" i="39"/>
  <c r="U17" i="39"/>
  <c r="Y17" i="39"/>
  <c r="O49" i="39" l="1"/>
  <c r="B9" i="56"/>
  <c r="L3" i="13"/>
  <c r="E9" i="56"/>
  <c r="B7" i="57"/>
  <c r="E26" i="56" l="1"/>
  <c r="F26" i="56"/>
  <c r="B26" i="56"/>
  <c r="C26" i="56"/>
  <c r="D26" i="56"/>
  <c r="B24" i="57"/>
  <c r="C24" i="57" s="1"/>
  <c r="D24" i="57" s="1"/>
  <c r="E24" i="57" s="1"/>
  <c r="F24" i="57" s="1"/>
  <c r="P49" i="39"/>
  <c r="Q49" i="39"/>
  <c r="M3" i="13"/>
  <c r="R49" i="39" l="1"/>
  <c r="N3" i="13"/>
  <c r="S49" i="39" l="1"/>
  <c r="O3" i="13"/>
  <c r="T49" i="39" l="1"/>
  <c r="P3" i="13"/>
  <c r="U49" i="39" l="1"/>
  <c r="Q3" i="13"/>
  <c r="V49" i="39" l="1"/>
  <c r="R3" i="13"/>
  <c r="W49" i="39" l="1"/>
  <c r="S3" i="13"/>
  <c r="X49" i="39" l="1"/>
  <c r="T3" i="13"/>
  <c r="Y49" i="39" l="1"/>
  <c r="U3" i="13"/>
  <c r="V3" i="13" l="1"/>
  <c r="W3" i="13" l="1"/>
  <c r="X3" i="13" l="1"/>
  <c r="C17" i="16" l="1"/>
  <c r="D4" i="16"/>
  <c r="D3" i="16" l="1"/>
  <c r="D15" i="16" s="1"/>
  <c r="B78" i="101" l="1"/>
  <c r="E12" i="13"/>
  <c r="E13" i="13" s="1"/>
  <c r="F8" i="39"/>
  <c r="E16" i="13"/>
  <c r="E14" i="13" s="1"/>
  <c r="B77" i="101" l="1"/>
  <c r="B85" i="101" s="1"/>
  <c r="B76" i="101"/>
  <c r="B14" i="57"/>
  <c r="B31" i="57" s="1"/>
  <c r="C31" i="57" s="1"/>
  <c r="H20" i="39"/>
  <c r="C12" i="56" s="1"/>
  <c r="P20" i="39"/>
  <c r="K12" i="56" s="1"/>
  <c r="X20" i="39"/>
  <c r="Q20" i="39"/>
  <c r="Y20" i="39"/>
  <c r="I20" i="39"/>
  <c r="J20" i="39"/>
  <c r="R20" i="39"/>
  <c r="G20" i="39"/>
  <c r="U20" i="39"/>
  <c r="K20" i="39"/>
  <c r="F12" i="56" s="1"/>
  <c r="S20" i="39"/>
  <c r="L20" i="39"/>
  <c r="G12" i="56" s="1"/>
  <c r="T20" i="39"/>
  <c r="M20" i="39"/>
  <c r="H12" i="56" s="1"/>
  <c r="N20" i="39"/>
  <c r="I12" i="56" s="1"/>
  <c r="V20" i="39"/>
  <c r="O20" i="39"/>
  <c r="J12" i="56" s="1"/>
  <c r="W20" i="39"/>
  <c r="G14" i="56"/>
  <c r="D8" i="39"/>
  <c r="H14" i="56"/>
  <c r="F14" i="56"/>
  <c r="E8" i="39"/>
  <c r="K14" i="56"/>
  <c r="E14" i="56"/>
  <c r="F9" i="39"/>
  <c r="I14" i="56"/>
  <c r="D14" i="56"/>
  <c r="B14" i="56"/>
  <c r="J14" i="56"/>
  <c r="C14" i="56"/>
  <c r="C8" i="39"/>
  <c r="E11" i="13"/>
  <c r="E2" i="13" s="1"/>
  <c r="D31" i="57" l="1"/>
  <c r="F31" i="57" s="1"/>
  <c r="E31" i="57"/>
  <c r="B90" i="101"/>
  <c r="B91" i="101" s="1"/>
  <c r="B92" i="101" s="1"/>
  <c r="I88" i="101"/>
  <c r="D88" i="101"/>
  <c r="C88" i="101"/>
  <c r="H87" i="101"/>
  <c r="D87" i="101"/>
  <c r="F88" i="101"/>
  <c r="C87" i="101"/>
  <c r="G88" i="101"/>
  <c r="G87" i="101"/>
  <c r="I87" i="101"/>
  <c r="F87" i="101"/>
  <c r="C85" i="101"/>
  <c r="H88" i="101"/>
  <c r="E88" i="101"/>
  <c r="J88" i="101"/>
  <c r="E87" i="101"/>
  <c r="J87" i="101"/>
  <c r="B12" i="56"/>
  <c r="D12" i="56"/>
  <c r="E17" i="13"/>
  <c r="C22" i="13" s="1"/>
  <c r="U19" i="39"/>
  <c r="Y19" i="39"/>
  <c r="L19" i="39"/>
  <c r="T19" i="39"/>
  <c r="X19" i="39"/>
  <c r="M19" i="39"/>
  <c r="N19" i="39"/>
  <c r="S19" i="39"/>
  <c r="Q19" i="39"/>
  <c r="R19" i="39"/>
  <c r="W19" i="39"/>
  <c r="H19" i="39"/>
  <c r="V19" i="39"/>
  <c r="K19" i="39"/>
  <c r="P19" i="39"/>
  <c r="I19" i="39"/>
  <c r="J19" i="39"/>
  <c r="O19" i="39"/>
  <c r="G19" i="39"/>
  <c r="E9" i="39"/>
  <c r="E26" i="39"/>
  <c r="E12" i="56"/>
  <c r="B8" i="57"/>
  <c r="B25" i="57" s="1"/>
  <c r="C25" i="57" s="1"/>
  <c r="D25" i="57" s="1"/>
  <c r="E25" i="57" s="1"/>
  <c r="F25" i="57" s="1"/>
  <c r="D9" i="39"/>
  <c r="D26" i="39"/>
  <c r="C9" i="39"/>
  <c r="C26" i="39"/>
  <c r="C29" i="56" l="1"/>
  <c r="D29" i="56"/>
  <c r="E29" i="56"/>
  <c r="F29" i="56"/>
  <c r="B29" i="56"/>
  <c r="G89" i="101"/>
  <c r="G11" i="58" s="1"/>
  <c r="I89" i="101"/>
  <c r="I11" i="58" s="1"/>
  <c r="D89" i="101"/>
  <c r="D11" i="58" s="1"/>
  <c r="B6" i="58"/>
  <c r="B13" i="57"/>
  <c r="B30" i="57" s="1"/>
  <c r="C30" i="57" s="1"/>
  <c r="D30" i="57" s="1"/>
  <c r="E30" i="57" s="1"/>
  <c r="F30" i="57" s="1"/>
  <c r="C89" i="101"/>
  <c r="C11" i="58" s="1"/>
  <c r="C90" i="101"/>
  <c r="C86" i="101"/>
  <c r="H89" i="101"/>
  <c r="H11" i="58" s="1"/>
  <c r="F89" i="101"/>
  <c r="F11" i="58" s="1"/>
  <c r="J89" i="101"/>
  <c r="J11" i="58" s="1"/>
  <c r="E89" i="101"/>
  <c r="E11" i="58" s="1"/>
  <c r="E22" i="13"/>
  <c r="E20" i="13" s="1"/>
  <c r="G15" i="39" s="1"/>
  <c r="H12" i="99"/>
  <c r="I12" i="99"/>
  <c r="J12" i="99"/>
  <c r="G12" i="99"/>
  <c r="B11" i="56"/>
  <c r="J11" i="56"/>
  <c r="G11" i="56"/>
  <c r="E11" i="56"/>
  <c r="B12" i="57"/>
  <c r="B29" i="57" s="1"/>
  <c r="D11" i="56"/>
  <c r="C11" i="56"/>
  <c r="K11" i="56"/>
  <c r="F11" i="56"/>
  <c r="I11" i="56"/>
  <c r="H11" i="56"/>
  <c r="C27" i="101" l="1"/>
  <c r="G26" i="99"/>
  <c r="G23" i="99"/>
  <c r="G30" i="99" s="1"/>
  <c r="G27" i="99"/>
  <c r="G24" i="99"/>
  <c r="I27" i="99"/>
  <c r="I24" i="99"/>
  <c r="I26" i="99"/>
  <c r="I23" i="99"/>
  <c r="I30" i="99" s="1"/>
  <c r="J26" i="99"/>
  <c r="J23" i="99"/>
  <c r="J30" i="99" s="1"/>
  <c r="J27" i="99"/>
  <c r="J24" i="99"/>
  <c r="H27" i="99"/>
  <c r="H24" i="99"/>
  <c r="H23" i="99"/>
  <c r="H30" i="99" s="1"/>
  <c r="H26" i="99"/>
  <c r="D28" i="56"/>
  <c r="E28" i="56"/>
  <c r="F28" i="56"/>
  <c r="B28" i="56"/>
  <c r="C28" i="56"/>
  <c r="C29" i="57"/>
  <c r="B32" i="57"/>
  <c r="C12" i="101"/>
  <c r="C91" i="101"/>
  <c r="C92" i="101" s="1"/>
  <c r="C6" i="58" s="1"/>
  <c r="C10" i="58" s="1"/>
  <c r="C13" i="58" s="1"/>
  <c r="D85" i="101"/>
  <c r="B7" i="56"/>
  <c r="F20" i="13"/>
  <c r="B10" i="58"/>
  <c r="B13" i="58" s="1"/>
  <c r="C24" i="101" l="1"/>
  <c r="D29" i="57"/>
  <c r="C32" i="57"/>
  <c r="C23" i="101"/>
  <c r="C26" i="101"/>
  <c r="D90" i="101"/>
  <c r="D86" i="101"/>
  <c r="G20" i="13"/>
  <c r="H15" i="39"/>
  <c r="B15" i="57"/>
  <c r="E29" i="57" l="1"/>
  <c r="D32" i="57"/>
  <c r="E85" i="101"/>
  <c r="D91" i="101"/>
  <c r="D92" i="101" s="1"/>
  <c r="D6" i="58" s="1"/>
  <c r="C7" i="56"/>
  <c r="H20" i="13"/>
  <c r="I15" i="39"/>
  <c r="F29" i="57" l="1"/>
  <c r="F32" i="57" s="1"/>
  <c r="E32" i="57"/>
  <c r="E86" i="101"/>
  <c r="E90" i="101"/>
  <c r="D7" i="56"/>
  <c r="I20" i="13"/>
  <c r="J15" i="39"/>
  <c r="D10" i="58"/>
  <c r="D13" i="58" s="1"/>
  <c r="F85" i="101" l="1"/>
  <c r="E91" i="101"/>
  <c r="E92" i="101" s="1"/>
  <c r="E6" i="58" s="1"/>
  <c r="E7" i="56"/>
  <c r="B5" i="57"/>
  <c r="B22" i="57" s="1"/>
  <c r="J20" i="13"/>
  <c r="K15" i="39"/>
  <c r="F24" i="56" l="1"/>
  <c r="B24" i="56"/>
  <c r="C24" i="56"/>
  <c r="C22" i="57"/>
  <c r="F22" i="57"/>
  <c r="E22" i="57"/>
  <c r="F86" i="101"/>
  <c r="F90" i="101"/>
  <c r="F7" i="56"/>
  <c r="K20" i="13"/>
  <c r="L15" i="39"/>
  <c r="E10" i="58"/>
  <c r="E13" i="58" s="1"/>
  <c r="E24" i="56" l="1"/>
  <c r="D24" i="56"/>
  <c r="D22" i="57"/>
  <c r="F91" i="101"/>
  <c r="F92" i="101" s="1"/>
  <c r="F6" i="58" s="1"/>
  <c r="G85" i="101"/>
  <c r="G7" i="56"/>
  <c r="L20" i="13"/>
  <c r="M15" i="39"/>
  <c r="G86" i="101" l="1"/>
  <c r="G90" i="101"/>
  <c r="G92" i="101" s="1"/>
  <c r="G6" i="58" s="1"/>
  <c r="H7" i="56"/>
  <c r="M20" i="13"/>
  <c r="N15" i="39"/>
  <c r="F10" i="58"/>
  <c r="F13" i="58" s="1"/>
  <c r="G91" i="101" l="1"/>
  <c r="H85" i="101"/>
  <c r="N20" i="13"/>
  <c r="O15" i="39"/>
  <c r="I7" i="56"/>
  <c r="G10" i="58"/>
  <c r="G13" i="58" s="1"/>
  <c r="H90" i="101" l="1"/>
  <c r="H92" i="101" s="1"/>
  <c r="H6" i="58" s="1"/>
  <c r="H86" i="101"/>
  <c r="J7" i="56"/>
  <c r="O20" i="13"/>
  <c r="P15" i="39"/>
  <c r="H91" i="101" l="1"/>
  <c r="I85" i="101"/>
  <c r="K7" i="56"/>
  <c r="P20" i="13"/>
  <c r="Q15" i="39"/>
  <c r="H10" i="58"/>
  <c r="H13" i="58" s="1"/>
  <c r="I90" i="101" l="1"/>
  <c r="I92" i="101" s="1"/>
  <c r="I6" i="58" s="1"/>
  <c r="I86" i="101"/>
  <c r="Q20" i="13"/>
  <c r="R15" i="39"/>
  <c r="I91" i="101" l="1"/>
  <c r="J85" i="101"/>
  <c r="R20" i="13"/>
  <c r="S15" i="39"/>
  <c r="I10" i="58"/>
  <c r="I13" i="58" s="1"/>
  <c r="J90" i="101" l="1"/>
  <c r="J92" i="101" s="1"/>
  <c r="J6" i="58" s="1"/>
  <c r="J86" i="101"/>
  <c r="J91" i="101" s="1"/>
  <c r="S20" i="13"/>
  <c r="T15" i="39"/>
  <c r="T20" i="13" l="1"/>
  <c r="U15" i="39"/>
  <c r="J10" i="58"/>
  <c r="J13" i="58" s="1"/>
  <c r="U20" i="13" l="1"/>
  <c r="V15" i="39"/>
  <c r="V20" i="13" l="1"/>
  <c r="W15" i="39"/>
  <c r="W20" i="13" l="1"/>
  <c r="X15" i="39"/>
  <c r="X20" i="13" l="1"/>
  <c r="Y15" i="39"/>
  <c r="C30" i="101" l="1"/>
  <c r="E26" i="13" s="1"/>
  <c r="E24" i="13" l="1"/>
  <c r="R18" i="39" l="1"/>
  <c r="R21" i="39" s="1"/>
  <c r="P45" i="101" s="1"/>
  <c r="G18" i="39"/>
  <c r="G21" i="39" s="1"/>
  <c r="E45" i="101" s="1"/>
  <c r="K18" i="39"/>
  <c r="F10" i="56" s="1"/>
  <c r="F6" i="56" s="1"/>
  <c r="F13" i="56" s="1"/>
  <c r="F15" i="56" s="1"/>
  <c r="S18" i="39"/>
  <c r="S21" i="39" s="1"/>
  <c r="Q45" i="101" s="1"/>
  <c r="T18" i="39"/>
  <c r="T21" i="39" s="1"/>
  <c r="R45" i="101" s="1"/>
  <c r="I18" i="39"/>
  <c r="D10" i="56" s="1"/>
  <c r="D6" i="56" s="1"/>
  <c r="D13" i="56" s="1"/>
  <c r="D15" i="56" s="1"/>
  <c r="H18" i="39"/>
  <c r="H21" i="39" s="1"/>
  <c r="F45" i="101" s="1"/>
  <c r="J18" i="39"/>
  <c r="Y18" i="39"/>
  <c r="Y21" i="39" s="1"/>
  <c r="W45" i="101" s="1"/>
  <c r="M18" i="39"/>
  <c r="M21" i="39" s="1"/>
  <c r="K45" i="101" s="1"/>
  <c r="P18" i="39"/>
  <c r="P21" i="39" s="1"/>
  <c r="N45" i="101" s="1"/>
  <c r="L18" i="39"/>
  <c r="L21" i="39" s="1"/>
  <c r="J45" i="101" s="1"/>
  <c r="E19" i="13"/>
  <c r="E29" i="13" s="1"/>
  <c r="U18" i="39"/>
  <c r="U21" i="39" s="1"/>
  <c r="S45" i="101" s="1"/>
  <c r="X18" i="39"/>
  <c r="X21" i="39" s="1"/>
  <c r="V45" i="101" s="1"/>
  <c r="O18" i="39"/>
  <c r="J10" i="56" s="1"/>
  <c r="J6" i="56" s="1"/>
  <c r="J13" i="56" s="1"/>
  <c r="J15" i="56" s="1"/>
  <c r="N18" i="39"/>
  <c r="I10" i="56" s="1"/>
  <c r="I6" i="56" s="1"/>
  <c r="I13" i="56" s="1"/>
  <c r="I15" i="56" s="1"/>
  <c r="Q18" i="39"/>
  <c r="Q21" i="39" s="1"/>
  <c r="O45" i="101" s="1"/>
  <c r="V18" i="39"/>
  <c r="V21" i="39" s="1"/>
  <c r="T45" i="101" s="1"/>
  <c r="W18" i="39"/>
  <c r="W21" i="39" s="1"/>
  <c r="U45" i="101" s="1"/>
  <c r="K21" i="39"/>
  <c r="I45" i="101" s="1"/>
  <c r="K10" i="56" l="1"/>
  <c r="K6" i="56" s="1"/>
  <c r="K13" i="56" s="1"/>
  <c r="K15" i="56" s="1"/>
  <c r="R50" i="39"/>
  <c r="R51" i="39" s="1"/>
  <c r="R23" i="39"/>
  <c r="R25" i="39" s="1"/>
  <c r="Y50" i="39"/>
  <c r="Y51" i="39" s="1"/>
  <c r="V50" i="39"/>
  <c r="V51" i="39" s="1"/>
  <c r="G10" i="56"/>
  <c r="G6" i="56" s="1"/>
  <c r="G13" i="56" s="1"/>
  <c r="G15" i="56" s="1"/>
  <c r="G16" i="56" s="1"/>
  <c r="G17" i="56" s="1"/>
  <c r="G5" i="58" s="1"/>
  <c r="G8" i="58" s="1"/>
  <c r="G15" i="58" s="1"/>
  <c r="V23" i="39"/>
  <c r="V25" i="39" s="1"/>
  <c r="N21" i="39"/>
  <c r="L45" i="101" s="1"/>
  <c r="L46" i="101" s="1"/>
  <c r="T50" i="39"/>
  <c r="T51" i="39" s="1"/>
  <c r="B10" i="56"/>
  <c r="B6" i="56" s="1"/>
  <c r="B13" i="56" s="1"/>
  <c r="B15" i="56" s="1"/>
  <c r="B16" i="56" s="1"/>
  <c r="B17" i="56" s="1"/>
  <c r="B5" i="58" s="1"/>
  <c r="B8" i="58" s="1"/>
  <c r="B15" i="58" s="1"/>
  <c r="Y23" i="39"/>
  <c r="Y25" i="39" s="1"/>
  <c r="H10" i="56"/>
  <c r="H6" i="56" s="1"/>
  <c r="H13" i="56" s="1"/>
  <c r="H15" i="56" s="1"/>
  <c r="H16" i="56" s="1"/>
  <c r="H17" i="56" s="1"/>
  <c r="H5" i="58" s="1"/>
  <c r="H8" i="58" s="1"/>
  <c r="H15" i="58" s="1"/>
  <c r="J16" i="56"/>
  <c r="J17" i="56" s="1"/>
  <c r="J5" i="58" s="1"/>
  <c r="J8" i="58" s="1"/>
  <c r="J15" i="58" s="1"/>
  <c r="F16" i="56"/>
  <c r="F17" i="56" s="1"/>
  <c r="F5" i="58" s="1"/>
  <c r="F8" i="58" s="1"/>
  <c r="F15" i="58" s="1"/>
  <c r="I16" i="56"/>
  <c r="I17" i="56" s="1"/>
  <c r="I5" i="58" s="1"/>
  <c r="I8" i="58" s="1"/>
  <c r="I15" i="58" s="1"/>
  <c r="K16" i="56"/>
  <c r="K17" i="56" s="1"/>
  <c r="D16" i="56"/>
  <c r="D17" i="56" s="1"/>
  <c r="D5" i="58" s="1"/>
  <c r="D8" i="58" s="1"/>
  <c r="D15" i="58" s="1"/>
  <c r="Q23" i="39"/>
  <c r="Q25" i="39" s="1"/>
  <c r="Q50" i="39"/>
  <c r="Q51" i="39" s="1"/>
  <c r="S50" i="101"/>
  <c r="S51" i="101" s="1"/>
  <c r="S46" i="101"/>
  <c r="R50" i="101"/>
  <c r="R51" i="101" s="1"/>
  <c r="R46" i="101"/>
  <c r="N50" i="101"/>
  <c r="N51" i="101" s="1"/>
  <c r="N46" i="101"/>
  <c r="J50" i="101"/>
  <c r="J51" i="101" s="1"/>
  <c r="J46" i="101"/>
  <c r="Q50" i="101"/>
  <c r="Q51" i="101" s="1"/>
  <c r="Q46" i="101"/>
  <c r="E46" i="101"/>
  <c r="E50" i="101"/>
  <c r="E51" i="101" s="1"/>
  <c r="T46" i="101"/>
  <c r="T50" i="101"/>
  <c r="T51" i="101" s="1"/>
  <c r="K50" i="101"/>
  <c r="K51" i="101" s="1"/>
  <c r="K46" i="101"/>
  <c r="I50" i="101"/>
  <c r="I51" i="101" s="1"/>
  <c r="I46" i="101"/>
  <c r="F50" i="101"/>
  <c r="F51" i="101" s="1"/>
  <c r="F46" i="101"/>
  <c r="U46" i="101"/>
  <c r="U50" i="101"/>
  <c r="U51" i="101" s="1"/>
  <c r="O50" i="101"/>
  <c r="O51" i="101" s="1"/>
  <c r="O46" i="101"/>
  <c r="V50" i="101"/>
  <c r="V51" i="101" s="1"/>
  <c r="V46" i="101"/>
  <c r="W50" i="101"/>
  <c r="W51" i="101" s="1"/>
  <c r="W46" i="101"/>
  <c r="P46" i="101"/>
  <c r="P50" i="101"/>
  <c r="P51" i="101" s="1"/>
  <c r="X23" i="39"/>
  <c r="X25" i="39" s="1"/>
  <c r="U23" i="39"/>
  <c r="U25" i="39" s="1"/>
  <c r="T23" i="39"/>
  <c r="T25" i="39" s="1"/>
  <c r="W50" i="39"/>
  <c r="W51" i="39" s="1"/>
  <c r="S23" i="39"/>
  <c r="S25" i="39" s="1"/>
  <c r="S50" i="39"/>
  <c r="S51" i="39" s="1"/>
  <c r="U50" i="39"/>
  <c r="U51" i="39" s="1"/>
  <c r="W23" i="39"/>
  <c r="C10" i="56"/>
  <c r="C6" i="56" s="1"/>
  <c r="C13" i="56" s="1"/>
  <c r="C15" i="56" s="1"/>
  <c r="X50" i="39"/>
  <c r="X51" i="39" s="1"/>
  <c r="I21" i="39"/>
  <c r="G45" i="101" s="1"/>
  <c r="J21" i="39"/>
  <c r="H45" i="101" s="1"/>
  <c r="E10" i="56"/>
  <c r="O21" i="39"/>
  <c r="M45" i="101" s="1"/>
  <c r="B6" i="57"/>
  <c r="K50" i="39"/>
  <c r="K51" i="39" s="1"/>
  <c r="K23" i="39"/>
  <c r="K25" i="39" s="1"/>
  <c r="M50" i="39"/>
  <c r="M51" i="39" s="1"/>
  <c r="M23" i="39"/>
  <c r="M25" i="39" s="1"/>
  <c r="P50" i="39"/>
  <c r="P51" i="39" s="1"/>
  <c r="P23" i="39"/>
  <c r="P25" i="39" s="1"/>
  <c r="L23" i="39"/>
  <c r="L25" i="39" s="1"/>
  <c r="L50" i="39"/>
  <c r="L51" i="39" s="1"/>
  <c r="H23" i="39"/>
  <c r="H25" i="39" s="1"/>
  <c r="H50" i="39"/>
  <c r="H51" i="39" s="1"/>
  <c r="G50" i="39"/>
  <c r="G51" i="39" s="1"/>
  <c r="G23" i="39"/>
  <c r="G25" i="39" s="1"/>
  <c r="R24" i="39" l="1"/>
  <c r="R26" i="39"/>
  <c r="N23" i="39"/>
  <c r="N25" i="39" s="1"/>
  <c r="N50" i="39"/>
  <c r="N51" i="39" s="1"/>
  <c r="L50" i="101"/>
  <c r="L51" i="101" s="1"/>
  <c r="Q24" i="39"/>
  <c r="V26" i="39"/>
  <c r="V30" i="39" s="1"/>
  <c r="V24" i="39"/>
  <c r="Y24" i="39"/>
  <c r="Y26" i="39"/>
  <c r="Y30" i="39" s="1"/>
  <c r="Q26" i="39"/>
  <c r="Q30" i="39" s="1"/>
  <c r="T26" i="39"/>
  <c r="T29" i="39" s="1"/>
  <c r="T24" i="39"/>
  <c r="U24" i="39"/>
  <c r="U26" i="39"/>
  <c r="U30" i="39" s="1"/>
  <c r="E6" i="56"/>
  <c r="E13" i="56" s="1"/>
  <c r="E15" i="56" s="1"/>
  <c r="F27" i="56"/>
  <c r="B27" i="56"/>
  <c r="B23" i="56" s="1"/>
  <c r="C27" i="56"/>
  <c r="C23" i="56" s="1"/>
  <c r="C30" i="56" s="1"/>
  <c r="C32" i="56" s="1"/>
  <c r="D27" i="56"/>
  <c r="D23" i="56" s="1"/>
  <c r="D30" i="56" s="1"/>
  <c r="D32" i="56" s="1"/>
  <c r="E27" i="56"/>
  <c r="E23" i="56" s="1"/>
  <c r="E30" i="56" s="1"/>
  <c r="E32" i="56" s="1"/>
  <c r="C16" i="56"/>
  <c r="C17" i="56" s="1"/>
  <c r="C5" i="58" s="1"/>
  <c r="C8" i="58" s="1"/>
  <c r="B23" i="57"/>
  <c r="X24" i="39"/>
  <c r="X26" i="39"/>
  <c r="X30" i="39" s="1"/>
  <c r="S26" i="39"/>
  <c r="S30" i="39" s="1"/>
  <c r="S24" i="39"/>
  <c r="W24" i="39"/>
  <c r="W25" i="39"/>
  <c r="W26" i="39"/>
  <c r="W30" i="39" s="1"/>
  <c r="H46" i="101"/>
  <c r="H50" i="101"/>
  <c r="H51" i="101" s="1"/>
  <c r="G50" i="101"/>
  <c r="G51" i="101" s="1"/>
  <c r="G46" i="101"/>
  <c r="B9" i="57"/>
  <c r="B10" i="57" s="1"/>
  <c r="B16" i="57" s="1"/>
  <c r="M46" i="101"/>
  <c r="M50" i="101"/>
  <c r="M51" i="101" s="1"/>
  <c r="F16" i="39"/>
  <c r="O23" i="39"/>
  <c r="O25" i="39" s="1"/>
  <c r="J23" i="39"/>
  <c r="J25" i="39" s="1"/>
  <c r="J50" i="39"/>
  <c r="J51" i="39" s="1"/>
  <c r="I50" i="39"/>
  <c r="I51" i="39" s="1"/>
  <c r="F17" i="39"/>
  <c r="F15" i="39"/>
  <c r="F20" i="39"/>
  <c r="F18" i="39"/>
  <c r="I23" i="39"/>
  <c r="F19" i="39"/>
  <c r="O50" i="39"/>
  <c r="O51" i="39" s="1"/>
  <c r="K24" i="39"/>
  <c r="K26" i="39"/>
  <c r="G24" i="39"/>
  <c r="G26" i="39"/>
  <c r="T30" i="39"/>
  <c r="H26" i="39"/>
  <c r="H24" i="39"/>
  <c r="L26" i="39"/>
  <c r="L24" i="39"/>
  <c r="R29" i="39"/>
  <c r="R30" i="39"/>
  <c r="M24" i="39"/>
  <c r="M26" i="39"/>
  <c r="P24" i="39"/>
  <c r="P26" i="39"/>
  <c r="N26" i="39" l="1"/>
  <c r="N24" i="39"/>
  <c r="Y29" i="39"/>
  <c r="Q29" i="39"/>
  <c r="S29" i="39"/>
  <c r="V29" i="39"/>
  <c r="U29" i="39"/>
  <c r="W29" i="39"/>
  <c r="X29" i="39"/>
  <c r="C15" i="58"/>
  <c r="E33" i="56"/>
  <c r="E34" i="56" s="1"/>
  <c r="C41" i="56" s="1"/>
  <c r="D33" i="56"/>
  <c r="D34" i="56" s="1"/>
  <c r="C40" i="56" s="1"/>
  <c r="C33" i="56"/>
  <c r="C34" i="56" s="1"/>
  <c r="C39" i="56" s="1"/>
  <c r="F23" i="56"/>
  <c r="F30" i="56" s="1"/>
  <c r="F32" i="56" s="1"/>
  <c r="B30" i="56"/>
  <c r="B32" i="56" s="1"/>
  <c r="B33" i="56" s="1"/>
  <c r="B34" i="56" s="1"/>
  <c r="C37" i="56" s="1"/>
  <c r="E16" i="56"/>
  <c r="E17" i="56" s="1"/>
  <c r="E5" i="58" s="1"/>
  <c r="E8" i="58" s="1"/>
  <c r="C23" i="57"/>
  <c r="B26" i="57"/>
  <c r="B27" i="57" s="1"/>
  <c r="B33" i="57" s="1"/>
  <c r="C36" i="57" s="1"/>
  <c r="O24" i="39"/>
  <c r="O26" i="39"/>
  <c r="O29" i="39" s="1"/>
  <c r="I26" i="39"/>
  <c r="I29" i="39" s="1"/>
  <c r="I25" i="39"/>
  <c r="J24" i="39"/>
  <c r="I24" i="39"/>
  <c r="J26" i="39"/>
  <c r="H30" i="39"/>
  <c r="H29" i="39"/>
  <c r="N30" i="39"/>
  <c r="N29" i="39"/>
  <c r="K29" i="39"/>
  <c r="K30" i="39"/>
  <c r="P30" i="39"/>
  <c r="P29" i="39"/>
  <c r="M30" i="39"/>
  <c r="M29" i="39"/>
  <c r="L30" i="39"/>
  <c r="L29" i="39"/>
  <c r="G29" i="39"/>
  <c r="G30" i="39"/>
  <c r="G31" i="39"/>
  <c r="D39" i="56" l="1"/>
  <c r="D40" i="56"/>
  <c r="E15" i="58"/>
  <c r="B17" i="58"/>
  <c r="D41" i="56"/>
  <c r="F33" i="56"/>
  <c r="F34" i="56" s="1"/>
  <c r="C42" i="56" s="1"/>
  <c r="D42" i="56" s="1"/>
  <c r="D23" i="57"/>
  <c r="C26" i="57"/>
  <c r="C27" i="57" s="1"/>
  <c r="C33" i="57" s="1"/>
  <c r="C38" i="57" s="1"/>
  <c r="J30" i="39"/>
  <c r="F35" i="39"/>
  <c r="O30" i="39"/>
  <c r="J29" i="39"/>
  <c r="I30" i="39"/>
  <c r="F34" i="39"/>
  <c r="G39" i="39"/>
  <c r="G41" i="39" s="1"/>
  <c r="H31" i="39"/>
  <c r="G40" i="39"/>
  <c r="G42" i="39" s="1"/>
  <c r="E23" i="57" l="1"/>
  <c r="D26" i="57"/>
  <c r="D27" i="57" s="1"/>
  <c r="D33" i="57" s="1"/>
  <c r="C39" i="57" s="1"/>
  <c r="H40" i="39"/>
  <c r="H42" i="39" s="1"/>
  <c r="H39" i="39"/>
  <c r="H41" i="39" s="1"/>
  <c r="I31" i="39"/>
  <c r="F23" i="57" l="1"/>
  <c r="F26" i="57" s="1"/>
  <c r="F27" i="57" s="1"/>
  <c r="F33" i="57" s="1"/>
  <c r="C41" i="57" s="1"/>
  <c r="E26" i="57"/>
  <c r="E27" i="57" s="1"/>
  <c r="E33" i="57" s="1"/>
  <c r="C40" i="57" s="1"/>
  <c r="I40" i="39"/>
  <c r="I42" i="39" s="1"/>
  <c r="I39" i="39"/>
  <c r="I41" i="39" s="1"/>
  <c r="J31" i="39"/>
  <c r="J39" i="39" l="1"/>
  <c r="J41" i="39" s="1"/>
  <c r="J40" i="39"/>
  <c r="J42" i="39" s="1"/>
  <c r="K31" i="39"/>
  <c r="K40" i="39" l="1"/>
  <c r="K42" i="39" s="1"/>
  <c r="L31" i="39"/>
  <c r="K39" i="39"/>
  <c r="K41" i="39" s="1"/>
  <c r="L40" i="39" l="1"/>
  <c r="L42" i="39" s="1"/>
  <c r="M31" i="39"/>
  <c r="L39" i="39"/>
  <c r="L41" i="39" s="1"/>
  <c r="M40" i="39" l="1"/>
  <c r="M42" i="39" s="1"/>
  <c r="N31" i="39"/>
  <c r="M39" i="39"/>
  <c r="M41" i="39" s="1"/>
  <c r="N40" i="39" l="1"/>
  <c r="N42" i="39" s="1"/>
  <c r="O31" i="39"/>
  <c r="N39" i="39"/>
  <c r="N41" i="39" s="1"/>
  <c r="O39" i="39" l="1"/>
  <c r="O41" i="39" s="1"/>
  <c r="O40" i="39"/>
  <c r="O42" i="39" s="1"/>
  <c r="P31" i="39"/>
  <c r="Q31" i="39" l="1"/>
  <c r="P40" i="39"/>
  <c r="P42" i="39" s="1"/>
  <c r="P39" i="39"/>
  <c r="P41" i="39" s="1"/>
  <c r="Q39" i="39" l="1"/>
  <c r="Q41" i="39" s="1"/>
  <c r="Q40" i="39"/>
  <c r="Q42" i="39" s="1"/>
  <c r="R31" i="39"/>
  <c r="R39" i="39" l="1"/>
  <c r="R41" i="39" s="1"/>
  <c r="R40" i="39"/>
  <c r="R42" i="39" s="1"/>
  <c r="S31" i="39"/>
  <c r="S40" i="39" l="1"/>
  <c r="S42" i="39" s="1"/>
  <c r="T31" i="39"/>
  <c r="S39" i="39"/>
  <c r="S41" i="39" s="1"/>
  <c r="T39" i="39" l="1"/>
  <c r="T41" i="39" s="1"/>
  <c r="U31" i="39"/>
  <c r="T40" i="39"/>
  <c r="T42" i="39" s="1"/>
  <c r="U39" i="39" l="1"/>
  <c r="U41" i="39" s="1"/>
  <c r="V31" i="39"/>
  <c r="U40" i="39"/>
  <c r="U42" i="39" s="1"/>
  <c r="V39" i="39" l="1"/>
  <c r="V41" i="39" s="1"/>
  <c r="V40" i="39"/>
  <c r="V42" i="39" s="1"/>
  <c r="W31" i="39"/>
  <c r="W40" i="39" l="1"/>
  <c r="W42" i="39" s="1"/>
  <c r="W39" i="39"/>
  <c r="W41" i="39" s="1"/>
  <c r="X31" i="39"/>
  <c r="X40" i="39" l="1"/>
  <c r="X42" i="39" s="1"/>
  <c r="X39" i="39"/>
  <c r="X41" i="39" s="1"/>
  <c r="Y31" i="39"/>
  <c r="Y40" i="39" l="1"/>
  <c r="Y42" i="39" s="1"/>
  <c r="F37" i="39" s="1"/>
  <c r="Y39" i="39"/>
  <c r="Y41" i="39" s="1"/>
  <c r="F36" i="3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C19FC-2878-4D06-A72C-2F897937F4DD}"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<sst xmlns="http://schemas.openxmlformats.org/spreadsheetml/2006/main" count="564" uniqueCount="323">
  <si>
    <t>Naphtha</t>
  </si>
  <si>
    <t>Product</t>
  </si>
  <si>
    <t>MANUFACTURING COST</t>
  </si>
  <si>
    <t xml:space="preserve">Raw materials </t>
  </si>
  <si>
    <t>Catalyst &amp; Chemicals</t>
  </si>
  <si>
    <t>Labour</t>
  </si>
  <si>
    <t>Salaries &amp; Wages (calculated)</t>
  </si>
  <si>
    <t>Variable Overheads</t>
  </si>
  <si>
    <t>Packaging Cost (calculated)</t>
  </si>
  <si>
    <t xml:space="preserve">Utilities (calculated) </t>
  </si>
  <si>
    <t>Fixed Overheads</t>
  </si>
  <si>
    <t>Selling Overheads</t>
  </si>
  <si>
    <t>Total  Production Cost</t>
  </si>
  <si>
    <t>Description</t>
  </si>
  <si>
    <t>Operating Period</t>
  </si>
  <si>
    <t>Operating Revenue</t>
  </si>
  <si>
    <t xml:space="preserve">Raw Material </t>
  </si>
  <si>
    <t xml:space="preserve">Labour </t>
  </si>
  <si>
    <t>Total Operating Cost</t>
  </si>
  <si>
    <t>Depreciation</t>
  </si>
  <si>
    <t>Net Cash Flow</t>
  </si>
  <si>
    <t>Cost of Capital (10%)</t>
  </si>
  <si>
    <t>Discounted Cash Flow</t>
  </si>
  <si>
    <t>Undiscounted Cash Flow</t>
  </si>
  <si>
    <t>NPV</t>
  </si>
  <si>
    <t>IRR</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</si>
  <si>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</si>
  <si>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</si>
  <si>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</si>
  <si>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</si>
  <si>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</si>
  <si>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</si>
  <si>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</si>
  <si>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</si>
  <si>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</si>
  <si>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</si>
  <si>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</si>
  <si>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</si>
  <si>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A</t>
  </si>
  <si>
    <t>TOTAL FIXED-CAPITAL INVESTMENT</t>
  </si>
  <si>
    <t>A1</t>
  </si>
  <si>
    <t>TOTAL DIRECT PLANT COST</t>
  </si>
  <si>
    <t>Purchased-equipment installation</t>
  </si>
  <si>
    <t>Instrumentation and controls (installed)</t>
  </si>
  <si>
    <t>Piping (installed)</t>
  </si>
  <si>
    <t>Electrical (installed)</t>
  </si>
  <si>
    <t>Buildings (including services)</t>
  </si>
  <si>
    <t>Service facilities (installed)</t>
  </si>
  <si>
    <t>A2</t>
  </si>
  <si>
    <t>TOTAL INDIRECT PLANT COST</t>
  </si>
  <si>
    <t>B</t>
  </si>
  <si>
    <t>WORKING CAPITAL</t>
  </si>
  <si>
    <t>TOTAL CAPITAL INVESTMENT</t>
  </si>
  <si>
    <t xml:space="preserve">Annual Qty </t>
  </si>
  <si>
    <t xml:space="preserve">Unit Rate </t>
  </si>
  <si>
    <t>Tonne</t>
  </si>
  <si>
    <r>
      <t xml:space="preserve">A1 </t>
    </r>
    <r>
      <rPr>
        <sz val="10"/>
        <color theme="1"/>
        <rFont val="Arial"/>
        <family val="2"/>
      </rPr>
      <t xml:space="preserve">+ </t>
    </r>
    <r>
      <rPr>
        <b/>
        <sz val="10"/>
        <color theme="1"/>
        <rFont val="Arial"/>
        <family val="2"/>
      </rPr>
      <t>A2</t>
    </r>
  </si>
  <si>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</si>
  <si>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</si>
  <si>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</si>
  <si>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</si>
  <si>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</si>
  <si>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</si>
  <si>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</si>
  <si>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</si>
  <si>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</si>
  <si>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</si>
  <si>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</si>
  <si>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</si>
  <si>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</si>
  <si>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</si>
  <si>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</si>
  <si>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</si>
  <si>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 xml:space="preserve">Delivered main equipment (includes auxiliary equipment) </t>
  </si>
  <si>
    <t>Steam</t>
  </si>
  <si>
    <t>INR / Tonne</t>
  </si>
  <si>
    <t>Total Fixed Cost</t>
  </si>
  <si>
    <t>Unit</t>
  </si>
  <si>
    <t>MT</t>
  </si>
  <si>
    <t>Total</t>
  </si>
  <si>
    <t>Nitrogen-Rs./NM3 (Considered for Oxygen cost of Production)</t>
  </si>
  <si>
    <t>Condensate Cost  INR/M3</t>
  </si>
  <si>
    <t>TOTAL SALES</t>
  </si>
  <si>
    <t>Price (INR / Tonne)</t>
  </si>
  <si>
    <t>Annual Production</t>
  </si>
  <si>
    <t>Value in (INR Crore)</t>
  </si>
  <si>
    <t>Product &amp; Co-Product</t>
  </si>
  <si>
    <t>Cooling water cost INR/M3</t>
  </si>
  <si>
    <t>Compressed Air cost INR/NM3</t>
  </si>
  <si>
    <t>BFW cost INR/MT</t>
  </si>
  <si>
    <t>Expenditure phasing / Capacity Utilization</t>
  </si>
  <si>
    <t>ISBL</t>
  </si>
  <si>
    <t>OSBL</t>
  </si>
  <si>
    <t>Overheads</t>
  </si>
  <si>
    <t>Capex (In INR Crore)</t>
  </si>
  <si>
    <t>Total Investment (In INR Crore)</t>
  </si>
  <si>
    <t xml:space="preserve">All Figures are in INR Crore </t>
  </si>
  <si>
    <t>Plant &amp; Machinery</t>
  </si>
  <si>
    <t>Percentage Share</t>
  </si>
  <si>
    <t>Total Investment  (INR Crore)</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</si>
  <si>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</si>
  <si>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</si>
  <si>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</si>
  <si>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</si>
  <si>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</si>
  <si>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</si>
  <si>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</si>
  <si>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</si>
  <si>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</si>
  <si>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</si>
  <si>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</si>
  <si>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</si>
  <si>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</si>
  <si>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</si>
  <si>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</si>
  <si>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</si>
  <si>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</si>
  <si>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</si>
  <si>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</si>
  <si>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</si>
  <si>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</si>
  <si>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</si>
  <si>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</si>
  <si>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</si>
  <si>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</si>
  <si>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</si>
  <si>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 xml:space="preserve">Share </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</si>
  <si>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</si>
  <si>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</si>
  <si>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</si>
  <si>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</si>
  <si>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</si>
  <si>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</si>
  <si>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</si>
  <si>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</si>
  <si>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</si>
  <si>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</si>
  <si>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</si>
  <si>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</si>
  <si>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</si>
  <si>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</si>
  <si>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</si>
  <si>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</si>
  <si>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Weighted Average</t>
  </si>
  <si>
    <t>Actual</t>
  </si>
  <si>
    <t>MMBTU</t>
  </si>
  <si>
    <t>Chemical Products' Price</t>
  </si>
  <si>
    <t>Derived</t>
  </si>
  <si>
    <t>Tonnes</t>
  </si>
  <si>
    <t>Power INR/KWh</t>
  </si>
  <si>
    <t>Steam INR/MT</t>
  </si>
  <si>
    <t>DM Water INR/MT</t>
  </si>
  <si>
    <t>MWh</t>
  </si>
  <si>
    <t>NM3</t>
  </si>
  <si>
    <t>Boiler Feed Water</t>
  </si>
  <si>
    <t>INR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</si>
  <si>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</si>
  <si>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</si>
  <si>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</si>
  <si>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</si>
  <si>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</si>
  <si>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</si>
  <si>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</si>
  <si>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</si>
  <si>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</si>
  <si>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</si>
  <si>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</si>
  <si>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</si>
  <si>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</si>
  <si>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</si>
  <si>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</si>
  <si>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Research and development costs</t>
  </si>
  <si>
    <t>Per MT Margin</t>
  </si>
  <si>
    <t>Margin %</t>
  </si>
  <si>
    <t>Unit Margin</t>
  </si>
  <si>
    <t>Gross Margin (EBITDA/PBITDA)</t>
  </si>
  <si>
    <t>Inflation (after adjustment of dollar appreciation)</t>
  </si>
  <si>
    <t>Payback Period after project completion (Simple)</t>
  </si>
  <si>
    <t>Payback Period after project completion (Discounted)</t>
  </si>
  <si>
    <t>Simple</t>
  </si>
  <si>
    <t>Discounted</t>
  </si>
  <si>
    <t>Simple Factor</t>
  </si>
  <si>
    <t>Discounted Factor</t>
  </si>
  <si>
    <t xml:space="preserve">Unit </t>
  </si>
  <si>
    <t>Break Even Point (at optimum capacity utilization)</t>
  </si>
  <si>
    <t>Year of Operation</t>
  </si>
  <si>
    <t>Total  Cost of Sales</t>
  </si>
  <si>
    <t>Gross Profit</t>
  </si>
  <si>
    <t>Cumulative Cash Flow</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</si>
  <si>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</si>
  <si>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</si>
  <si>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</si>
  <si>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</si>
  <si>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</si>
  <si>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</si>
  <si>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</si>
  <si>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</si>
  <si>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</si>
  <si>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</si>
  <si>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</si>
  <si>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r>
      <t xml:space="preserve">A </t>
    </r>
    <r>
      <rPr>
        <sz val="10"/>
        <color theme="0"/>
        <rFont val="Arial"/>
        <family val="2"/>
      </rPr>
      <t xml:space="preserve">+ </t>
    </r>
    <r>
      <rPr>
        <b/>
        <sz val="10"/>
        <color theme="0"/>
        <rFont val="Arial"/>
        <family val="2"/>
      </rPr>
      <t>B</t>
    </r>
  </si>
  <si>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</si>
  <si>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</si>
  <si>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</si>
  <si>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</si>
  <si>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</si>
  <si>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</si>
  <si>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</si>
  <si>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</si>
  <si>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</si>
  <si>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</si>
  <si>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</si>
  <si>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</si>
  <si>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</si>
  <si>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</si>
  <si>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</si>
  <si>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</si>
  <si>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</si>
  <si>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</si>
  <si>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</si>
  <si>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</si>
  <si>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</si>
  <si>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</si>
  <si>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</si>
  <si>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</si>
  <si>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</si>
  <si>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</si>
  <si>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</si>
  <si>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</si>
  <si>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</si>
  <si>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</si>
  <si>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</si>
  <si>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</si>
  <si>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</si>
  <si>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</si>
  <si>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</si>
  <si>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</si>
  <si>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</si>
  <si>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</si>
  <si>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</si>
  <si>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</si>
  <si>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</si>
  <si>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</si>
  <si>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</si>
  <si>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</si>
  <si>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</si>
  <si>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</si>
  <si>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</si>
  <si>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</si>
  <si>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</si>
  <si>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</si>
  <si>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</si>
  <si>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</si>
  <si>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</si>
  <si>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</si>
  <si>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</si>
  <si>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</si>
  <si>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</si>
  <si>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</si>
  <si>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</si>
  <si>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</si>
  <si>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</si>
  <si>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</si>
  <si>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</si>
  <si>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</si>
  <si>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</si>
  <si>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</si>
  <si>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</si>
  <si>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</si>
  <si>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</si>
  <si>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</si>
  <si>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</si>
  <si>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</si>
  <si>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</si>
  <si>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Ammnium Nitrate</t>
  </si>
  <si>
    <t>Plant Overhead and Administrative Costs (3.0% of  10 + 15)</t>
  </si>
  <si>
    <t>Maintenance and repairs (1.0% of fixed-capital investment)(Capex)</t>
  </si>
  <si>
    <t>Distribution and selling costs (0.5% of sales value)</t>
  </si>
  <si>
    <t>Kribhco</t>
  </si>
  <si>
    <t>Annual Sales Revenue @ 100 Percent Capacity Utilization</t>
  </si>
  <si>
    <t>Selling Price per MT of XXX</t>
  </si>
  <si>
    <t>Cost per MT of XXX</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</si>
  <si>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</si>
  <si>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</si>
  <si>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</si>
  <si>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</si>
  <si>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</si>
  <si>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</si>
  <si>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</si>
  <si>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</si>
  <si>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</si>
  <si>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</si>
  <si>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</si>
  <si>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</si>
  <si>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</si>
  <si>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</si>
  <si>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</si>
  <si>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</si>
  <si>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</si>
  <si>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</si>
  <si>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</si>
  <si>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TechSci</t>
  </si>
  <si>
    <t xml:space="preserve">Weak Nitric Acid </t>
  </si>
  <si>
    <t>100 KTPA Weak Nitric Acid</t>
  </si>
  <si>
    <t>100 KTPA Ammonium Nitrate Plant</t>
  </si>
  <si>
    <t>WNA + TAN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</si>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</sst>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00_);_(* \(#,##0.00\);_(* &quot;-&quot;??_);_(@_)"/>
    <numFmt numFmtId="165" formatCode="_(* #,##0_);_(* \(#,##0\);_(* &quot;-&quot;??_);_(@_)"/>
    <numFmt numFmtId="166" formatCode="_ * #,##0_ ;_ * \-#,##0_ ;_ * &quot;-&quot;??_ ;_ @_ "/>
    <numFmt numFmtId="167" formatCode="0.0"/>
    <numFmt numFmtId="168" formatCode="#,##0.000"/>
    <numFmt numFmtId="169" formatCode="0.0%"/>
    <numFmt numFmtId="170" formatCode="_(* #,##0_);_(* \(#,##0\);_(* &quot;-&quot;_);@_)"/>
    <numFmt numFmtId="171" formatCode="0%_);\(0%\)"/>
  </numFmts>
  <fonts count="56">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u/>
      <sz val="11"/>
      <color theme="1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Palladio Uralic"/>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sz val="12"/>
      <color indexed="10"/>
      <name val="Times New Roman"/>
      <family val="1"/>
    </font>
    <font>
      <b/>
      <i/>
      <sz val="10"/>
      <name val="Arial"/>
      <family val="2"/>
    </font>
    <font>
      <sz val="9"/>
      <color theme="1"/>
      <name val="Arial"/>
      <family val="2"/>
    </font>
    <font>
      <b/>
      <sz val="9"/>
      <color theme="1"/>
      <name val="Arial"/>
      <family val="2"/>
    </font>
    <font>
      <b/>
      <sz val="11"/>
      <color theme="0"/>
      <name val="Calibri"/>
      <family val="2"/>
      <scheme val="minor"/>
    </font>
    <font>
      <sz val="10"/>
      <color rgb="FF000000"/>
      <name val="Times New Roman"/>
      <family val="1"/>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sz val="10"/>
      <color theme="4"/>
      <name val="Arial"/>
      <family val="2"/>
    </font>
    <font>
      <b/>
      <sz val="10"/>
      <color rgb="FFFF0000"/>
      <name val="Arial"/>
      <family val="2"/>
    </font>
    <font>
      <sz val="10"/>
      <color rgb="FF7030A0"/>
      <name val="Arial"/>
      <family val="2"/>
    </font>
  </fonts>
  <fills count="19">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s>
  <borders count="26">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s>
  <cellStyleXfs count="53">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1" fillId="0" borderId="0"/>
    <xf numFmtId="170" fontId="12" fillId="0" borderId="0"/>
    <xf numFmtId="0" fontId="18" fillId="5" borderId="0" applyNumberFormat="0" applyBorder="0" applyAlignment="0" applyProtection="0"/>
    <xf numFmtId="0" fontId="22" fillId="8" borderId="14" applyNumberFormat="0" applyAlignment="0" applyProtection="0"/>
    <xf numFmtId="0" fontId="24" fillId="9" borderId="17" applyNumberFormat="0" applyAlignment="0" applyProtection="0"/>
    <xf numFmtId="43" fontId="12" fillId="0" borderId="0" applyFont="0" applyFill="0" applyBorder="0" applyAlignment="0" applyProtection="0"/>
    <xf numFmtId="0" fontId="25" fillId="0" borderId="0" applyNumberFormat="0" applyFill="0" applyBorder="0" applyAlignment="0" applyProtection="0"/>
    <xf numFmtId="0" fontId="17" fillId="4" borderId="0" applyNumberFormat="0" applyBorder="0" applyAlignment="0" applyProtection="0"/>
    <xf numFmtId="49" fontId="14" fillId="0" borderId="19" applyFill="0" applyProtection="0">
      <alignment horizontal="right" wrapText="1"/>
    </xf>
    <xf numFmtId="49" fontId="15" fillId="0" borderId="0" applyProtection="0">
      <alignment wrapText="1"/>
    </xf>
    <xf numFmtId="49" fontId="16" fillId="0" borderId="20" applyFill="0" applyProtection="0">
      <alignment horizontal="right" wrapText="1"/>
    </xf>
    <xf numFmtId="49" fontId="16" fillId="0" borderId="0" applyProtection="0">
      <alignment wrapText="1"/>
    </xf>
    <xf numFmtId="0" fontId="31" fillId="0" borderId="0" applyNumberFormat="0" applyFill="0" applyBorder="0" applyAlignment="0" applyProtection="0">
      <alignment vertical="top"/>
      <protection locked="0"/>
    </xf>
    <xf numFmtId="0" fontId="20" fillId="7" borderId="14" applyNumberFormat="0" applyAlignment="0" applyProtection="0"/>
    <xf numFmtId="0" fontId="23" fillId="0" borderId="16" applyNumberFormat="0" applyFill="0" applyAlignment="0" applyProtection="0"/>
    <xf numFmtId="0" fontId="19" fillId="6" borderId="0" applyNumberFormat="0" applyBorder="0" applyAlignment="0" applyProtection="0"/>
    <xf numFmtId="0" fontId="1" fillId="0" borderId="0"/>
    <xf numFmtId="0" fontId="12" fillId="10" borderId="18" applyNumberFormat="0" applyAlignment="0" applyProtection="0"/>
    <xf numFmtId="0" fontId="21" fillId="8" borderId="15" applyNumberFormat="0" applyAlignment="0" applyProtection="0"/>
    <xf numFmtId="9" fontId="12" fillId="0" borderId="0" applyFont="0" applyFill="0" applyBorder="0" applyAlignment="0" applyProtection="0"/>
    <xf numFmtId="9" fontId="1" fillId="0" borderId="0" applyFont="0" applyFill="0" applyBorder="0" applyAlignment="0" applyProtection="0"/>
    <xf numFmtId="170" fontId="27" fillId="0" borderId="0" applyNumberFormat="0" applyFill="0" applyBorder="0" applyAlignment="0" applyProtection="0"/>
    <xf numFmtId="170" fontId="12" fillId="11" borderId="0" applyNumberFormat="0" applyFont="0" applyBorder="0" applyAlignment="0" applyProtection="0"/>
    <xf numFmtId="0" fontId="12" fillId="0" borderId="0" applyFill="0" applyBorder="0" applyProtection="0"/>
    <xf numFmtId="170" fontId="12" fillId="12" borderId="0" applyNumberFormat="0" applyFont="0" applyBorder="0" applyAlignment="0" applyProtection="0"/>
    <xf numFmtId="171" fontId="12" fillId="0" borderId="0" applyFill="0" applyBorder="0" applyAlignment="0" applyProtection="0"/>
    <xf numFmtId="0" fontId="28" fillId="0" borderId="0" applyNumberFormat="0" applyAlignment="0" applyProtection="0"/>
    <xf numFmtId="0" fontId="27" fillId="0" borderId="19" applyFill="0" applyProtection="0">
      <alignment horizontal="left" wrapText="1"/>
    </xf>
    <xf numFmtId="0" fontId="27" fillId="0" borderId="0" applyFill="0" applyProtection="0">
      <alignment wrapText="1"/>
    </xf>
    <xf numFmtId="0" fontId="27" fillId="0" borderId="23" applyFill="0" applyProtection="0">
      <alignment wrapText="1"/>
    </xf>
    <xf numFmtId="170" fontId="29" fillId="0" borderId="22" applyNumberFormat="0" applyFill="0" applyAlignment="0" applyProtection="0"/>
    <xf numFmtId="0" fontId="30" fillId="0" borderId="0" applyAlignment="0" applyProtection="0"/>
    <xf numFmtId="0" fontId="29" fillId="0" borderId="21" applyNumberFormat="0" applyFill="0" applyAlignment="0" applyProtection="0"/>
    <xf numFmtId="49" fontId="13" fillId="0" borderId="0" applyAlignment="0" applyProtection="0"/>
    <xf numFmtId="0" fontId="26"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2" fillId="0" borderId="0"/>
    <xf numFmtId="170" fontId="12" fillId="0" borderId="0"/>
    <xf numFmtId="9" fontId="12" fillId="0" borderId="0" applyFont="0" applyFill="0" applyBorder="0" applyAlignment="0" applyProtection="0"/>
    <xf numFmtId="0" fontId="32" fillId="0" borderId="0"/>
    <xf numFmtId="0" fontId="3" fillId="0" borderId="0"/>
    <xf numFmtId="0" fontId="33" fillId="0" borderId="0" applyNumberFormat="0" applyFill="0" applyBorder="0" applyProtection="0">
      <alignment vertical="top" wrapText="1"/>
    </xf>
    <xf numFmtId="0" fontId="3" fillId="0" borderId="0"/>
    <xf numFmtId="9" fontId="3" fillId="0" borderId="0" applyFont="0" applyFill="0" applyBorder="0" applyAlignment="0" applyProtection="0"/>
  </cellStyleXfs>
  <cellXfs count="495">
    <xf numFmtId="0" fontId="0" fillId="0" borderId="0" xfId="0"/>
    <xf numFmtId="0" fontId="2" fillId="0" borderId="0" xfId="0" applyFont="1"/>
    <xf numFmtId="0" fontId="0" fillId="0" borderId="0" xfId="0" applyBorder="1"/>
    <xf numFmtId="0" fontId="0" fillId="0" borderId="0" xfId="0"/>
    <xf numFmtId="0" fontId="2" fillId="0" borderId="0" xfId="0" applyFont="1" applyFill="1" applyBorder="1" applyAlignment="1">
      <alignment horizontal="center" wrapText="1"/>
    </xf>
    <xf numFmtId="0" fontId="9"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9" fillId="0" borderId="25"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 fillId="0" borderId="0" xfId="0" applyFont="1" applyFill="1" applyBorder="1"/>
    <xf numFmtId="165" fontId="3" fillId="0" borderId="0" xfId="1" applyNumberFormat="1" applyFont="1" applyBorder="1" applyAlignment="1">
      <alignment horizontal="center" vertical="center"/>
    </xf>
    <xf numFmtId="1" fontId="2" fillId="0" borderId="0" xfId="0" applyNumberFormat="1" applyFont="1" applyBorder="1" applyAlignment="1">
      <alignment horizontal="center" vertical="center"/>
    </xf>
    <xf numFmtId="3" fontId="11" fillId="0" borderId="24" xfId="0" applyNumberFormat="1" applyFont="1" applyFill="1" applyBorder="1" applyAlignment="1">
      <alignment horizontal="center" vertical="center" wrapText="1"/>
    </xf>
    <xf numFmtId="3" fontId="2" fillId="0" borderId="24" xfId="0" applyNumberFormat="1" applyFont="1" applyFill="1" applyBorder="1" applyAlignment="1">
      <alignment horizontal="center" vertical="center" wrapText="1"/>
    </xf>
    <xf numFmtId="165" fontId="6"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1" fontId="2" fillId="0" borderId="0" xfId="0" applyNumberFormat="1" applyFont="1" applyFill="1" applyBorder="1" applyAlignment="1">
      <alignment horizontal="center"/>
    </xf>
    <xf numFmtId="3" fontId="9" fillId="0" borderId="24" xfId="0" applyNumberFormat="1" applyFont="1" applyFill="1" applyBorder="1" applyAlignment="1">
      <alignment horizontal="center" vertical="center" wrapText="1"/>
    </xf>
    <xf numFmtId="0" fontId="3" fillId="0" borderId="25" xfId="0" applyFont="1" applyBorder="1" applyAlignment="1" applyProtection="1">
      <alignment horizontal="center" vertical="center"/>
      <protection locked="0"/>
    </xf>
    <xf numFmtId="4" fontId="3" fillId="0" borderId="0" xfId="0" applyNumberFormat="1" applyFont="1" applyBorder="1" applyAlignment="1">
      <alignment horizontal="center" vertical="center"/>
    </xf>
    <xf numFmtId="3" fontId="3" fillId="0" borderId="0" xfId="0" applyNumberFormat="1" applyFont="1" applyFill="1" applyBorder="1" applyAlignment="1" applyProtection="1">
      <alignment horizontal="center" vertical="center"/>
      <protection locked="0"/>
    </xf>
    <xf numFmtId="2" fontId="2" fillId="0" borderId="0" xfId="0" applyNumberFormat="1" applyFont="1" applyFill="1" applyBorder="1" applyAlignment="1">
      <alignment horizontal="center"/>
    </xf>
    <xf numFmtId="2" fontId="6" fillId="0" borderId="0" xfId="44" applyNumberFormat="1" applyFont="1" applyBorder="1" applyAlignment="1">
      <alignment horizontal="center" vertical="center"/>
    </xf>
    <xf numFmtId="0" fontId="3" fillId="0" borderId="0" xfId="44" applyBorder="1" applyAlignment="1">
      <alignment horizontal="center" vertical="center"/>
    </xf>
    <xf numFmtId="2" fontId="3" fillId="0" borderId="0" xfId="44" applyNumberFormat="1" applyBorder="1" applyAlignment="1">
      <alignment horizontal="center" vertical="center"/>
    </xf>
    <xf numFmtId="0" fontId="2" fillId="0" borderId="0" xfId="0" applyFont="1" applyFill="1" applyBorder="1" applyAlignment="1">
      <alignment horizontal="center"/>
    </xf>
    <xf numFmtId="1" fontId="2" fillId="0" borderId="8" xfId="0" applyNumberFormat="1" applyFont="1" applyBorder="1" applyAlignment="1">
      <alignment horizontal="center"/>
    </xf>
    <xf numFmtId="0" fontId="3" fillId="0" borderId="0" xfId="0" applyFont="1" applyFill="1" applyBorder="1" applyAlignment="1">
      <alignment horizontal="center" vertical="center"/>
    </xf>
    <xf numFmtId="3" fontId="9" fillId="0" borderId="9" xfId="0" applyNumberFormat="1" applyFont="1" applyFill="1" applyBorder="1" applyAlignment="1">
      <alignment horizontal="center" vertical="center" wrapText="1"/>
    </xf>
    <xf numFmtId="10" fontId="2" fillId="0" borderId="8" xfId="0" applyNumberFormat="1" applyFont="1" applyBorder="1" applyAlignment="1">
      <alignment horizontal="center"/>
    </xf>
    <xf numFmtId="2" fontId="10" fillId="0" borderId="0" xfId="4" applyNumberFormat="1" applyFont="1" applyFill="1" applyBorder="1" applyAlignment="1">
      <alignment horizontal="center" vertical="center"/>
    </xf>
    <xf numFmtId="2" fontId="10" fillId="0" borderId="0" xfId="4" applyNumberFormat="1" applyFont="1" applyFill="1" applyBorder="1" applyAlignment="1">
      <alignment horizontal="center" vertical="center" wrapText="1"/>
    </xf>
    <xf numFmtId="2" fontId="9" fillId="0" borderId="0"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9" fillId="0" borderId="8" xfId="0" applyFont="1" applyFill="1" applyBorder="1" applyAlignment="1">
      <alignment horizontal="left" vertical="center"/>
    </xf>
    <xf numFmtId="1" fontId="9" fillId="0" borderId="8" xfId="0" applyNumberFormat="1" applyFont="1" applyFill="1" applyBorder="1" applyAlignment="1">
      <alignment horizontal="center" vertical="center"/>
    </xf>
    <xf numFmtId="2" fontId="8" fillId="0" borderId="8" xfId="0" applyNumberFormat="1" applyFont="1" applyFill="1" applyBorder="1" applyAlignment="1">
      <alignment horizontal="center" vertical="center"/>
    </xf>
    <xf numFmtId="10" fontId="8" fillId="0" borderId="8" xfId="3" applyNumberFormat="1" applyFont="1" applyFill="1" applyBorder="1" applyAlignment="1">
      <alignment horizontal="center" vertical="center"/>
    </xf>
    <xf numFmtId="2" fontId="8" fillId="0" borderId="8" xfId="3" applyNumberFormat="1" applyFont="1" applyFill="1" applyBorder="1" applyAlignment="1">
      <alignment horizontal="center" vertical="center"/>
    </xf>
    <xf numFmtId="2" fontId="2" fillId="0" borderId="8" xfId="0" applyNumberFormat="1" applyFont="1" applyFill="1" applyBorder="1" applyAlignment="1">
      <alignment horizontal="center"/>
    </xf>
    <xf numFmtId="0" fontId="9" fillId="0" borderId="10" xfId="0" applyFont="1" applyFill="1" applyBorder="1" applyAlignment="1">
      <alignment horizontal="center" vertical="center"/>
    </xf>
    <xf numFmtId="2" fontId="2" fillId="0" borderId="1" xfId="0" applyNumberFormat="1" applyFont="1" applyFill="1" applyBorder="1" applyAlignment="1">
      <alignment horizontal="center"/>
    </xf>
    <xf numFmtId="2" fontId="7" fillId="0" borderId="1" xfId="0" applyNumberFormat="1" applyFont="1" applyFill="1" applyBorder="1" applyAlignment="1">
      <alignment horizontal="center" vertical="center"/>
    </xf>
    <xf numFmtId="2" fontId="9" fillId="0" borderId="1" xfId="0" applyNumberFormat="1" applyFont="1" applyFill="1" applyBorder="1" applyAlignment="1">
      <alignment horizontal="center"/>
    </xf>
    <xf numFmtId="0" fontId="9" fillId="0" borderId="7" xfId="0" applyFont="1" applyFill="1" applyBorder="1" applyAlignment="1">
      <alignment horizontal="center" vertical="center"/>
    </xf>
    <xf numFmtId="0" fontId="9" fillId="0" borderId="8" xfId="0" applyFont="1" applyFill="1" applyBorder="1" applyAlignment="1">
      <alignment horizontal="center" vertical="center"/>
    </xf>
    <xf numFmtId="3" fontId="7" fillId="0" borderId="8"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2" fillId="0" borderId="25" xfId="0" applyFont="1" applyFill="1" applyBorder="1" applyAlignment="1">
      <alignment horizontal="center" vertical="center"/>
    </xf>
    <xf numFmtId="168" fontId="8" fillId="0" borderId="0" xfId="0" applyNumberFormat="1" applyFont="1" applyFill="1" applyBorder="1" applyAlignment="1">
      <alignment horizontal="center" vertical="center"/>
    </xf>
    <xf numFmtId="2" fontId="8" fillId="0" borderId="0" xfId="0" applyNumberFormat="1" applyFont="1" applyFill="1" applyBorder="1" applyAlignment="1">
      <alignment horizontal="center" vertical="center"/>
    </xf>
    <xf numFmtId="0" fontId="2" fillId="0" borderId="0" xfId="0" quotePrefix="1" applyFont="1" applyFill="1" applyBorder="1" applyAlignment="1">
      <alignment horizontal="center" vertical="center"/>
    </xf>
    <xf numFmtId="3" fontId="8" fillId="0" borderId="0" xfId="0" applyNumberFormat="1" applyFont="1" applyFill="1" applyBorder="1" applyAlignment="1">
      <alignment horizontal="center" vertical="center"/>
    </xf>
    <xf numFmtId="2" fontId="8" fillId="0" borderId="0" xfId="6"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3" xfId="0" applyFont="1" applyFill="1" applyBorder="1" applyAlignment="1">
      <alignment horizontal="center" vertical="center"/>
    </xf>
    <xf numFmtId="3" fontId="7" fillId="0" borderId="13" xfId="0" applyNumberFormat="1" applyFont="1" applyFill="1" applyBorder="1" applyAlignment="1">
      <alignment horizontal="center" vertical="center"/>
    </xf>
    <xf numFmtId="2" fontId="7" fillId="0" borderId="13" xfId="0" applyNumberFormat="1" applyFont="1" applyFill="1" applyBorder="1" applyAlignment="1">
      <alignment horizontal="center" vertical="center"/>
    </xf>
    <xf numFmtId="3" fontId="8" fillId="0" borderId="7" xfId="0" applyNumberFormat="1" applyFont="1" applyFill="1" applyBorder="1" applyAlignment="1">
      <alignment horizontal="center" vertical="center"/>
    </xf>
    <xf numFmtId="169" fontId="8" fillId="0" borderId="25" xfId="3" applyNumberFormat="1" applyFont="1" applyFill="1" applyBorder="1" applyAlignment="1">
      <alignment horizontal="center" vertical="center"/>
    </xf>
    <xf numFmtId="0" fontId="9" fillId="0" borderId="1" xfId="0" applyFont="1" applyFill="1" applyBorder="1" applyAlignment="1">
      <alignment horizontal="center" vertical="center"/>
    </xf>
    <xf numFmtId="3" fontId="7" fillId="0" borderId="10" xfId="0" applyNumberFormat="1" applyFont="1" applyFill="1" applyBorder="1" applyAlignment="1">
      <alignment horizontal="center" vertical="center"/>
    </xf>
    <xf numFmtId="166" fontId="8" fillId="0" borderId="0" xfId="6" applyNumberFormat="1" applyFont="1" applyFill="1" applyBorder="1" applyAlignment="1">
      <alignment horizontal="center" vertical="center"/>
    </xf>
    <xf numFmtId="0" fontId="2" fillId="0" borderId="10" xfId="0" applyFont="1" applyFill="1" applyBorder="1" applyAlignment="1">
      <alignment horizontal="center" vertical="center"/>
    </xf>
    <xf numFmtId="166" fontId="8" fillId="0" borderId="1" xfId="6" applyNumberFormat="1" applyFont="1" applyFill="1" applyBorder="1" applyAlignment="1">
      <alignment horizontal="center" vertical="center"/>
    </xf>
    <xf numFmtId="2" fontId="8" fillId="0" borderId="1" xfId="6" applyNumberFormat="1" applyFont="1" applyFill="1" applyBorder="1" applyAlignment="1">
      <alignment horizontal="center" vertical="center"/>
    </xf>
    <xf numFmtId="0" fontId="2" fillId="0" borderId="25" xfId="0" applyFont="1" applyFill="1" applyBorder="1" applyAlignment="1">
      <alignment horizontal="center"/>
    </xf>
    <xf numFmtId="2" fontId="2" fillId="0" borderId="0" xfId="6" applyNumberFormat="1" applyFont="1" applyFill="1" applyBorder="1" applyAlignment="1">
      <alignment horizontal="center"/>
    </xf>
    <xf numFmtId="0" fontId="2" fillId="0" borderId="1" xfId="0" applyFont="1" applyFill="1" applyBorder="1"/>
    <xf numFmtId="2" fontId="8" fillId="0" borderId="0" xfId="0" applyNumberFormat="1" applyFont="1" applyFill="1" applyBorder="1" applyAlignment="1">
      <alignment horizontal="center" vertical="center" wrapText="1"/>
    </xf>
    <xf numFmtId="0" fontId="2" fillId="0" borderId="2" xfId="0" applyFont="1" applyBorder="1" applyAlignment="1">
      <alignment horizontal="left"/>
    </xf>
    <xf numFmtId="169" fontId="9" fillId="0" borderId="2" xfId="0" applyNumberFormat="1" applyFont="1" applyBorder="1" applyAlignment="1" applyProtection="1">
      <alignment horizontal="center"/>
      <protection locked="0"/>
    </xf>
    <xf numFmtId="2" fontId="7" fillId="0" borderId="0" xfId="0" applyNumberFormat="1" applyFont="1" applyFill="1" applyBorder="1" applyAlignment="1">
      <alignment horizontal="center" vertical="center" wrapText="1"/>
    </xf>
    <xf numFmtId="0" fontId="2" fillId="0" borderId="1" xfId="0" applyFont="1" applyBorder="1" applyAlignment="1">
      <alignment horizontal="center"/>
    </xf>
    <xf numFmtId="0" fontId="2" fillId="0" borderId="0" xfId="0" applyFont="1" applyFill="1" applyBorder="1" applyAlignment="1">
      <alignment horizontal="center" vertical="top" wrapText="1"/>
    </xf>
    <xf numFmtId="2" fontId="0" fillId="0" borderId="0" xfId="0" applyNumberFormat="1"/>
    <xf numFmtId="164" fontId="0" fillId="0" borderId="0" xfId="1" applyFont="1" applyBorder="1"/>
    <xf numFmtId="10" fontId="8" fillId="0" borderId="0" xfId="3" applyNumberFormat="1" applyFont="1" applyFill="1" applyBorder="1" applyAlignment="1">
      <alignment horizontal="center" vertical="center"/>
    </xf>
    <xf numFmtId="37" fontId="8" fillId="0" borderId="0" xfId="1" applyNumberFormat="1" applyFont="1" applyFill="1" applyBorder="1" applyAlignment="1">
      <alignment horizontal="center" vertical="center"/>
    </xf>
    <xf numFmtId="1" fontId="2" fillId="0" borderId="11" xfId="0" applyNumberFormat="1" applyFont="1" applyFill="1" applyBorder="1" applyAlignment="1">
      <alignment horizontal="center"/>
    </xf>
    <xf numFmtId="0" fontId="2" fillId="0" borderId="25" xfId="0" applyFont="1" applyFill="1" applyBorder="1" applyAlignment="1">
      <alignment horizontal="center" wrapText="1"/>
    </xf>
    <xf numFmtId="2" fontId="2" fillId="0" borderId="24" xfId="0" applyNumberFormat="1" applyFont="1" applyFill="1" applyBorder="1" applyAlignment="1">
      <alignment horizontal="center"/>
    </xf>
    <xf numFmtId="2" fontId="2" fillId="0" borderId="24" xfId="0" applyNumberFormat="1" applyFont="1" applyBorder="1" applyAlignment="1">
      <alignment horizontal="center" vertical="top"/>
    </xf>
    <xf numFmtId="2" fontId="0" fillId="0" borderId="0" xfId="0" applyNumberFormat="1" applyBorder="1"/>
    <xf numFmtId="0" fontId="2" fillId="0" borderId="7" xfId="0" applyFont="1" applyFill="1" applyBorder="1" applyAlignment="1">
      <alignment horizontal="center"/>
    </xf>
    <xf numFmtId="0" fontId="2" fillId="0" borderId="8" xfId="0" applyFont="1" applyFill="1" applyBorder="1"/>
    <xf numFmtId="1" fontId="2" fillId="0" borderId="8" xfId="0" applyNumberFormat="1" applyFont="1" applyFill="1" applyBorder="1" applyAlignment="1">
      <alignment horizontal="center"/>
    </xf>
    <xf numFmtId="1" fontId="2" fillId="0" borderId="9" xfId="0" applyNumberFormat="1" applyFont="1" applyFill="1" applyBorder="1" applyAlignment="1">
      <alignment horizontal="center"/>
    </xf>
    <xf numFmtId="1" fontId="2" fillId="0" borderId="1" xfId="0" applyNumberFormat="1" applyFont="1" applyFill="1" applyBorder="1" applyAlignment="1">
      <alignment horizontal="center"/>
    </xf>
    <xf numFmtId="167" fontId="9" fillId="0" borderId="2" xfId="0" applyNumberFormat="1" applyFont="1" applyBorder="1" applyAlignment="1" applyProtection="1">
      <alignment horizontal="center"/>
      <protection locked="0"/>
    </xf>
    <xf numFmtId="0" fontId="41" fillId="0" borderId="1" xfId="0" applyFont="1" applyBorder="1" applyAlignment="1">
      <alignment horizontal="center"/>
    </xf>
    <xf numFmtId="2" fontId="40" fillId="0" borderId="0" xfId="6" applyNumberFormat="1" applyFont="1" applyFill="1" applyBorder="1" applyAlignment="1">
      <alignment horizontal="center"/>
    </xf>
    <xf numFmtId="2" fontId="40" fillId="0" borderId="24" xfId="6" applyNumberFormat="1" applyFont="1" applyFill="1" applyBorder="1" applyAlignment="1">
      <alignment horizontal="center"/>
    </xf>
    <xf numFmtId="2" fontId="2" fillId="0" borderId="8" xfId="6" applyNumberFormat="1" applyFont="1" applyFill="1" applyBorder="1" applyAlignment="1">
      <alignment horizontal="center"/>
    </xf>
    <xf numFmtId="2" fontId="2" fillId="0" borderId="9" xfId="6" applyNumberFormat="1" applyFont="1" applyFill="1" applyBorder="1" applyAlignment="1">
      <alignment horizontal="center"/>
    </xf>
    <xf numFmtId="0" fontId="2" fillId="0" borderId="25" xfId="0" applyFont="1" applyFill="1" applyBorder="1"/>
    <xf numFmtId="0" fontId="41" fillId="0" borderId="0" xfId="0" applyFont="1" applyBorder="1" applyAlignment="1">
      <alignment horizontal="center"/>
    </xf>
    <xf numFmtId="2" fontId="40" fillId="0" borderId="1" xfId="6" applyNumberFormat="1" applyFont="1" applyFill="1" applyBorder="1" applyAlignment="1">
      <alignment horizontal="center"/>
    </xf>
    <xf numFmtId="2" fontId="40" fillId="0" borderId="11" xfId="6" applyNumberFormat="1" applyFont="1" applyFill="1" applyBorder="1" applyAlignment="1">
      <alignment horizontal="center"/>
    </xf>
    <xf numFmtId="2" fontId="2" fillId="0" borderId="24" xfId="6" applyNumberFormat="1" applyFont="1" applyFill="1" applyBorder="1" applyAlignment="1">
      <alignment horizontal="center"/>
    </xf>
    <xf numFmtId="0" fontId="2" fillId="0" borderId="1" xfId="0" applyFont="1" applyBorder="1"/>
    <xf numFmtId="0" fontId="2" fillId="0" borderId="0" xfId="0" applyFont="1" applyAlignment="1">
      <alignment horizontal="left"/>
    </xf>
    <xf numFmtId="165" fontId="2" fillId="0" borderId="0" xfId="1" applyNumberFormat="1" applyFont="1" applyAlignment="1"/>
    <xf numFmtId="0" fontId="2" fillId="0" borderId="0" xfId="0" applyFont="1" applyAlignment="1">
      <alignment horizontal="center"/>
    </xf>
    <xf numFmtId="0" fontId="2" fillId="0" borderId="0" xfId="0" applyFont="1" applyBorder="1" applyAlignment="1">
      <alignment horizontal="center"/>
    </xf>
    <xf numFmtId="0" fontId="2" fillId="0" borderId="24" xfId="0" applyFont="1" applyBorder="1" applyAlignment="1">
      <alignment horizontal="center"/>
    </xf>
    <xf numFmtId="0" fontId="6"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Border="1" applyAlignment="1" applyProtection="1">
      <alignment horizontal="center" vertical="center"/>
      <protection locked="0"/>
    </xf>
    <xf numFmtId="1" fontId="3" fillId="0" borderId="24" xfId="0" applyNumberFormat="1" applyFont="1" applyBorder="1" applyAlignment="1">
      <alignment horizontal="center" vertical="center"/>
    </xf>
    <xf numFmtId="0" fontId="6" fillId="0" borderId="25" xfId="42" applyFont="1" applyBorder="1" applyAlignment="1">
      <alignment horizontal="center" vertical="center"/>
    </xf>
    <xf numFmtId="9" fontId="3" fillId="0" borderId="0" xfId="42" applyNumberFormat="1" applyFont="1" applyBorder="1" applyAlignment="1">
      <alignment horizontal="center" vertical="center"/>
    </xf>
    <xf numFmtId="0" fontId="6" fillId="0" borderId="0" xfId="42" applyFont="1" applyBorder="1" applyAlignment="1">
      <alignment horizontal="center" vertical="center"/>
    </xf>
    <xf numFmtId="0" fontId="6" fillId="0" borderId="24" xfId="42" applyFont="1" applyBorder="1" applyAlignment="1">
      <alignment horizontal="center" vertical="center"/>
    </xf>
    <xf numFmtId="0" fontId="6" fillId="0" borderId="10" xfId="42" applyFont="1" applyBorder="1" applyAlignment="1">
      <alignment horizontal="center" vertical="center"/>
    </xf>
    <xf numFmtId="0" fontId="6" fillId="0" borderId="25" xfId="44" applyFont="1" applyBorder="1" applyAlignment="1">
      <alignment vertical="center"/>
    </xf>
    <xf numFmtId="2" fontId="6" fillId="0" borderId="24" xfId="44" applyNumberFormat="1" applyFont="1" applyBorder="1" applyAlignment="1">
      <alignment horizontal="center" vertical="center"/>
    </xf>
    <xf numFmtId="0" fontId="3" fillId="0" borderId="24" xfId="44" applyBorder="1" applyAlignment="1">
      <alignment horizontal="center" vertical="center"/>
    </xf>
    <xf numFmtId="0" fontId="3" fillId="0" borderId="25" xfId="44" applyBorder="1" applyAlignment="1">
      <alignment vertical="center"/>
    </xf>
    <xf numFmtId="2" fontId="3" fillId="0" borderId="24" xfId="44" applyNumberFormat="1" applyBorder="1" applyAlignment="1">
      <alignment horizontal="center" vertical="center"/>
    </xf>
    <xf numFmtId="0" fontId="6" fillId="0" borderId="25" xfId="44" applyFont="1" applyBorder="1" applyAlignment="1">
      <alignment horizontal="center" vertical="center"/>
    </xf>
    <xf numFmtId="0" fontId="6" fillId="0" borderId="10" xfId="44" applyFont="1" applyBorder="1" applyAlignment="1">
      <alignment vertical="center"/>
    </xf>
    <xf numFmtId="10" fontId="6" fillId="0" borderId="11" xfId="52" applyNumberFormat="1" applyFont="1" applyBorder="1" applyAlignment="1">
      <alignment horizontal="center" vertical="center"/>
    </xf>
    <xf numFmtId="2" fontId="3" fillId="0" borderId="0" xfId="44" applyNumberFormat="1" applyBorder="1"/>
    <xf numFmtId="0" fontId="35" fillId="0" borderId="0" xfId="44" applyFont="1" applyBorder="1" applyAlignment="1">
      <alignment vertical="center"/>
    </xf>
    <xf numFmtId="0" fontId="35" fillId="0" borderId="24" xfId="44" applyFont="1" applyBorder="1" applyAlignment="1">
      <alignment vertical="center"/>
    </xf>
    <xf numFmtId="10" fontId="6" fillId="0" borderId="1" xfId="52" applyNumberFormat="1" applyFont="1" applyBorder="1" applyAlignment="1">
      <alignment horizontal="center" vertical="center"/>
    </xf>
    <xf numFmtId="0" fontId="3" fillId="0" borderId="0" xfId="44" applyBorder="1" applyAlignment="1">
      <alignment horizontal="center"/>
    </xf>
    <xf numFmtId="0" fontId="3" fillId="0" borderId="24" xfId="44" applyBorder="1" applyAlignment="1">
      <alignment horizontal="center"/>
    </xf>
    <xf numFmtId="0" fontId="3" fillId="0" borderId="5" xfId="44" applyBorder="1" applyAlignment="1">
      <alignment horizontal="center"/>
    </xf>
    <xf numFmtId="0" fontId="3" fillId="0" borderId="12" xfId="44" applyBorder="1" applyAlignment="1">
      <alignment horizontal="center"/>
    </xf>
    <xf numFmtId="2" fontId="2" fillId="0" borderId="24" xfId="0" applyNumberFormat="1" applyFont="1" applyFill="1" applyBorder="1" applyAlignment="1">
      <alignment horizontal="center" vertical="center"/>
    </xf>
    <xf numFmtId="2" fontId="3" fillId="0" borderId="0" xfId="42" applyNumberFormat="1" applyFont="1" applyBorder="1" applyAlignment="1">
      <alignment horizontal="center" vertical="center"/>
    </xf>
    <xf numFmtId="2" fontId="3" fillId="0" borderId="24" xfId="42" applyNumberFormat="1" applyFont="1" applyBorder="1" applyAlignment="1">
      <alignment horizontal="center" vertical="center"/>
    </xf>
    <xf numFmtId="2" fontId="3" fillId="0" borderId="1" xfId="42" applyNumberFormat="1" applyFont="1" applyBorder="1" applyAlignment="1">
      <alignment horizontal="center" vertical="center"/>
    </xf>
    <xf numFmtId="2" fontId="3" fillId="0" borderId="11" xfId="42" applyNumberFormat="1" applyFont="1" applyBorder="1" applyAlignment="1">
      <alignment horizontal="center" vertical="center"/>
    </xf>
    <xf numFmtId="0" fontId="2" fillId="0" borderId="10" xfId="0" applyFont="1" applyBorder="1" applyAlignment="1">
      <alignment horizontal="center" vertical="center"/>
    </xf>
    <xf numFmtId="0" fontId="9" fillId="0" borderId="1" xfId="0" applyFont="1" applyBorder="1" applyAlignment="1">
      <alignment horizontal="center"/>
    </xf>
    <xf numFmtId="9" fontId="0" fillId="0" borderId="0" xfId="3" applyFont="1"/>
    <xf numFmtId="0" fontId="6" fillId="0" borderId="5" xfId="0" applyFont="1" applyBorder="1" applyAlignment="1">
      <alignment horizontal="center" vertical="center"/>
    </xf>
    <xf numFmtId="0" fontId="9" fillId="0" borderId="1" xfId="0" applyFont="1" applyFill="1" applyBorder="1" applyAlignment="1"/>
    <xf numFmtId="0" fontId="2" fillId="0" borderId="25" xfId="0" applyFont="1" applyBorder="1" applyAlignment="1">
      <alignment horizontal="center" vertical="center"/>
    </xf>
    <xf numFmtId="2" fontId="3" fillId="0" borderId="0" xfId="42" applyNumberFormat="1" applyBorder="1" applyAlignment="1">
      <alignment vertical="center"/>
    </xf>
    <xf numFmtId="2" fontId="6" fillId="0" borderId="0" xfId="42" applyNumberFormat="1" applyFont="1" applyBorder="1" applyAlignment="1">
      <alignment vertical="center"/>
    </xf>
    <xf numFmtId="0" fontId="6" fillId="0" borderId="25" xfId="42" applyFont="1" applyBorder="1" applyAlignment="1">
      <alignment vertical="center"/>
    </xf>
    <xf numFmtId="0" fontId="3" fillId="0" borderId="25" xfId="42" applyBorder="1" applyAlignment="1">
      <alignment vertical="center"/>
    </xf>
    <xf numFmtId="2" fontId="3" fillId="0" borderId="24" xfId="42" applyNumberFormat="1" applyBorder="1" applyAlignment="1">
      <alignment vertical="center"/>
    </xf>
    <xf numFmtId="2" fontId="6" fillId="0" borderId="24" xfId="42" applyNumberFormat="1" applyFont="1" applyBorder="1" applyAlignment="1">
      <alignment vertical="center"/>
    </xf>
    <xf numFmtId="0" fontId="6" fillId="0" borderId="10" xfId="42" applyFont="1" applyBorder="1" applyAlignment="1">
      <alignment vertical="center"/>
    </xf>
    <xf numFmtId="2" fontId="6" fillId="0" borderId="1" xfId="42" applyNumberFormat="1" applyFont="1" applyBorder="1" applyAlignment="1">
      <alignment vertical="center"/>
    </xf>
    <xf numFmtId="0" fontId="3" fillId="0" borderId="1" xfId="42" applyBorder="1" applyAlignment="1">
      <alignment vertical="center"/>
    </xf>
    <xf numFmtId="0" fontId="3" fillId="0" borderId="11" xfId="42" applyBorder="1" applyAlignment="1">
      <alignment vertical="center"/>
    </xf>
    <xf numFmtId="2" fontId="43" fillId="0" borderId="0" xfId="0" applyNumberFormat="1" applyFont="1" applyAlignment="1">
      <alignment horizontal="center" vertical="center"/>
    </xf>
    <xf numFmtId="167" fontId="0" fillId="0" borderId="0" xfId="0" applyNumberFormat="1"/>
    <xf numFmtId="1" fontId="0" fillId="0" borderId="0" xfId="0" applyNumberFormat="1"/>
    <xf numFmtId="0" fontId="10" fillId="15" borderId="5" xfId="0" applyFont="1" applyFill="1" applyBorder="1" applyAlignment="1">
      <alignment horizontal="center" vertical="center"/>
    </xf>
    <xf numFmtId="0" fontId="44" fillId="15" borderId="25" xfId="0" applyFont="1" applyFill="1" applyBorder="1" applyAlignment="1">
      <alignment horizontal="center" vertical="center" wrapText="1"/>
    </xf>
    <xf numFmtId="0" fontId="10" fillId="15" borderId="0" xfId="0" applyFont="1" applyFill="1" applyBorder="1" applyAlignment="1">
      <alignment horizontal="center" vertical="center" wrapText="1"/>
    </xf>
    <xf numFmtId="0" fontId="44" fillId="15" borderId="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44" fillId="15" borderId="10" xfId="0" applyFont="1" applyFill="1" applyBorder="1" applyAlignment="1">
      <alignment horizontal="center" vertical="center" wrapText="1"/>
    </xf>
    <xf numFmtId="0" fontId="10" fillId="15" borderId="1" xfId="0" applyFont="1" applyFill="1" applyBorder="1" applyAlignment="1">
      <alignment horizontal="center" vertical="center" wrapText="1"/>
    </xf>
    <xf numFmtId="2" fontId="40" fillId="0" borderId="0" xfId="3" applyNumberFormat="1" applyFont="1" applyAlignment="1">
      <alignment horizontal="center"/>
    </xf>
    <xf numFmtId="4" fontId="2" fillId="0" borderId="0" xfId="0" applyNumberFormat="1" applyFont="1"/>
    <xf numFmtId="0" fontId="2" fillId="0" borderId="13" xfId="0" applyFont="1" applyBorder="1" applyAlignment="1">
      <alignment vertical="center"/>
    </xf>
    <xf numFmtId="3" fontId="7" fillId="0" borderId="8" xfId="0" applyNumberFormat="1" applyFont="1" applyFill="1" applyBorder="1" applyAlignment="1">
      <alignment vertical="center"/>
    </xf>
    <xf numFmtId="0" fontId="10" fillId="15" borderId="25" xfId="0" applyFont="1" applyFill="1" applyBorder="1" applyAlignment="1">
      <alignment horizontal="center" wrapText="1"/>
    </xf>
    <xf numFmtId="0" fontId="10" fillId="15" borderId="0" xfId="0" applyFont="1" applyFill="1" applyBorder="1" applyAlignment="1">
      <alignment horizontal="center" wrapText="1"/>
    </xf>
    <xf numFmtId="0" fontId="10" fillId="15" borderId="24" xfId="0" applyFont="1" applyFill="1" applyBorder="1" applyAlignment="1">
      <alignment horizontal="center" wrapText="1"/>
    </xf>
    <xf numFmtId="0" fontId="10" fillId="15" borderId="8" xfId="0" applyFont="1" applyFill="1" applyBorder="1" applyAlignment="1">
      <alignment horizontal="center" vertical="center"/>
    </xf>
    <xf numFmtId="2" fontId="10" fillId="15" borderId="9" xfId="0" applyNumberFormat="1" applyFont="1" applyFill="1" applyBorder="1" applyAlignment="1">
      <alignment horizontal="center" vertical="center"/>
    </xf>
    <xf numFmtId="0" fontId="44" fillId="15" borderId="10" xfId="0" applyFont="1" applyFill="1" applyBorder="1" applyAlignment="1">
      <alignment horizontal="center" wrapText="1"/>
    </xf>
    <xf numFmtId="2" fontId="44" fillId="15" borderId="11" xfId="0" applyNumberFormat="1" applyFont="1" applyFill="1" applyBorder="1" applyAlignment="1">
      <alignment horizontal="center"/>
    </xf>
    <xf numFmtId="0" fontId="10" fillId="15" borderId="7" xfId="0" applyFont="1" applyFill="1" applyBorder="1" applyAlignment="1">
      <alignment horizontal="center" vertical="center" wrapText="1"/>
    </xf>
    <xf numFmtId="0" fontId="10" fillId="15" borderId="10" xfId="0" applyFont="1" applyFill="1" applyBorder="1" applyAlignment="1">
      <alignment horizontal="center" vertical="center"/>
    </xf>
    <xf numFmtId="0" fontId="10" fillId="15" borderId="1"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42" fillId="15" borderId="2" xfId="0" applyFont="1" applyFill="1" applyBorder="1" applyAlignment="1">
      <alignment horizontal="center"/>
    </xf>
    <xf numFmtId="0" fontId="0" fillId="0" borderId="0" xfId="0" applyFill="1" applyBorder="1"/>
    <xf numFmtId="0" fontId="0" fillId="0" borderId="12" xfId="0" applyFill="1" applyBorder="1"/>
    <xf numFmtId="0" fontId="46" fillId="0" borderId="0" xfId="0" applyFont="1" applyAlignment="1">
      <alignment horizontal="left"/>
    </xf>
    <xf numFmtId="2" fontId="2" fillId="0" borderId="0" xfId="0" applyNumberFormat="1" applyFont="1" applyAlignment="1">
      <alignment horizontal="left"/>
    </xf>
    <xf numFmtId="0" fontId="0" fillId="13" borderId="0" xfId="0" applyFill="1"/>
    <xf numFmtId="2" fontId="0" fillId="13" borderId="0" xfId="0" applyNumberFormat="1" applyFill="1"/>
    <xf numFmtId="1" fontId="0" fillId="13" borderId="0" xfId="0" applyNumberFormat="1" applyFill="1"/>
    <xf numFmtId="0" fontId="2" fillId="13" borderId="0" xfId="0" applyFont="1" applyFill="1" applyBorder="1" applyAlignment="1">
      <alignment horizontal="center"/>
    </xf>
    <xf numFmtId="0" fontId="2" fillId="13" borderId="0" xfId="0" applyFont="1" applyFill="1" applyBorder="1"/>
    <xf numFmtId="2" fontId="8" fillId="13" borderId="0" xfId="0" applyNumberFormat="1" applyFont="1" applyFill="1" applyBorder="1" applyAlignment="1">
      <alignment horizontal="center" vertical="center"/>
    </xf>
    <xf numFmtId="2" fontId="2" fillId="13" borderId="0" xfId="0" applyNumberFormat="1" applyFont="1" applyFill="1" applyBorder="1" applyAlignment="1">
      <alignment horizontal="center"/>
    </xf>
    <xf numFmtId="2" fontId="7" fillId="13" borderId="0" xfId="0" applyNumberFormat="1" applyFont="1" applyFill="1" applyBorder="1" applyAlignment="1">
      <alignment horizontal="center" vertical="center"/>
    </xf>
    <xf numFmtId="0" fontId="9" fillId="13" borderId="0" xfId="0" applyFont="1" applyFill="1" applyBorder="1"/>
    <xf numFmtId="2" fontId="40" fillId="13" borderId="24" xfId="6" applyNumberFormat="1" applyFont="1" applyFill="1" applyBorder="1" applyAlignment="1">
      <alignment horizontal="center"/>
    </xf>
    <xf numFmtId="0" fontId="44" fillId="15" borderId="7" xfId="0" applyFont="1" applyFill="1" applyBorder="1" applyAlignment="1">
      <alignment horizontal="center"/>
    </xf>
    <xf numFmtId="0" fontId="44" fillId="15" borderId="8" xfId="0" applyFont="1" applyFill="1" applyBorder="1" applyAlignment="1">
      <alignment horizontal="center"/>
    </xf>
    <xf numFmtId="0" fontId="44" fillId="15" borderId="9" xfId="0" applyFont="1" applyFill="1" applyBorder="1" applyAlignment="1">
      <alignment horizontal="center"/>
    </xf>
    <xf numFmtId="0" fontId="44" fillId="15" borderId="2" xfId="0" applyFont="1" applyFill="1" applyBorder="1" applyAlignment="1">
      <alignment horizontal="center"/>
    </xf>
    <xf numFmtId="0" fontId="44" fillId="15" borderId="13" xfId="0" applyFont="1" applyFill="1" applyBorder="1" applyAlignment="1">
      <alignment horizontal="center"/>
    </xf>
    <xf numFmtId="167" fontId="44" fillId="15" borderId="6" xfId="0" applyNumberFormat="1" applyFont="1" applyFill="1" applyBorder="1" applyAlignment="1">
      <alignment horizontal="center"/>
    </xf>
    <xf numFmtId="0" fontId="10" fillId="15" borderId="8" xfId="4" applyFont="1" applyFill="1" applyBorder="1" applyAlignment="1">
      <alignment horizontal="center" vertical="center"/>
    </xf>
    <xf numFmtId="0" fontId="10" fillId="15" borderId="8" xfId="4" applyFont="1" applyFill="1" applyBorder="1" applyAlignment="1">
      <alignment horizontal="center" vertical="center" wrapText="1"/>
    </xf>
    <xf numFmtId="0" fontId="44" fillId="15" borderId="0" xfId="0" applyFont="1" applyFill="1" applyBorder="1" applyAlignment="1">
      <alignment horizontal="center" vertical="center"/>
    </xf>
    <xf numFmtId="0" fontId="10" fillId="15" borderId="2" xfId="0" applyFont="1" applyFill="1" applyBorder="1" applyAlignment="1">
      <alignment vertical="center"/>
    </xf>
    <xf numFmtId="0" fontId="10" fillId="15" borderId="3" xfId="0" applyFont="1" applyFill="1" applyBorder="1" applyAlignment="1">
      <alignment horizontal="center"/>
    </xf>
    <xf numFmtId="0" fontId="10" fillId="15" borderId="13" xfId="0" applyFont="1" applyFill="1" applyBorder="1" applyAlignment="1">
      <alignment horizontal="center" vertical="center"/>
    </xf>
    <xf numFmtId="3" fontId="10" fillId="15" borderId="13" xfId="0" applyNumberFormat="1" applyFont="1" applyFill="1" applyBorder="1" applyAlignment="1">
      <alignment vertical="center"/>
    </xf>
    <xf numFmtId="1" fontId="10" fillId="15" borderId="6" xfId="0" applyNumberFormat="1" applyFont="1" applyFill="1" applyBorder="1" applyAlignment="1">
      <alignment horizontal="center" vertical="center"/>
    </xf>
    <xf numFmtId="1" fontId="10" fillId="15" borderId="13" xfId="0" applyNumberFormat="1" applyFont="1" applyFill="1" applyBorder="1" applyAlignment="1">
      <alignment horizontal="center"/>
    </xf>
    <xf numFmtId="2" fontId="10" fillId="15" borderId="1" xfId="4" applyNumberFormat="1" applyFont="1" applyFill="1" applyBorder="1" applyAlignment="1">
      <alignment horizontal="center" vertical="center"/>
    </xf>
    <xf numFmtId="2" fontId="10" fillId="15" borderId="1" xfId="4" applyNumberFormat="1" applyFont="1" applyFill="1" applyBorder="1" applyAlignment="1">
      <alignment horizontal="center" vertical="center" wrapText="1"/>
    </xf>
    <xf numFmtId="0" fontId="10" fillId="15" borderId="8" xfId="4" applyFont="1" applyFill="1" applyBorder="1" applyAlignment="1">
      <alignment vertical="center"/>
    </xf>
    <xf numFmtId="0" fontId="10" fillId="15" borderId="25" xfId="4" applyFont="1" applyFill="1" applyBorder="1" applyAlignment="1">
      <alignment vertical="center"/>
    </xf>
    <xf numFmtId="0" fontId="10" fillId="15" borderId="0" xfId="4" applyNumberFormat="1" applyFont="1" applyFill="1" applyBorder="1" applyAlignment="1">
      <alignment horizontal="center" vertical="center"/>
    </xf>
    <xf numFmtId="0" fontId="10" fillId="15" borderId="10" xfId="4" applyFont="1" applyFill="1" applyBorder="1" applyAlignment="1">
      <alignment vertical="center"/>
    </xf>
    <xf numFmtId="9" fontId="10" fillId="15" borderId="1" xfId="3" applyFont="1" applyFill="1" applyBorder="1" applyAlignment="1">
      <alignment horizontal="center" vertical="center"/>
    </xf>
    <xf numFmtId="9" fontId="10" fillId="15" borderId="1" xfId="3" applyFont="1" applyFill="1" applyBorder="1" applyAlignment="1">
      <alignment vertical="center"/>
    </xf>
    <xf numFmtId="2" fontId="10" fillId="15" borderId="1" xfId="0" applyNumberFormat="1" applyFont="1" applyFill="1" applyBorder="1" applyAlignment="1">
      <alignment horizontal="center" vertical="center"/>
    </xf>
    <xf numFmtId="1" fontId="10" fillId="15" borderId="1" xfId="0" applyNumberFormat="1" applyFont="1" applyFill="1" applyBorder="1" applyAlignment="1">
      <alignment horizontal="center" vertical="center"/>
    </xf>
    <xf numFmtId="3" fontId="10" fillId="15" borderId="1" xfId="0" applyNumberFormat="1" applyFont="1" applyFill="1" applyBorder="1" applyAlignment="1">
      <alignment vertical="center"/>
    </xf>
    <xf numFmtId="0" fontId="10" fillId="15" borderId="7" xfId="5" applyFont="1" applyFill="1" applyBorder="1" applyAlignment="1">
      <alignment horizontal="center" vertical="center"/>
    </xf>
    <xf numFmtId="0" fontId="10" fillId="15" borderId="8" xfId="5" applyFont="1" applyFill="1" applyBorder="1" applyAlignment="1">
      <alignment horizontal="center" vertical="center"/>
    </xf>
    <xf numFmtId="2" fontId="10" fillId="15" borderId="8" xfId="6" applyNumberFormat="1" applyFont="1" applyFill="1" applyBorder="1" applyAlignment="1">
      <alignment horizontal="center" vertical="center"/>
    </xf>
    <xf numFmtId="2" fontId="44" fillId="15" borderId="9" xfId="0" applyNumberFormat="1" applyFont="1" applyFill="1" applyBorder="1" applyAlignment="1">
      <alignment horizontal="center" vertical="center"/>
    </xf>
    <xf numFmtId="0" fontId="10" fillId="15" borderId="25" xfId="0" applyFont="1" applyFill="1" applyBorder="1" applyAlignment="1">
      <alignment horizontal="center" vertical="center"/>
    </xf>
    <xf numFmtId="0" fontId="10" fillId="15" borderId="0" xfId="0" applyFont="1" applyFill="1" applyBorder="1" applyAlignment="1">
      <alignment horizontal="center" vertical="center"/>
    </xf>
    <xf numFmtId="10" fontId="10" fillId="15" borderId="0" xfId="3" applyNumberFormat="1" applyFont="1" applyFill="1" applyBorder="1" applyAlignment="1">
      <alignment horizontal="center" vertical="center"/>
    </xf>
    <xf numFmtId="2" fontId="44" fillId="15" borderId="24" xfId="0" applyNumberFormat="1" applyFont="1" applyFill="1" applyBorder="1" applyAlignment="1">
      <alignment horizontal="center" vertical="center"/>
    </xf>
    <xf numFmtId="2" fontId="10" fillId="15" borderId="1" xfId="6" applyNumberFormat="1" applyFont="1" applyFill="1" applyBorder="1" applyAlignment="1">
      <alignment horizontal="center"/>
    </xf>
    <xf numFmtId="2" fontId="44" fillId="15" borderId="11" xfId="0" applyNumberFormat="1" applyFont="1" applyFill="1" applyBorder="1" applyAlignment="1">
      <alignment horizontal="center" vertical="center"/>
    </xf>
    <xf numFmtId="0" fontId="10" fillId="15" borderId="3" xfId="0" applyFont="1" applyFill="1" applyBorder="1" applyAlignment="1">
      <alignment horizontal="center" vertical="center"/>
    </xf>
    <xf numFmtId="2" fontId="44" fillId="15" borderId="6" xfId="0" applyNumberFormat="1" applyFont="1" applyFill="1" applyBorder="1" applyAlignment="1">
      <alignment horizontal="center" vertical="center"/>
    </xf>
    <xf numFmtId="0" fontId="10" fillId="15" borderId="10" xfId="0" applyFont="1" applyFill="1" applyBorder="1" applyAlignment="1">
      <alignment horizontal="center" wrapText="1"/>
    </xf>
    <xf numFmtId="0" fontId="10" fillId="15" borderId="1" xfId="0" applyFont="1" applyFill="1" applyBorder="1" applyAlignment="1">
      <alignment horizontal="center" wrapText="1"/>
    </xf>
    <xf numFmtId="2" fontId="10" fillId="15" borderId="11" xfId="0" applyNumberFormat="1" applyFont="1" applyFill="1" applyBorder="1" applyAlignment="1">
      <alignment horizontal="center"/>
    </xf>
    <xf numFmtId="0" fontId="8" fillId="18" borderId="25" xfId="0" applyFont="1" applyFill="1" applyBorder="1" applyAlignment="1">
      <alignment horizontal="center" vertical="center"/>
    </xf>
    <xf numFmtId="1" fontId="8" fillId="18" borderId="0" xfId="0" applyNumberFormat="1" applyFont="1" applyFill="1" applyBorder="1" applyAlignment="1">
      <alignment horizontal="center" vertical="center"/>
    </xf>
    <xf numFmtId="0" fontId="2" fillId="18" borderId="0" xfId="0" applyFont="1" applyFill="1" applyBorder="1" applyAlignment="1">
      <alignment horizontal="center" wrapText="1"/>
    </xf>
    <xf numFmtId="2" fontId="2" fillId="18" borderId="24" xfId="0" applyNumberFormat="1" applyFont="1" applyFill="1" applyBorder="1" applyAlignment="1">
      <alignment horizontal="center"/>
    </xf>
    <xf numFmtId="0" fontId="2" fillId="18" borderId="25" xfId="0" applyFont="1" applyFill="1" applyBorder="1" applyAlignment="1">
      <alignment horizontal="center" wrapText="1"/>
    </xf>
    <xf numFmtId="0" fontId="3" fillId="17" borderId="0" xfId="42" applyFill="1"/>
    <xf numFmtId="0" fontId="6" fillId="17" borderId="0" xfId="42" applyFont="1" applyFill="1" applyAlignment="1">
      <alignment horizontal="center"/>
    </xf>
    <xf numFmtId="0" fontId="6" fillId="17" borderId="0" xfId="42" applyFont="1" applyFill="1"/>
    <xf numFmtId="2" fontId="6" fillId="17" borderId="0" xfId="42" applyNumberFormat="1" applyFont="1" applyFill="1"/>
    <xf numFmtId="0" fontId="3" fillId="17" borderId="0" xfId="42" applyFill="1" applyAlignment="1">
      <alignment vertical="center"/>
    </xf>
    <xf numFmtId="2" fontId="3" fillId="17" borderId="0" xfId="42" applyNumberFormat="1" applyFill="1"/>
    <xf numFmtId="167" fontId="3" fillId="17" borderId="0" xfId="42" applyNumberFormat="1" applyFill="1"/>
    <xf numFmtId="0" fontId="3" fillId="17" borderId="0" xfId="42" applyFont="1" applyFill="1" applyAlignment="1">
      <alignment horizontal="center"/>
    </xf>
    <xf numFmtId="0" fontId="6" fillId="17" borderId="0" xfId="42" applyFont="1" applyFill="1" applyAlignment="1">
      <alignment horizontal="center" vertical="center"/>
    </xf>
    <xf numFmtId="0" fontId="3" fillId="17" borderId="0" xfId="42" applyFont="1" applyFill="1" applyAlignment="1">
      <alignment horizontal="center" vertical="center"/>
    </xf>
    <xf numFmtId="167" fontId="3" fillId="17" borderId="0" xfId="42" applyNumberFormat="1" applyFont="1" applyFill="1" applyAlignment="1">
      <alignment horizontal="center" vertical="center"/>
    </xf>
    <xf numFmtId="167" fontId="3" fillId="17" borderId="0" xfId="42" applyNumberFormat="1" applyFont="1" applyFill="1" applyAlignment="1">
      <alignment horizontal="center"/>
    </xf>
    <xf numFmtId="0" fontId="35" fillId="17" borderId="0" xfId="44" applyFont="1" applyFill="1"/>
    <xf numFmtId="0" fontId="3" fillId="17" borderId="0" xfId="44" applyFill="1"/>
    <xf numFmtId="2" fontId="37" fillId="17" borderId="0" xfId="44" applyNumberFormat="1" applyFont="1" applyFill="1"/>
    <xf numFmtId="2" fontId="3" fillId="17" borderId="0" xfId="44" applyNumberFormat="1" applyFill="1"/>
    <xf numFmtId="0" fontId="35" fillId="17" borderId="0" xfId="44" applyFont="1" applyFill="1" applyAlignment="1">
      <alignment vertical="center"/>
    </xf>
    <xf numFmtId="2" fontId="38" fillId="17" borderId="0" xfId="44" applyNumberFormat="1" applyFont="1" applyFill="1" applyAlignment="1">
      <alignment vertical="center"/>
    </xf>
    <xf numFmtId="2" fontId="35" fillId="17" borderId="0" xfId="44" applyNumberFormat="1" applyFont="1" applyFill="1" applyAlignment="1">
      <alignment vertical="center"/>
    </xf>
    <xf numFmtId="2" fontId="36" fillId="17" borderId="0" xfId="44" applyNumberFormat="1" applyFont="1" applyFill="1" applyAlignment="1">
      <alignment vertical="center"/>
    </xf>
    <xf numFmtId="167" fontId="3" fillId="17" borderId="0" xfId="44" applyNumberFormat="1" applyFill="1"/>
    <xf numFmtId="10" fontId="36" fillId="17" borderId="0" xfId="52" applyNumberFormat="1" applyFont="1" applyFill="1" applyAlignment="1">
      <alignment vertical="center"/>
    </xf>
    <xf numFmtId="0" fontId="6" fillId="0" borderId="25" xfId="42" applyFont="1" applyBorder="1" applyAlignment="1">
      <alignment horizontal="center" vertical="center" wrapText="1"/>
    </xf>
    <xf numFmtId="0" fontId="6" fillId="0" borderId="0" xfId="42" applyFont="1" applyBorder="1" applyAlignment="1">
      <alignment horizontal="center" vertical="center" wrapText="1"/>
    </xf>
    <xf numFmtId="0" fontId="6" fillId="0" borderId="24" xfId="42" applyFont="1" applyBorder="1" applyAlignment="1">
      <alignment horizontal="center" vertical="center" wrapText="1"/>
    </xf>
    <xf numFmtId="0" fontId="3" fillId="0" borderId="25" xfId="42" applyFont="1" applyBorder="1" applyAlignment="1">
      <alignment vertical="center"/>
    </xf>
    <xf numFmtId="9" fontId="6" fillId="0" borderId="1" xfId="42" applyNumberFormat="1" applyFont="1" applyBorder="1" applyAlignment="1">
      <alignment horizontal="center" vertical="center"/>
    </xf>
    <xf numFmtId="2" fontId="6" fillId="0" borderId="11" xfId="42" applyNumberFormat="1" applyFont="1" applyBorder="1" applyAlignment="1">
      <alignment horizontal="center" vertical="center"/>
    </xf>
    <xf numFmtId="0" fontId="10" fillId="15" borderId="7" xfId="0" applyFont="1" applyFill="1" applyBorder="1" applyAlignment="1">
      <alignment horizontal="center" vertical="center"/>
    </xf>
    <xf numFmtId="0" fontId="10"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Fill="1" applyBorder="1" applyAlignment="1">
      <alignment horizontal="center"/>
    </xf>
    <xf numFmtId="0" fontId="47" fillId="14" borderId="0" xfId="0" applyFont="1" applyFill="1" applyBorder="1" applyAlignment="1">
      <alignment horizontal="left" wrapText="1"/>
    </xf>
    <xf numFmtId="9" fontId="6" fillId="0" borderId="0" xfId="42" applyNumberFormat="1" applyFont="1" applyBorder="1" applyAlignment="1">
      <alignment horizontal="center" vertical="center"/>
    </xf>
    <xf numFmtId="0" fontId="3" fillId="0" borderId="25" xfId="42" applyFont="1" applyBorder="1" applyAlignment="1">
      <alignment horizontal="center" vertical="center"/>
    </xf>
    <xf numFmtId="3" fontId="3" fillId="0" borderId="0" xfId="42" applyNumberFormat="1" applyFont="1" applyBorder="1" applyAlignment="1">
      <alignment vertical="center"/>
    </xf>
    <xf numFmtId="3" fontId="3" fillId="0" borderId="24" xfId="42" applyNumberFormat="1" applyFont="1" applyBorder="1"/>
    <xf numFmtId="0" fontId="3" fillId="0" borderId="25" xfId="42" applyFont="1" applyBorder="1" applyAlignment="1">
      <alignment horizontal="center" vertical="center" wrapText="1"/>
    </xf>
    <xf numFmtId="3" fontId="3" fillId="0" borderId="10" xfId="42" applyNumberFormat="1" applyFont="1" applyBorder="1" applyAlignment="1">
      <alignment horizontal="left" vertical="center" wrapText="1"/>
    </xf>
    <xf numFmtId="2" fontId="6" fillId="0" borderId="1" xfId="42" applyNumberFormat="1" applyFont="1" applyBorder="1" applyAlignment="1">
      <alignment horizontal="center" vertical="center"/>
    </xf>
    <xf numFmtId="0" fontId="3" fillId="17" borderId="0" xfId="42" applyFill="1" applyBorder="1"/>
    <xf numFmtId="0" fontId="10" fillId="15" borderId="7" xfId="0" applyFont="1" applyFill="1" applyBorder="1" applyAlignment="1">
      <alignment horizontal="center" vertical="center" wrapText="1"/>
    </xf>
    <xf numFmtId="0" fontId="10" fillId="15" borderId="1" xfId="0" applyFont="1" applyFill="1" applyBorder="1" applyAlignment="1">
      <alignment horizontal="center" vertical="center"/>
    </xf>
    <xf numFmtId="0" fontId="44" fillId="15" borderId="8" xfId="0" applyFont="1" applyFill="1" applyBorder="1" applyAlignment="1">
      <alignment horizontal="center" vertical="center"/>
    </xf>
    <xf numFmtId="0" fontId="10" fillId="15" borderId="2" xfId="0" applyFont="1" applyFill="1" applyBorder="1" applyAlignment="1">
      <alignment horizontal="center" vertical="center"/>
    </xf>
    <xf numFmtId="0" fontId="2" fillId="0" borderId="0" xfId="0" applyFont="1" applyBorder="1" applyAlignment="1">
      <alignment horizontal="center" vertical="center"/>
    </xf>
    <xf numFmtId="0" fontId="9" fillId="0" borderId="10" xfId="0" applyFont="1" applyBorder="1" applyAlignment="1">
      <alignment horizontal="center" vertical="center"/>
    </xf>
    <xf numFmtId="0" fontId="2" fillId="0" borderId="1" xfId="0" applyFont="1" applyBorder="1" applyAlignment="1">
      <alignment horizontal="center" vertical="center"/>
    </xf>
    <xf numFmtId="3" fontId="3" fillId="0" borderId="25" xfId="42" applyNumberFormat="1" applyFont="1" applyBorder="1" applyAlignment="1">
      <alignment horizontal="left" vertical="center" wrapText="1"/>
    </xf>
    <xf numFmtId="0" fontId="10" fillId="15" borderId="13" xfId="0"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2" fillId="0" borderId="1" xfId="0" applyFont="1" applyBorder="1" applyAlignment="1">
      <alignment horizontal="center" vertical="center"/>
    </xf>
    <xf numFmtId="0" fontId="6" fillId="0" borderId="12" xfId="0" applyFont="1" applyBorder="1" applyAlignment="1">
      <alignment horizontal="center" vertical="center"/>
    </xf>
    <xf numFmtId="2" fontId="6" fillId="0" borderId="12" xfId="0" applyNumberFormat="1" applyFont="1" applyBorder="1" applyAlignment="1">
      <alignment horizontal="center" vertical="center"/>
    </xf>
    <xf numFmtId="2" fontId="6" fillId="0" borderId="4" xfId="0" applyNumberFormat="1" applyFont="1" applyBorder="1" applyAlignment="1">
      <alignment horizontal="center" vertical="center"/>
    </xf>
    <xf numFmtId="9" fontId="6" fillId="0" borderId="12" xfId="3" applyFont="1" applyBorder="1" applyAlignment="1">
      <alignment horizontal="center" vertical="center"/>
    </xf>
    <xf numFmtId="9" fontId="6" fillId="0" borderId="4" xfId="3" applyFont="1" applyBorder="1" applyAlignment="1">
      <alignment horizontal="center" vertical="center"/>
    </xf>
    <xf numFmtId="0" fontId="10" fillId="15" borderId="0" xfId="0" applyFont="1" applyFill="1" applyAlignment="1">
      <alignment horizontal="center" vertical="center"/>
    </xf>
    <xf numFmtId="14" fontId="10" fillId="15" borderId="7" xfId="0" applyNumberFormat="1" applyFont="1" applyFill="1" applyBorder="1" applyAlignment="1">
      <alignment horizontal="center" vertical="center"/>
    </xf>
    <xf numFmtId="14" fontId="10" fillId="15" borderId="5" xfId="0" applyNumberFormat="1" applyFont="1" applyFill="1" applyBorder="1" applyAlignment="1">
      <alignment horizontal="center" vertical="center"/>
    </xf>
    <xf numFmtId="1" fontId="10" fillId="15" borderId="5" xfId="0" applyNumberFormat="1" applyFont="1" applyFill="1" applyBorder="1" applyAlignment="1">
      <alignment horizontal="center" vertical="center"/>
    </xf>
    <xf numFmtId="0" fontId="2" fillId="15" borderId="0" xfId="0" applyFont="1" applyFill="1" applyAlignment="1">
      <alignment horizontal="center"/>
    </xf>
    <xf numFmtId="0" fontId="2" fillId="0" borderId="8" xfId="0" applyFont="1" applyBorder="1" applyAlignment="1">
      <alignment horizont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48" fillId="0" borderId="1" xfId="0" applyNumberFormat="1" applyFont="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top"/>
    </xf>
    <xf numFmtId="1" fontId="3" fillId="0" borderId="8" xfId="0" applyNumberFormat="1" applyFont="1" applyBorder="1" applyAlignment="1">
      <alignment horizontal="center" vertical="center" wrapText="1"/>
    </xf>
    <xf numFmtId="1" fontId="8" fillId="3" borderId="8" xfId="0" applyNumberFormat="1" applyFont="1" applyFill="1" applyBorder="1" applyAlignment="1">
      <alignment horizontal="center" vertical="center"/>
    </xf>
    <xf numFmtId="0" fontId="2" fillId="0" borderId="0" xfId="0" applyFont="1" applyBorder="1" applyAlignment="1">
      <alignment horizontal="center" vertical="top"/>
    </xf>
    <xf numFmtId="1" fontId="3" fillId="0" borderId="0" xfId="0" applyNumberFormat="1" applyFont="1" applyBorder="1" applyAlignment="1">
      <alignment horizontal="center" vertical="center" wrapText="1"/>
    </xf>
    <xf numFmtId="1" fontId="8" fillId="3" borderId="0" xfId="0" applyNumberFormat="1" applyFont="1" applyFill="1" applyBorder="1" applyAlignment="1">
      <alignment horizontal="center" vertical="center"/>
    </xf>
    <xf numFmtId="1" fontId="2" fillId="0" borderId="24" xfId="0" applyNumberFormat="1" applyFont="1" applyBorder="1" applyAlignment="1">
      <alignment horizontal="center"/>
    </xf>
    <xf numFmtId="0" fontId="2" fillId="0" borderId="1" xfId="0" applyFont="1" applyBorder="1" applyAlignment="1">
      <alignment horizontal="center" vertical="top"/>
    </xf>
    <xf numFmtId="1" fontId="3" fillId="0" borderId="1" xfId="0" applyNumberFormat="1" applyFont="1" applyBorder="1" applyAlignment="1">
      <alignment horizontal="center" vertical="center" wrapText="1"/>
    </xf>
    <xf numFmtId="1" fontId="8" fillId="3" borderId="1" xfId="0" applyNumberFormat="1" applyFont="1" applyFill="1" applyBorder="1" applyAlignment="1">
      <alignment horizontal="center" vertical="center"/>
    </xf>
    <xf numFmtId="1" fontId="2" fillId="0" borderId="11" xfId="0" applyNumberFormat="1" applyFont="1" applyBorder="1" applyAlignment="1">
      <alignment horizontal="center"/>
    </xf>
    <xf numFmtId="0" fontId="9" fillId="0" borderId="7" xfId="0" applyFont="1" applyBorder="1" applyAlignment="1">
      <alignment horizontal="center" vertical="center" wrapText="1"/>
    </xf>
    <xf numFmtId="1" fontId="3" fillId="0" borderId="8" xfId="0" applyNumberFormat="1" applyFont="1" applyBorder="1" applyAlignment="1">
      <alignment horizontal="center" vertical="center"/>
    </xf>
    <xf numFmtId="0" fontId="2" fillId="0" borderId="8" xfId="0" applyFont="1" applyFill="1" applyBorder="1" applyAlignment="1">
      <alignment horizontal="center"/>
    </xf>
    <xf numFmtId="1" fontId="3" fillId="0" borderId="8" xfId="46" applyNumberFormat="1" applyFont="1" applyFill="1" applyBorder="1" applyAlignment="1">
      <alignment horizontal="center" vertical="center"/>
    </xf>
    <xf numFmtId="1" fontId="3" fillId="0" borderId="8" xfId="1" applyNumberFormat="1" applyFont="1" applyFill="1" applyBorder="1" applyAlignment="1">
      <alignment horizontal="center" vertical="center"/>
    </xf>
    <xf numFmtId="2" fontId="8" fillId="0" borderId="7" xfId="0" applyNumberFormat="1" applyFont="1" applyBorder="1" applyAlignment="1">
      <alignment horizontal="center" vertical="top" wrapText="1"/>
    </xf>
    <xf numFmtId="2" fontId="8" fillId="0" borderId="8"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1" fontId="3" fillId="0" borderId="0" xfId="46"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2" fontId="8" fillId="0" borderId="25"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24" xfId="0" applyNumberFormat="1" applyFont="1" applyBorder="1" applyAlignment="1">
      <alignment horizontal="center" vertical="top" wrapText="1"/>
    </xf>
    <xf numFmtId="2" fontId="8" fillId="0" borderId="0" xfId="0" applyNumberFormat="1" applyFont="1" applyBorder="1" applyAlignment="1">
      <alignment horizontal="center" vertical="center" wrapText="1"/>
    </xf>
    <xf numFmtId="2" fontId="8" fillId="0" borderId="24" xfId="0" applyNumberFormat="1" applyFont="1" applyBorder="1" applyAlignment="1">
      <alignment horizontal="center" vertical="center" wrapText="1"/>
    </xf>
    <xf numFmtId="2" fontId="2" fillId="0" borderId="25" xfId="0" applyNumberFormat="1" applyFont="1" applyBorder="1" applyAlignment="1">
      <alignment horizontal="center" vertical="top" wrapText="1"/>
    </xf>
    <xf numFmtId="1" fontId="3" fillId="0" borderId="0" xfId="46" applyNumberFormat="1" applyFont="1" applyFill="1" applyBorder="1" applyAlignment="1">
      <alignment horizontal="center" vertical="center" wrapText="1"/>
    </xf>
    <xf numFmtId="1" fontId="2" fillId="0" borderId="0" xfId="0" applyNumberFormat="1" applyFont="1" applyFill="1" applyBorder="1" applyAlignment="1">
      <alignment horizontal="center" wrapText="1"/>
    </xf>
    <xf numFmtId="2" fontId="2" fillId="0" borderId="1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wrapText="1"/>
    </xf>
    <xf numFmtId="1" fontId="3" fillId="0" borderId="1" xfId="46" applyNumberFormat="1" applyFont="1" applyFill="1" applyBorder="1" applyAlignment="1">
      <alignment horizontal="center" vertical="center"/>
    </xf>
    <xf numFmtId="1" fontId="3" fillId="0" borderId="13" xfId="1" applyNumberFormat="1" applyFont="1" applyFill="1" applyBorder="1" applyAlignment="1">
      <alignment horizontal="center" vertical="center"/>
    </xf>
    <xf numFmtId="0" fontId="2" fillId="0" borderId="13" xfId="0" applyFont="1" applyBorder="1" applyAlignment="1">
      <alignment horizontal="center" vertical="center"/>
    </xf>
    <xf numFmtId="1" fontId="2" fillId="0" borderId="13" xfId="0" applyNumberFormat="1" applyFont="1" applyBorder="1" applyAlignment="1">
      <alignment horizontal="center" vertical="center"/>
    </xf>
    <xf numFmtId="1" fontId="3" fillId="0" borderId="13" xfId="46" applyNumberFormat="1" applyFont="1" applyBorder="1" applyAlignment="1">
      <alignment horizontal="center" vertical="center" wrapText="1"/>
    </xf>
    <xf numFmtId="0" fontId="52" fillId="0" borderId="0" xfId="0" applyFont="1" applyBorder="1"/>
    <xf numFmtId="0" fontId="52" fillId="0" borderId="1" xfId="0" applyFont="1" applyBorder="1"/>
    <xf numFmtId="0" fontId="52" fillId="14" borderId="0" xfId="0" applyFont="1" applyFill="1"/>
    <xf numFmtId="3" fontId="10" fillId="15" borderId="11" xfId="0" applyNumberFormat="1" applyFont="1" applyFill="1" applyBorder="1" applyAlignment="1">
      <alignment horizontal="center" vertical="center" wrapText="1"/>
    </xf>
    <xf numFmtId="0" fontId="52" fillId="18" borderId="0" xfId="0" applyFont="1" applyFill="1"/>
    <xf numFmtId="0" fontId="51" fillId="18" borderId="0" xfId="0" applyFont="1" applyFill="1"/>
    <xf numFmtId="0" fontId="2" fillId="18" borderId="0" xfId="0" applyFont="1" applyFill="1" applyAlignment="1">
      <alignment horizontal="center"/>
    </xf>
    <xf numFmtId="0" fontId="2" fillId="18" borderId="0" xfId="0" applyFont="1" applyFill="1"/>
    <xf numFmtId="0" fontId="8"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Border="1" applyAlignment="1">
      <alignment horizontal="center" vertical="center"/>
    </xf>
    <xf numFmtId="1" fontId="51" fillId="18" borderId="0" xfId="0" applyNumberFormat="1" applyFont="1" applyFill="1"/>
    <xf numFmtId="2" fontId="2" fillId="18" borderId="0" xfId="0" applyNumberFormat="1" applyFont="1" applyFill="1" applyBorder="1" applyAlignment="1">
      <alignment horizontal="center" vertical="top" wrapText="1"/>
    </xf>
    <xf numFmtId="2" fontId="8" fillId="18" borderId="0" xfId="0" applyNumberFormat="1" applyFont="1" applyFill="1" applyBorder="1" applyAlignment="1">
      <alignment horizontal="center" vertical="top" wrapText="1"/>
    </xf>
    <xf numFmtId="2" fontId="2" fillId="18" borderId="0" xfId="0" applyNumberFormat="1" applyFont="1" applyFill="1" applyAlignment="1">
      <alignment horizontal="center"/>
    </xf>
    <xf numFmtId="0" fontId="47" fillId="18" borderId="0" xfId="0" applyFont="1" applyFill="1" applyBorder="1" applyAlignment="1">
      <alignment horizontal="left" wrapText="1"/>
    </xf>
    <xf numFmtId="0" fontId="44" fillId="15" borderId="9" xfId="0" applyFont="1" applyFill="1" applyBorder="1" applyAlignment="1">
      <alignment horizontal="center" vertical="center" wrapText="1"/>
    </xf>
    <xf numFmtId="0" fontId="44" fillId="15" borderId="7" xfId="0" applyFont="1" applyFill="1" applyBorder="1" applyAlignment="1">
      <alignment vertical="center" wrapText="1"/>
    </xf>
    <xf numFmtId="0" fontId="8" fillId="0" borderId="0" xfId="0" applyFont="1" applyBorder="1" applyAlignment="1">
      <alignment horizontal="center" vertical="center"/>
    </xf>
    <xf numFmtId="1" fontId="8" fillId="0" borderId="0" xfId="0" applyNumberFormat="1" applyFont="1" applyBorder="1" applyAlignment="1">
      <alignment horizontal="center" vertical="center"/>
    </xf>
    <xf numFmtId="169" fontId="8" fillId="0" borderId="24" xfId="3" applyNumberFormat="1" applyFont="1" applyBorder="1" applyAlignment="1">
      <alignment horizontal="center" vertical="center"/>
    </xf>
    <xf numFmtId="3" fontId="9" fillId="0" borderId="1" xfId="0" applyNumberFormat="1" applyFont="1" applyBorder="1" applyAlignment="1">
      <alignment horizontal="center"/>
    </xf>
    <xf numFmtId="0" fontId="9" fillId="0" borderId="11" xfId="0" applyFont="1" applyBorder="1" applyAlignment="1">
      <alignment horizontal="center"/>
    </xf>
    <xf numFmtId="0" fontId="53" fillId="18" borderId="25" xfId="0" applyFont="1" applyFill="1" applyBorder="1" applyAlignment="1">
      <alignment horizontal="center" wrapText="1"/>
    </xf>
    <xf numFmtId="0" fontId="53" fillId="0" borderId="25" xfId="0" applyFont="1" applyFill="1" applyBorder="1" applyAlignment="1">
      <alignment horizontal="center" wrapText="1"/>
    </xf>
    <xf numFmtId="0" fontId="53" fillId="0" borderId="25" xfId="0" applyFont="1" applyFill="1" applyBorder="1" applyAlignment="1">
      <alignment horizontal="center" vertical="top" wrapText="1"/>
    </xf>
    <xf numFmtId="1" fontId="3" fillId="0" borderId="1" xfId="1" applyNumberFormat="1" applyFont="1" applyFill="1" applyBorder="1" applyAlignment="1">
      <alignment horizontal="center" vertical="center"/>
    </xf>
    <xf numFmtId="9" fontId="48" fillId="0" borderId="0" xfId="0" applyNumberFormat="1" applyFont="1" applyFill="1" applyBorder="1" applyAlignment="1">
      <alignment horizontal="center" vertical="center" wrapText="1"/>
    </xf>
    <xf numFmtId="0" fontId="54" fillId="15" borderId="0" xfId="0" applyFont="1" applyFill="1" applyBorder="1" applyAlignment="1">
      <alignment horizontal="center" wrapText="1"/>
    </xf>
    <xf numFmtId="0" fontId="54" fillId="15" borderId="8" xfId="0" applyFont="1" applyFill="1" applyBorder="1" applyAlignment="1">
      <alignment horizontal="center" vertical="center" wrapText="1"/>
    </xf>
    <xf numFmtId="0" fontId="48" fillId="15" borderId="1" xfId="0" applyFont="1" applyFill="1" applyBorder="1" applyAlignment="1">
      <alignment horizontal="center" wrapText="1"/>
    </xf>
    <xf numFmtId="0" fontId="48" fillId="18" borderId="0" xfId="0" applyFont="1" applyFill="1" applyBorder="1" applyAlignment="1">
      <alignment horizontal="center" wrapText="1"/>
    </xf>
    <xf numFmtId="0" fontId="48" fillId="0" borderId="0" xfId="0" applyFont="1" applyFill="1" applyBorder="1" applyAlignment="1">
      <alignment horizontal="center" wrapText="1"/>
    </xf>
    <xf numFmtId="9" fontId="48" fillId="0" borderId="0" xfId="0" applyNumberFormat="1" applyFont="1" applyFill="1" applyBorder="1" applyAlignment="1">
      <alignment horizontal="center" wrapText="1"/>
    </xf>
    <xf numFmtId="169" fontId="48" fillId="0" borderId="0" xfId="3" applyNumberFormat="1" applyFont="1" applyFill="1" applyBorder="1" applyAlignment="1">
      <alignment horizontal="center" wrapText="1"/>
    </xf>
    <xf numFmtId="169" fontId="48" fillId="0" borderId="0" xfId="3" applyNumberFormat="1" applyFont="1" applyFill="1" applyBorder="1" applyAlignment="1">
      <alignment horizontal="center" vertical="top" wrapText="1"/>
    </xf>
    <xf numFmtId="9" fontId="48" fillId="18" borderId="0" xfId="3" applyFont="1" applyFill="1" applyBorder="1" applyAlignment="1">
      <alignment horizontal="center" wrapText="1"/>
    </xf>
    <xf numFmtId="0" fontId="54" fillId="15" borderId="1" xfId="0" applyFont="1" applyFill="1" applyBorder="1" applyAlignment="1">
      <alignment horizontal="center" wrapText="1"/>
    </xf>
    <xf numFmtId="0" fontId="49" fillId="13" borderId="0" xfId="0" applyFont="1" applyFill="1"/>
    <xf numFmtId="1" fontId="44" fillId="15" borderId="9" xfId="0" applyNumberFormat="1" applyFont="1" applyFill="1" applyBorder="1" applyAlignment="1">
      <alignment horizontal="center"/>
    </xf>
    <xf numFmtId="0" fontId="9" fillId="0" borderId="3" xfId="0" applyFont="1" applyBorder="1" applyAlignment="1">
      <alignment horizontal="center" vertical="center" wrapText="1"/>
    </xf>
    <xf numFmtId="1" fontId="2" fillId="0" borderId="6" xfId="0" applyNumberFormat="1" applyFont="1" applyBorder="1" applyAlignment="1">
      <alignment horizontal="center"/>
    </xf>
    <xf numFmtId="1" fontId="3" fillId="0" borderId="24" xfId="42" applyNumberFormat="1" applyFont="1" applyBorder="1" applyAlignment="1">
      <alignment horizontal="center" vertical="center"/>
    </xf>
    <xf numFmtId="1" fontId="6" fillId="0" borderId="11" xfId="42" applyNumberFormat="1" applyFont="1" applyBorder="1" applyAlignment="1">
      <alignment horizontal="center" vertical="center"/>
    </xf>
    <xf numFmtId="169" fontId="3" fillId="0" borderId="0" xfId="42" applyNumberFormat="1" applyFont="1" applyBorder="1" applyAlignment="1">
      <alignment horizontal="center" vertical="center"/>
    </xf>
    <xf numFmtId="9" fontId="3" fillId="0" borderId="0" xfId="42" applyNumberFormat="1" applyFont="1" applyBorder="1" applyAlignment="1">
      <alignment horizontal="center" vertical="center" wrapText="1"/>
    </xf>
    <xf numFmtId="3" fontId="3" fillId="0" borderId="24" xfId="0" applyNumberFormat="1" applyFont="1" applyFill="1" applyBorder="1" applyAlignment="1">
      <alignment horizontal="center" vertical="center" wrapText="1"/>
    </xf>
    <xf numFmtId="9" fontId="3" fillId="0" borderId="24" xfId="42" applyNumberFormat="1" applyFont="1" applyBorder="1" applyAlignment="1">
      <alignment horizontal="center" vertical="center"/>
    </xf>
    <xf numFmtId="0" fontId="6" fillId="0" borderId="0" xfId="44" applyFont="1" applyBorder="1" applyAlignment="1">
      <alignment vertical="center"/>
    </xf>
    <xf numFmtId="0" fontId="10" fillId="15" borderId="2" xfId="44" applyFont="1" applyFill="1" applyBorder="1" applyAlignment="1">
      <alignment horizontal="center"/>
    </xf>
    <xf numFmtId="0" fontId="6" fillId="0" borderId="12" xfId="44" applyFont="1" applyBorder="1" applyAlignment="1">
      <alignment horizontal="center"/>
    </xf>
    <xf numFmtId="0" fontId="6" fillId="0" borderId="4" xfId="44" applyFont="1" applyBorder="1" applyAlignment="1">
      <alignment horizontal="center"/>
    </xf>
    <xf numFmtId="0" fontId="10" fillId="15" borderId="2" xfId="44" applyFont="1" applyFill="1" applyBorder="1" applyAlignment="1">
      <alignment horizontal="center" vertical="center"/>
    </xf>
    <xf numFmtId="10" fontId="3" fillId="0" borderId="12" xfId="52"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Fill="1" applyBorder="1" applyAlignment="1">
      <alignment horizontal="center"/>
    </xf>
    <xf numFmtId="1" fontId="2" fillId="0" borderId="6" xfId="0" applyNumberFormat="1" applyFont="1" applyBorder="1" applyAlignment="1">
      <alignment horizontal="center" vertical="center"/>
    </xf>
    <xf numFmtId="0" fontId="55" fillId="0" borderId="8" xfId="0" applyFont="1" applyFill="1" applyBorder="1" applyAlignment="1">
      <alignment horizontal="center"/>
    </xf>
    <xf numFmtId="0" fontId="55" fillId="0" borderId="0" xfId="0" applyFont="1" applyFill="1" applyBorder="1" applyAlignment="1">
      <alignment horizontal="center"/>
    </xf>
    <xf numFmtId="0" fontId="55" fillId="0" borderId="0" xfId="0" applyFont="1" applyFill="1" applyBorder="1" applyAlignment="1">
      <alignment horizontal="center" vertical="center"/>
    </xf>
    <xf numFmtId="0" fontId="0" fillId="0" borderId="2" xfId="0" applyBorder="1" applyAlignment="1">
      <alignment horizontal="center" vertical="center" wrapText="1"/>
    </xf>
    <xf numFmtId="0" fontId="42" fillId="15" borderId="2" xfId="0" applyFont="1" applyFill="1" applyBorder="1" applyAlignment="1">
      <alignment horizontal="center"/>
    </xf>
    <xf numFmtId="0" fontId="45" fillId="16" borderId="2" xfId="0" applyFont="1" applyFill="1" applyBorder="1" applyAlignment="1">
      <alignment horizontal="center" wrapText="1"/>
    </xf>
    <xf numFmtId="0" fontId="45"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0" borderId="25" xfId="0" applyFont="1" applyBorder="1" applyAlignment="1">
      <alignment horizontal="center" vertical="center"/>
    </xf>
    <xf numFmtId="0" fontId="9" fillId="0" borderId="10"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10" fillId="15" borderId="1" xfId="42" applyFont="1" applyFill="1" applyBorder="1" applyAlignment="1">
      <alignment horizontal="center"/>
    </xf>
    <xf numFmtId="0" fontId="10" fillId="15" borderId="7" xfId="42" applyFont="1" applyFill="1" applyBorder="1" applyAlignment="1">
      <alignment horizontal="center" vertical="center" wrapText="1"/>
    </xf>
    <xf numFmtId="0" fontId="10" fillId="15" borderId="8" xfId="42" applyFont="1" applyFill="1" applyBorder="1" applyAlignment="1">
      <alignment horizontal="center" vertical="center" wrapText="1"/>
    </xf>
    <xf numFmtId="0" fontId="50" fillId="15" borderId="1" xfId="0" applyFont="1" applyFill="1" applyBorder="1" applyAlignment="1">
      <alignment horizontal="center"/>
    </xf>
    <xf numFmtId="0" fontId="50" fillId="15" borderId="13" xfId="0" applyFont="1" applyFill="1" applyBorder="1" applyAlignment="1">
      <alignment horizontal="center" vertical="center"/>
    </xf>
    <xf numFmtId="0" fontId="10" fillId="15" borderId="3" xfId="0" applyFont="1" applyFill="1" applyBorder="1" applyAlignment="1">
      <alignment horizontal="center" vertical="center"/>
    </xf>
    <xf numFmtId="0" fontId="10" fillId="15" borderId="13" xfId="0" applyFont="1" applyFill="1" applyBorder="1" applyAlignment="1">
      <alignment horizontal="center" vertical="center"/>
    </xf>
    <xf numFmtId="0" fontId="10" fillId="15" borderId="6" xfId="0" applyFont="1" applyFill="1" applyBorder="1" applyAlignment="1">
      <alignment horizontal="center" vertical="center"/>
    </xf>
    <xf numFmtId="0" fontId="50" fillId="15" borderId="8" xfId="0" applyFont="1" applyFill="1" applyBorder="1" applyAlignment="1">
      <alignment horizontal="center"/>
    </xf>
    <xf numFmtId="0" fontId="50" fillId="15" borderId="9" xfId="0" applyFont="1" applyFill="1" applyBorder="1" applyAlignment="1">
      <alignment horizontal="center"/>
    </xf>
    <xf numFmtId="0" fontId="9" fillId="0" borderId="7" xfId="0" applyFont="1" applyBorder="1" applyAlignment="1">
      <alignment horizontal="center" vertical="center"/>
    </xf>
    <xf numFmtId="0" fontId="9" fillId="0" borderId="7" xfId="0" applyFont="1" applyFill="1" applyBorder="1" applyAlignment="1">
      <alignment horizontal="center" vertical="center"/>
    </xf>
    <xf numFmtId="0" fontId="9" fillId="0" borderId="25"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3" fontId="3" fillId="0" borderId="25" xfId="42" applyNumberFormat="1" applyFont="1" applyBorder="1" applyAlignment="1">
      <alignment horizontal="left" vertical="center" wrapText="1"/>
    </xf>
    <xf numFmtId="0" fontId="10" fillId="15" borderId="25" xfId="42" applyFont="1" applyFill="1" applyBorder="1" applyAlignment="1">
      <alignment horizontal="center" vertical="center"/>
    </xf>
    <xf numFmtId="0" fontId="10" fillId="15" borderId="0" xfId="42" applyFont="1" applyFill="1" applyBorder="1" applyAlignment="1">
      <alignment horizontal="center" vertical="center"/>
    </xf>
    <xf numFmtId="0" fontId="10" fillId="15" borderId="24" xfId="42" applyFont="1" applyFill="1" applyBorder="1" applyAlignment="1">
      <alignment horizontal="center" vertical="center"/>
    </xf>
    <xf numFmtId="0" fontId="10" fillId="15" borderId="1" xfId="42" applyFont="1" applyFill="1" applyBorder="1" applyAlignment="1">
      <alignment horizontal="left"/>
    </xf>
    <xf numFmtId="0" fontId="10" fillId="15" borderId="7" xfId="42" applyFont="1" applyFill="1" applyBorder="1" applyAlignment="1">
      <alignment horizontal="center" vertical="center"/>
    </xf>
    <xf numFmtId="0" fontId="10" fillId="15" borderId="8" xfId="42" applyFont="1" applyFill="1" applyBorder="1" applyAlignment="1">
      <alignment horizontal="center" vertical="center"/>
    </xf>
    <xf numFmtId="0" fontId="10" fillId="15" borderId="9" xfId="42" applyFont="1" applyFill="1" applyBorder="1" applyAlignment="1">
      <alignment horizontal="center" vertical="center"/>
    </xf>
    <xf numFmtId="0" fontId="44" fillId="15" borderId="7" xfId="0" applyFont="1" applyFill="1" applyBorder="1" applyAlignment="1">
      <alignment horizontal="center" vertical="center"/>
    </xf>
    <xf numFmtId="0" fontId="44" fillId="15" borderId="8" xfId="0" applyFont="1" applyFill="1" applyBorder="1" applyAlignment="1">
      <alignment horizontal="center" vertical="center"/>
    </xf>
    <xf numFmtId="0" fontId="8" fillId="13" borderId="0" xfId="0" applyFont="1" applyFill="1" applyAlignment="1">
      <alignment horizontal="left" vertical="top" wrapText="1"/>
    </xf>
    <xf numFmtId="0" fontId="10" fillId="15" borderId="7"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10" fillId="15" borderId="9" xfId="0" applyFont="1" applyFill="1" applyBorder="1" applyAlignment="1">
      <alignment horizontal="center" vertical="center" wrapText="1"/>
    </xf>
    <xf numFmtId="0" fontId="8" fillId="0" borderId="25" xfId="0" applyFont="1" applyBorder="1" applyAlignment="1">
      <alignment horizontal="center" vertical="center" wrapText="1"/>
    </xf>
    <xf numFmtId="0" fontId="8" fillId="0" borderId="10" xfId="0" applyFont="1" applyBorder="1" applyAlignment="1">
      <alignment horizontal="center" vertical="center" wrapText="1"/>
    </xf>
    <xf numFmtId="2" fontId="10" fillId="15" borderId="8" xfId="4" applyNumberFormat="1" applyFont="1" applyFill="1" applyBorder="1" applyAlignment="1">
      <alignment horizontal="center" vertical="center"/>
    </xf>
    <xf numFmtId="0" fontId="10" fillId="15" borderId="0" xfId="0" applyFont="1" applyFill="1" applyBorder="1" applyAlignment="1">
      <alignment horizontal="center" vertical="center"/>
    </xf>
    <xf numFmtId="0" fontId="10" fillId="15" borderId="1" xfId="0" applyFont="1" applyFill="1" applyBorder="1" applyAlignment="1">
      <alignment horizontal="center" vertical="center"/>
    </xf>
    <xf numFmtId="2" fontId="7" fillId="0" borderId="0" xfId="0" applyNumberFormat="1" applyFont="1" applyFill="1" applyBorder="1" applyAlignment="1">
      <alignment horizontal="center" vertical="center" wrapText="1"/>
    </xf>
    <xf numFmtId="0" fontId="9" fillId="0" borderId="3" xfId="4" applyFont="1" applyFill="1" applyBorder="1" applyAlignment="1">
      <alignment horizontal="center" vertical="center"/>
    </xf>
    <xf numFmtId="0" fontId="9" fillId="0" borderId="13" xfId="4" applyFont="1" applyFill="1" applyBorder="1" applyAlignment="1">
      <alignment horizontal="center" vertical="center"/>
    </xf>
    <xf numFmtId="0" fontId="10" fillId="15" borderId="7" xfId="4" applyFont="1" applyFill="1" applyBorder="1" applyAlignment="1">
      <alignment horizontal="center" vertical="center"/>
    </xf>
    <xf numFmtId="0" fontId="10" fillId="15" borderId="8" xfId="4" applyFont="1" applyFill="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39" fillId="0" borderId="25" xfId="42" applyFont="1" applyBorder="1" applyAlignment="1">
      <alignment horizontal="right" vertical="center"/>
    </xf>
    <xf numFmtId="0" fontId="39" fillId="0" borderId="0" xfId="42" applyFont="1" applyBorder="1" applyAlignment="1">
      <alignment horizontal="right" vertical="center"/>
    </xf>
    <xf numFmtId="0" fontId="39" fillId="0" borderId="24" xfId="42" applyFont="1" applyBorder="1" applyAlignment="1">
      <alignment horizontal="right" vertical="center"/>
    </xf>
    <xf numFmtId="0" fontId="10" fillId="15" borderId="7" xfId="44" applyFont="1" applyFill="1" applyBorder="1" applyAlignment="1">
      <alignment horizontal="center" vertical="center"/>
    </xf>
    <xf numFmtId="0" fontId="10" fillId="15" borderId="9" xfId="44" applyFont="1" applyFill="1" applyBorder="1" applyAlignment="1">
      <alignment horizontal="center" vertical="center"/>
    </xf>
    <xf numFmtId="0" fontId="39" fillId="0" borderId="25" xfId="44" applyFont="1" applyBorder="1" applyAlignment="1">
      <alignment horizontal="right" vertical="center"/>
    </xf>
    <xf numFmtId="0" fontId="39" fillId="0" borderId="24" xfId="44" applyFont="1" applyBorder="1" applyAlignment="1">
      <alignment horizontal="right" vertical="center"/>
    </xf>
    <xf numFmtId="0" fontId="10" fillId="15" borderId="5" xfId="0" applyFont="1" applyFill="1" applyBorder="1" applyAlignment="1">
      <alignment horizontal="center" vertical="center"/>
    </xf>
    <xf numFmtId="0" fontId="10" fillId="15" borderId="25" xfId="44" applyFont="1" applyFill="1" applyBorder="1" applyAlignment="1">
      <alignment horizontal="center" vertical="center"/>
    </xf>
    <xf numFmtId="0" fontId="10" fillId="15" borderId="0" xfId="44" applyFont="1" applyFill="1" applyBorder="1" applyAlignment="1">
      <alignment horizontal="center" vertical="center"/>
    </xf>
    <xf numFmtId="0" fontId="39" fillId="14" borderId="7" xfId="44" applyFont="1" applyFill="1" applyBorder="1" applyAlignment="1">
      <alignment horizontal="right" vertical="center"/>
    </xf>
    <xf numFmtId="0" fontId="39" fillId="14" borderId="8" xfId="44" applyFont="1" applyFill="1" applyBorder="1" applyAlignment="1">
      <alignment horizontal="right" vertical="center"/>
    </xf>
    <xf numFmtId="0" fontId="39" fillId="14" borderId="9" xfId="44" applyFont="1" applyFill="1" applyBorder="1" applyAlignment="1">
      <alignment horizontal="right" vertical="center"/>
    </xf>
    <xf numFmtId="0" fontId="3" fillId="0" borderId="25" xfId="42" applyBorder="1" applyAlignment="1">
      <alignment horizontal="center" vertical="center"/>
    </xf>
    <xf numFmtId="0" fontId="3" fillId="0" borderId="0" xfId="42" applyBorder="1" applyAlignment="1">
      <alignment horizontal="center" vertical="center"/>
    </xf>
    <xf numFmtId="0" fontId="3" fillId="0" borderId="24" xfId="42" applyBorder="1" applyAlignment="1">
      <alignment horizontal="center" vertical="center"/>
    </xf>
  </cellXfs>
  <cellStyles count="53">
    <cellStyle name="Accent1" xfId="4" builtinId="29"/>
    <cellStyle name="Bad 2" xfId="9" xr:uid="{48DE6014-26F9-4BA3-A0A0-4917FB7E34D7}"/>
    <cellStyle name="Calculation 2" xfId="10" xr:uid="{8F3D0360-925C-4710-974B-707B0F58BE93}"/>
    <cellStyle name="Check Cell 2" xfId="11" xr:uid="{510EA78C-DDC9-4FA2-B47F-64722EFF647E}"/>
    <cellStyle name="Comma" xfId="1" builtinId="3"/>
    <cellStyle name="Comma 2" xfId="6" xr:uid="{0229D74B-331A-4F69-A5FE-0452AE7ACC39}"/>
    <cellStyle name="Comma 2 2" xfId="12" xr:uid="{8DECBF38-C898-4921-B027-343F20BBE4D7}"/>
    <cellStyle name="Comma 2 3" xfId="43" xr:uid="{BB3DAF20-FC18-41A6-8EBC-A0DAA3A8D4D8}"/>
    <cellStyle name="Explanatory Text 2" xfId="13" xr:uid="{B3C7CC67-98EE-4D2F-BADA-D616E12DA79A}"/>
    <cellStyle name="Good 2" xfId="14" xr:uid="{27B05DF4-F490-493B-96F2-930CF757E6DF}"/>
    <cellStyle name="Heading 1 2" xfId="15" xr:uid="{DD3A45F9-F362-463E-981C-A242D6C9F4BA}"/>
    <cellStyle name="Heading 2 2" xfId="16" xr:uid="{BCC5B706-8E20-4F2A-BEFB-CD7E2CC6207C}"/>
    <cellStyle name="Heading 3 2" xfId="17" xr:uid="{6BC53DA9-B9A3-44AF-BDE2-D939AE531E2D}"/>
    <cellStyle name="Heading 4 2" xfId="18" xr:uid="{A91BDE40-E3B8-460F-BBED-9D748CC83409}"/>
    <cellStyle name="Hyperlink" xfId="5" builtinId="8"/>
    <cellStyle name="Hyperlink 2" xfId="19" xr:uid="{2D804C5C-D60A-4B4F-9BF9-40558A154281}"/>
    <cellStyle name="Input 2" xfId="20" xr:uid="{F59897F6-6982-4635-B93B-FC6EFF6963F0}"/>
    <cellStyle name="Linked Cell 2" xfId="21" xr:uid="{C65A5F45-AAA4-44DC-9628-715D0BE49C5F}"/>
    <cellStyle name="Neutral 2" xfId="22" xr:uid="{CE9F1EF0-FDBD-434D-BF77-4D5403F4DB94}"/>
    <cellStyle name="Normal" xfId="0" builtinId="0"/>
    <cellStyle name="Normal 10" xfId="2" xr:uid="{00000000-0005-0000-0000-000002000000}"/>
    <cellStyle name="Normal 2" xfId="7" xr:uid="{6A967F83-02FA-4E11-934B-003E0BE46696}"/>
    <cellStyle name="Normal 2 2" xfId="42" xr:uid="{D04E8E66-BA66-4123-AF6F-4C593C947D77}"/>
    <cellStyle name="Normal 2 3" xfId="45" xr:uid="{8AEEB901-DEFB-45C6-86B9-6BC73A34549B}"/>
    <cellStyle name="Normal 2 4" xfId="48" xr:uid="{C6EA5D4D-AB15-486C-BB42-D9B0BC1F9180}"/>
    <cellStyle name="Normal 2 5" xfId="50" xr:uid="{5B6E3469-A93A-422E-A4DE-11B97B20F040}"/>
    <cellStyle name="Normal 3" xfId="23" xr:uid="{1AD652F5-741A-4BEF-B735-DAE51F13EF39}"/>
    <cellStyle name="Normal 3 2" xfId="46" xr:uid="{66B6AF13-4B7B-4DC0-B574-AE46C7BF8A2D}"/>
    <cellStyle name="Normal 3 3" xfId="49" xr:uid="{E4F3D19D-E873-4119-BF1E-CA2AD52FFFBD}"/>
    <cellStyle name="Normal 4" xfId="8" xr:uid="{5AE70C0A-5FC6-46A6-ADE9-ACC88AA36743}"/>
    <cellStyle name="Normal 5 2" xfId="44" xr:uid="{BED2590C-F188-4172-8441-91D36500BC98}"/>
    <cellStyle name="Normal 6 2" xfId="51" xr:uid="{EAF9DFAE-72FE-498E-A5BA-A0EC35C92E26}"/>
    <cellStyle name="Note 2" xfId="24" xr:uid="{36D3206A-1E89-4A42-A28C-F49E1312FF63}"/>
    <cellStyle name="Output 2" xfId="25" xr:uid="{64B61667-5B67-451B-AA5A-F79CB8516894}"/>
    <cellStyle name="Percent" xfId="3" builtinId="5"/>
    <cellStyle name="Percent 2" xfId="27" xr:uid="{E92EB642-49A1-4A5D-866D-2F2BEAA99244}"/>
    <cellStyle name="Percent 2 2" xfId="47" xr:uid="{174184A0-89E0-4E2A-B1C3-3FF8F0BB3CA1}"/>
    <cellStyle name="Percent 3" xfId="26" xr:uid="{89F59B0F-399C-4825-8323-1A0B366B1827}"/>
    <cellStyle name="Percent 4" xfId="52" xr:uid="{44E58AFD-1F69-453D-B359-91E20549F222}"/>
    <cellStyle name="Smart Bold" xfId="28" xr:uid="{35949368-D2D9-4FD0-935D-72DC3815F6F0}"/>
    <cellStyle name="Smart Forecast" xfId="29" xr:uid="{DA1847E8-C87D-4E5E-BA5B-C103A281A188}"/>
    <cellStyle name="Smart General" xfId="30" xr:uid="{C0B8B36A-358E-4C70-8253-A2BB81521B6A}"/>
    <cellStyle name="Smart Highlight" xfId="31" xr:uid="{39804A6A-9501-44A9-8A2B-61FBC1EF7C9C}"/>
    <cellStyle name="Smart Percent" xfId="32" xr:uid="{2296B838-4D0B-4715-BE6E-0FFB4CFD77A6}"/>
    <cellStyle name="Smart Source" xfId="33" xr:uid="{4C539167-4F04-4120-99B9-BEE5390475D6}"/>
    <cellStyle name="Smart Subtitle 1" xfId="34" xr:uid="{5E6502DB-2715-489B-A345-1417A83B62B8}"/>
    <cellStyle name="Smart Subtitle 2" xfId="35" xr:uid="{52973591-BAAD-4677-94F6-41D001FD3E44}"/>
    <cellStyle name="Smart Subtitle 3" xfId="36" xr:uid="{1FCE42C9-A970-4BB7-9F47-DFD74F86985B}"/>
    <cellStyle name="Smart Subtotal" xfId="37" xr:uid="{7D6FC9B3-2F29-4CFE-8F4F-06A12BEC12E4}"/>
    <cellStyle name="Smart Title" xfId="38" xr:uid="{015B8C42-624F-48BB-AF42-8E33342CFB59}"/>
    <cellStyle name="Smart Total" xfId="39" xr:uid="{B57A5A91-9942-4AEA-BC7B-998D724CBF66}"/>
    <cellStyle name="Title 2" xfId="40" xr:uid="{E601D9A6-590D-452D-B94E-92F6B5F85844}"/>
    <cellStyle name="Total 2" xfId="41" xr:uid="{93F2EFB4-C20E-4EB2-86DA-2B6349B46C47}"/>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590550</xdr:colOff>
      <xdr:row>70</xdr:row>
      <xdr:rowOff>42333</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0" y="0"/>
          <a:ext cx="12253383" cy="13377333"/>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i="1">
              <a:solidFill>
                <a:sysClr val="windowText" lastClr="000000"/>
              </a:solidFill>
              <a:effectLst/>
              <a:latin typeface="Arial" panose="020B0604020202020204" pitchFamily="34" charset="0"/>
              <a:ea typeface="+mn-ea"/>
              <a:cs typeface="Arial" panose="020B0604020202020204" pitchFamily="34" charset="0"/>
            </a:rPr>
            <a:t>Norms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Raw material consumption norms are derived through conducting various primary interviews with industry experts.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Per unit consumption of utilities, prices of raw material per tonne, catchem, overhead, and depreciation cost per tonne have been considered in financial modelling. Further including the 4-year average prices of each particular taken into consideration for calculating operating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The means of finance is taken as 50% equity share capital and 50% term loan.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Reference</a:t>
          </a:r>
          <a:r>
            <a:rPr lang="en-IN" sz="1100" b="1" i="1" baseline="0">
              <a:solidFill>
                <a:sysClr val="windowText" lastClr="000000"/>
              </a:solidFill>
              <a:effectLst/>
              <a:latin typeface="Arial" panose="020B0604020202020204" pitchFamily="34" charset="0"/>
              <a:ea typeface="+mn-ea"/>
              <a:cs typeface="Arial" panose="020B0604020202020204" pitchFamily="34" charset="0"/>
            </a:rPr>
            <a:t> Values</a:t>
          </a:r>
          <a:r>
            <a:rPr lang="en-IN" sz="1100" b="1" i="1">
              <a:solidFill>
                <a:sysClr val="windowText" lastClr="000000"/>
              </a:solidFill>
              <a:effectLst/>
              <a:latin typeface="Arial" panose="020B0604020202020204" pitchFamily="34" charset="0"/>
              <a:ea typeface="+mn-ea"/>
              <a:cs typeface="Arial" panose="020B0604020202020204" pitchFamily="34" charset="0"/>
            </a:rPr>
            <a:t>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Consumption of raw materials annually is derived from raw material consumption norms in the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The total 4-year average prices of each particular considered to calculate the operating cost for financial modelling.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Working capital is used to fund operations and meet short-term obligations for the unit. Account receivables are being calculated for 30 days while account payables are for 20 days. Inventory is derived for 10 days.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annual production.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(Linked to "Norms"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6. </a:t>
          </a:r>
          <a:r>
            <a:rPr lang="en-IN" sz="1000" i="1">
              <a:solidFill>
                <a:sysClr val="windowText" lastClr="000000"/>
              </a:solidFill>
              <a:effectLst/>
              <a:latin typeface="Arial" panose="020B0604020202020204" pitchFamily="34" charset="0"/>
              <a:ea typeface="+mn-ea"/>
              <a:cs typeface="Arial" panose="020B0604020202020204" pitchFamily="34" charset="0"/>
            </a:rPr>
            <a:t>Means of finance represents the aid of financing the capital investment of the project. (Linked to “Norms" worksheet)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Capex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To calculate the plant's direct cost, the standard norms have been considered against the equipment cost. The below listed are the following norms-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Purchased equipment installation: 20%</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-Instrumentation and controls (installed): 18%</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-Piping (installed): 2%</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-Electrical (installed): 1%</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-Buildings (including services): 2%</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-Service facilities (installed):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Note- The plant direct cost includes the equipment cost plus the above-listed parameters.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Total indirect plant cost includes Engineering and supervision, Construction expenses, Legal expenses, Contractor’s fee, Contingency, etc. which have been calculated using standard norms against the equipment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which constitutes around 70% of the total equipment cost. OSBL facility includes wastewater treatment plants, effluent treatment plants, different types of wet scrubbers to mitigate GHG emissions contributing about 20% to the equipment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Total fixed capital investments is the summation of plant direct and indirect cost.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Opex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Operating cost is being calculated separately for weak nitric acid (WNA) and ammonium nitrate.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Some of the parameters (highlighted in blue) in calculating the opex will have the common values like labour, fixed overheads, and research &amp; development, therefore, to avoid double counting, those have been considered in the WNA operating cost.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To derive the operating cost, each parameter is linked to "Reference</a:t>
          </a:r>
          <a:r>
            <a:rPr lang="en-IN" sz="1000" i="1" baseline="0">
              <a:solidFill>
                <a:sysClr val="windowText" lastClr="000000"/>
              </a:solidFill>
              <a:effectLst/>
              <a:latin typeface="Arial" panose="020B0604020202020204" pitchFamily="34" charset="0"/>
              <a:ea typeface="+mn-ea"/>
              <a:cs typeface="Arial" panose="020B0604020202020204" pitchFamily="34" charset="0"/>
            </a:rPr>
            <a:t> Values</a:t>
          </a:r>
          <a:r>
            <a:rPr lang="en-IN" sz="1000" i="1">
              <a:solidFill>
                <a:sysClr val="windowText" lastClr="000000"/>
              </a:solidFill>
              <a:effectLst/>
              <a:latin typeface="Arial" panose="020B0604020202020204" pitchFamily="34" charset="0"/>
              <a:ea typeface="+mn-ea"/>
              <a:cs typeface="Arial" panose="020B0604020202020204" pitchFamily="34" charset="0"/>
            </a:rPr>
            <a:t>"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For calculating some of the parameters, the following standard norms have been considering for weak nitric acid-</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-Packaging Cost (calculated): 1% of Annual Sales Revenue @ 100 Percent Capacity Utilization </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Maintenance and repairs: 1% of Total Capital Investment</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-Plant Overhead and Administrative Costs: 3% of Maintenance and repairs + Labour</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-Distribution and selling costs: 0.5% of Annual Sales Revenue @ 100 Percent Capacity Utilization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-Research and development costs: 0.5% of Total Capital Investment</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The following standard norms have been considering for ammonium nitrate-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-Packaging Cost (calculated): 1% of Annual Sales Revenue @ 100 Percent Capacity Utilization </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-Distribution and selling costs: 2% of Annual Sales Revenue @ 100 Percent Capacity Utilization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Cashflow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Expenditure of capital investment will be in the following phase-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-10% of Total Capital Investment: 2023</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-40% of Total Capital Investment: 2024</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-50% of Total Capital Investment: 2025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Operating Revenue is bifurcated between-</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- 21400 tons weak nitric acid merchant sale.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-100000 tons ammonium nitrate merchant sale.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a:t>
          </a:r>
          <a:r>
            <a:rPr lang="en-IN" sz="1000" b="0" i="1">
              <a:solidFill>
                <a:sysClr val="windowText" lastClr="000000"/>
              </a:solidFill>
              <a:effectLst/>
              <a:latin typeface="Arial" panose="020B0604020202020204" pitchFamily="34" charset="0"/>
              <a:ea typeface="+mn-ea"/>
              <a:cs typeface="Arial" panose="020B0604020202020204" pitchFamily="34" charset="0"/>
            </a:rPr>
            <a:t>.</a:t>
          </a:r>
          <a:r>
            <a:rPr lang="en-IN" sz="1000" i="1">
              <a:solidFill>
                <a:sysClr val="windowText" lastClr="000000"/>
              </a:solidFill>
              <a:effectLst/>
              <a:latin typeface="Arial" panose="020B0604020202020204" pitchFamily="34" charset="0"/>
              <a:ea typeface="+mn-ea"/>
              <a:cs typeface="Arial" panose="020B0604020202020204" pitchFamily="34" charset="0"/>
            </a:rPr>
            <a:t> Operating</a:t>
          </a:r>
          <a:r>
            <a:rPr lang="en-IN" sz="1000" i="1" baseline="0">
              <a:solidFill>
                <a:sysClr val="windowText" lastClr="000000"/>
              </a:solidFill>
              <a:effectLst/>
              <a:latin typeface="Arial" panose="020B0604020202020204" pitchFamily="34" charset="0"/>
              <a:ea typeface="+mn-ea"/>
              <a:cs typeface="Arial" panose="020B0604020202020204" pitchFamily="34" charset="0"/>
            </a:rPr>
            <a:t> revenue for each year is calculated by multiplying the capacity utilization for</a:t>
          </a:r>
          <a:r>
            <a:rPr lang="en-IN" sz="1000" i="1">
              <a:solidFill>
                <a:sysClr val="windowText" lastClr="000000"/>
              </a:solidFill>
              <a:effectLst/>
              <a:latin typeface="Arial" panose="020B0604020202020204" pitchFamily="34" charset="0"/>
              <a:ea typeface="+mn-ea"/>
              <a:cs typeface="Arial" panose="020B0604020202020204" pitchFamily="34" charset="0"/>
            </a:rPr>
            <a:t> </a:t>
          </a:r>
          <a:r>
            <a:rPr lang="en-IN" sz="1000" i="1" baseline="0">
              <a:solidFill>
                <a:sysClr val="windowText" lastClr="000000"/>
              </a:solidFill>
              <a:effectLst/>
              <a:latin typeface="Arial" panose="020B0604020202020204" pitchFamily="34" charset="0"/>
              <a:ea typeface="+mn-ea"/>
              <a:cs typeface="Arial" panose="020B0604020202020204" pitchFamily="34" charset="0"/>
            </a:rPr>
            <a:t>respective year</a:t>
          </a:r>
          <a:r>
            <a:rPr lang="en-IN" sz="1000" i="1">
              <a:solidFill>
                <a:sysClr val="windowText" lastClr="000000"/>
              </a:solidFill>
              <a:effectLst/>
              <a:latin typeface="Arial" panose="020B0604020202020204" pitchFamily="34" charset="0"/>
              <a:ea typeface="+mn-ea"/>
              <a:cs typeface="Arial" panose="020B0604020202020204" pitchFamily="34" charset="0"/>
            </a:rPr>
            <a:t> </a:t>
          </a:r>
          <a:r>
            <a:rPr lang="en-IN" sz="1000" i="1" baseline="0">
              <a:solidFill>
                <a:sysClr val="windowText" lastClr="000000"/>
              </a:solidFill>
              <a:effectLst/>
              <a:latin typeface="Arial" panose="020B0604020202020204" pitchFamily="34" charset="0"/>
              <a:ea typeface="+mn-ea"/>
              <a:cs typeface="Arial" panose="020B0604020202020204" pitchFamily="34" charset="0"/>
            </a:rPr>
            <a:t>to the annual sales revenue @ 100 percent capacity utilization (Linked to "Reference Values" worksheet) considering inflation rate. </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Operations will start in 2026.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Cash flow has been calculated till 2044.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6. </a:t>
          </a:r>
          <a:r>
            <a:rPr lang="en-IN" sz="1000" i="1">
              <a:solidFill>
                <a:sysClr val="windowText" lastClr="000000"/>
              </a:solidFill>
              <a:effectLst/>
              <a:latin typeface="Arial" panose="020B0604020202020204" pitchFamily="34" charset="0"/>
              <a:ea typeface="+mn-ea"/>
              <a:cs typeface="Arial" panose="020B0604020202020204" pitchFamily="34" charset="0"/>
            </a:rPr>
            <a:t>Total operating cost is calculated based on capacity utilization at that period.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7. </a:t>
          </a:r>
          <a:r>
            <a:rPr lang="en-IN" sz="1000" i="1">
              <a:solidFill>
                <a:sysClr val="windowText" lastClr="000000"/>
              </a:solidFill>
              <a:effectLst/>
              <a:latin typeface="Arial" panose="020B0604020202020204" pitchFamily="34" charset="0"/>
              <a:ea typeface="+mn-ea"/>
              <a:cs typeface="Arial" panose="020B0604020202020204" pitchFamily="34" charset="0"/>
            </a:rPr>
            <a:t>Inflation rate has been considered as 4.5%.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Profitability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Total cost of sales, depreciation, and income tax provision has been deducted from the gross revenue to calculate Profit After Tax (PAT) for respective years.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Income tax rate has been taken as 25%.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Each year 10% depreciation on total capital investment has been considered.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Sensitivity analysis of profitability has been performed on the 4th year of operation as the plant operations are estimated to be more aware of the market behaviour in 4 years of operation.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Four following cases are taken into consideration for sensitivity analysis-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-Selling Price decreases by 11%, Raw Material Price remains same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16.5%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9% with a decrease in selling price by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Cost of Production by 14.5%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Breakeven Point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The breakeven point is the sales volume at which a company earns exactly no money. At this point, a company can cover its fixed expenses.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It has been derived on the 4th year of operation due to the same reason applied to the "Profitability" worksheet.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3. </a:t>
          </a:r>
          <a:r>
            <a:rPr lang="en-IN" sz="1000" i="1">
              <a:solidFill>
                <a:sysClr val="windowText" lastClr="000000"/>
              </a:solidFill>
              <a:effectLst/>
              <a:latin typeface="Arial" panose="020B0604020202020204" pitchFamily="34" charset="0"/>
              <a:ea typeface="+mn-ea"/>
              <a:cs typeface="Arial" panose="020B0604020202020204" pitchFamily="34" charset="0"/>
            </a:rPr>
            <a:t>Break-even point here implies the optimum capacity utilization at which Kribhco can cover its fixed expenses.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4. </a:t>
          </a:r>
          <a:r>
            <a:rPr lang="en-IN" sz="1000" i="1">
              <a:solidFill>
                <a:sysClr val="windowText" lastClr="000000"/>
              </a:solidFill>
              <a:effectLst/>
              <a:latin typeface="Arial" panose="020B0604020202020204" pitchFamily="34" charset="0"/>
              <a:ea typeface="+mn-ea"/>
              <a:cs typeface="Arial" panose="020B0604020202020204" pitchFamily="34" charset="0"/>
            </a:rPr>
            <a:t>Sensitivity analysis of breakeven point has been performed on 4th year of operation as the plant operations is estimated to be more aware about the market behaviour in 4 years of operation.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5. </a:t>
          </a:r>
          <a:r>
            <a:rPr lang="en-IN" sz="1000" i="1">
              <a:solidFill>
                <a:sysClr val="windowText" lastClr="000000"/>
              </a:solidFill>
              <a:effectLst/>
              <a:latin typeface="Arial" panose="020B0604020202020204" pitchFamily="34" charset="0"/>
              <a:ea typeface="+mn-ea"/>
              <a:cs typeface="Arial" panose="020B0604020202020204" pitchFamily="34" charset="0"/>
            </a:rPr>
            <a:t>Four following cases is taken into consideration for sensitivity analysis-</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-Selling Price decreases by 11%, Raw Material Price remains same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16.5% with no change in selling price</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raw material price by 9% with decrease in selling price by 5%</a:t>
          </a:r>
        </a:p>
        <a:p>
          <a:pPr algn="l"/>
          <a:r>
            <a:rPr lang="en-IN" sz="1000" i="1">
              <a:solidFill>
                <a:sysClr val="windowText" lastClr="000000"/>
              </a:solidFill>
              <a:effectLst/>
              <a:latin typeface="Arial" panose="020B0604020202020204" pitchFamily="34" charset="0"/>
              <a:ea typeface="+mn-ea"/>
              <a:cs typeface="Arial" panose="020B0604020202020204" pitchFamily="34" charset="0"/>
            </a:rPr>
            <a:t>       -Increase in Cost of Production by 14.5% with no change in selling price															</a:t>
          </a:r>
        </a:p>
        <a:p>
          <a:pPr algn="l"/>
          <a:r>
            <a:rPr lang="en-IN" sz="1100" b="1" i="1">
              <a:solidFill>
                <a:sysClr val="windowText" lastClr="000000"/>
              </a:solidFill>
              <a:effectLst/>
              <a:latin typeface="Arial" panose="020B0604020202020204" pitchFamily="34" charset="0"/>
              <a:ea typeface="+mn-ea"/>
              <a:cs typeface="Arial" panose="020B0604020202020204" pitchFamily="34" charset="0"/>
            </a:rPr>
            <a:t>DSCR (Debt Service Coverage Ratio) Worksheet</a:t>
          </a:r>
          <a:r>
            <a:rPr lang="en-IN" sz="1000" i="1">
              <a:solidFill>
                <a:sysClr val="windowText" lastClr="000000"/>
              </a:solidFill>
              <a:effectLst/>
              <a:latin typeface="Arial" panose="020B0604020202020204" pitchFamily="34" charset="0"/>
              <a:ea typeface="+mn-ea"/>
              <a:cs typeface="Arial" panose="020B0604020202020204" pitchFamily="34" charset="0"/>
            </a:rPr>
            <a:t>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1. </a:t>
          </a:r>
          <a:r>
            <a:rPr lang="en-IN" sz="1000" i="1">
              <a:solidFill>
                <a:sysClr val="windowText" lastClr="000000"/>
              </a:solidFill>
              <a:effectLst/>
              <a:latin typeface="Arial" panose="020B0604020202020204" pitchFamily="34" charset="0"/>
              <a:ea typeface="+mn-ea"/>
              <a:cs typeface="Arial" panose="020B0604020202020204" pitchFamily="34" charset="0"/>
            </a:rPr>
            <a:t>DSCR reveals a company's creditworthiness and financial prospects. The debt service coverage ratio (DSCR) is a key measure of a company's ability to repay its loans, take on new financing and make dividend payments.				</a:t>
          </a:r>
        </a:p>
        <a:p>
          <a:pPr algn="l"/>
          <a:r>
            <a:rPr lang="en-IN" sz="1000" b="1" i="1">
              <a:solidFill>
                <a:sysClr val="windowText" lastClr="000000"/>
              </a:solidFill>
              <a:effectLst/>
              <a:latin typeface="Arial" panose="020B0604020202020204" pitchFamily="34" charset="0"/>
              <a:ea typeface="+mn-ea"/>
              <a:cs typeface="Arial" panose="020B0604020202020204" pitchFamily="34" charset="0"/>
            </a:rPr>
            <a:t>2. </a:t>
          </a:r>
          <a:r>
            <a:rPr lang="en-IN" sz="1000" i="1">
              <a:solidFill>
                <a:sysClr val="windowText" lastClr="000000"/>
              </a:solidFill>
              <a:effectLst/>
              <a:latin typeface="Arial" panose="020B0604020202020204" pitchFamily="34" charset="0"/>
              <a:ea typeface="+mn-ea"/>
              <a:cs typeface="Arial" panose="020B0604020202020204" pitchFamily="34" charset="0"/>
            </a:rPr>
            <a:t>DSCR is calculated for 8 years.</a:t>
          </a:r>
          <a:endParaRPr lang="en-IN" sz="1000" i="1">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0</xdr:col>
      <xdr:colOff>76200</xdr:colOff>
      <xdr:row>44</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43</xdr:row>
      <xdr:rowOff>0</xdr:rowOff>
    </xdr:from>
    <xdr:to>
      <xdr:col>0</xdr:col>
      <xdr:colOff>76200</xdr:colOff>
      <xdr:row>44</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43</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43</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NPV@12%2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8B5D7-3C16-44A9-A4F4-2A7ED35310AB}">
  <dimension ref="A1:BO23"/>
  <sheetViews>
    <sheetView showGridLines="0" topLeftCell="B7" workbookViewId="0">
      <selection activeCell="H22" sqref="H22"/>
    </sheetView>
  </sheetViews>
  <sheetFormatPr defaultColWidth="9.140625" defaultRowHeight="15"/>
  <cols>
    <col min="1" max="1" width="9.140625" style="3"/>
    <col min="2" max="2" width="29.5703125" style="3" customWidth="1"/>
    <col min="3" max="3" width="17" style="3" customWidth="1"/>
    <col min="4" max="4" width="18.28515625" style="3" bestFit="1" customWidth="1"/>
    <col min="5" max="5" width="16.42578125" style="3" bestFit="1" customWidth="1"/>
    <col min="6" max="6" width="37.5703125" style="3" bestFit="1" customWidth="1"/>
    <col min="7" max="7" width="30.28515625" style="3" customWidth="1"/>
    <col min="8" max="8" width="30" style="3" customWidth="1"/>
    <col min="9" max="9" width="35.5703125" style="3" bestFit="1" customWidth="1"/>
    <col min="10" max="10" width="27.42578125" style="3" bestFit="1" customWidth="1"/>
    <col min="11" max="16384" width="9.140625" style="3"/>
  </cols>
  <sheetData>
    <row r="1" spans="2:12">
      <c r="B1" s="192" t="s">
        <v>259</v>
      </c>
      <c r="C1" s="192" t="s">
        <v>183</v>
      </c>
      <c r="D1" s="192" t="s">
        <v>258</v>
      </c>
      <c r="E1" s="192" t="s">
        <v>257</v>
      </c>
      <c r="F1" s="192" t="s">
        <v>256</v>
      </c>
      <c r="H1" s="3">
        <f>G6*0.001</f>
        <v>175</v>
      </c>
    </row>
    <row r="2" spans="2:12">
      <c r="B2" s="429" t="s">
        <v>195</v>
      </c>
      <c r="C2" s="429"/>
      <c r="D2" s="429"/>
      <c r="E2" s="429"/>
      <c r="F2" s="429"/>
      <c r="H2" s="187" t="s">
        <v>195</v>
      </c>
      <c r="I2" s="187" t="s">
        <v>255</v>
      </c>
      <c r="J2" s="3">
        <v>216</v>
      </c>
      <c r="K2" s="3">
        <v>274</v>
      </c>
    </row>
    <row r="3" spans="2:12">
      <c r="B3" s="185" t="s">
        <v>197</v>
      </c>
      <c r="C3" s="185" t="s">
        <v>78</v>
      </c>
      <c r="D3" s="185" t="s">
        <v>254</v>
      </c>
      <c r="E3" s="185" t="s">
        <v>241</v>
      </c>
      <c r="F3" s="185" t="s">
        <v>245</v>
      </c>
      <c r="H3" s="185" t="s">
        <v>253</v>
      </c>
      <c r="I3" s="185" t="s">
        <v>252</v>
      </c>
      <c r="K3" s="3">
        <f>J2/K2</f>
        <v>0.78832116788321172</v>
      </c>
      <c r="L3" s="163">
        <f>K3*300</f>
        <v>236.49635036496352</v>
      </c>
    </row>
    <row r="4" spans="2:12">
      <c r="B4" s="429" t="s">
        <v>251</v>
      </c>
      <c r="C4" s="429"/>
      <c r="D4" s="429"/>
      <c r="E4" s="429"/>
      <c r="F4" s="429"/>
      <c r="H4" s="185" t="s">
        <v>228</v>
      </c>
      <c r="I4" s="185" t="s">
        <v>250</v>
      </c>
      <c r="J4" s="3">
        <v>148</v>
      </c>
      <c r="K4" s="3">
        <v>550</v>
      </c>
    </row>
    <row r="5" spans="2:12">
      <c r="B5" s="185" t="s">
        <v>249</v>
      </c>
      <c r="C5" s="185" t="s">
        <v>78</v>
      </c>
      <c r="D5" s="185" t="s">
        <v>248</v>
      </c>
      <c r="E5" s="185" t="s">
        <v>241</v>
      </c>
      <c r="F5" s="185" t="s">
        <v>240</v>
      </c>
      <c r="H5" s="191" t="s">
        <v>247</v>
      </c>
      <c r="I5" s="190" t="s">
        <v>230</v>
      </c>
      <c r="J5" s="3">
        <v>59</v>
      </c>
      <c r="K5" s="3">
        <v>274</v>
      </c>
    </row>
    <row r="6" spans="2:12">
      <c r="B6" s="185" t="s">
        <v>197</v>
      </c>
      <c r="C6" s="185" t="s">
        <v>78</v>
      </c>
      <c r="D6" s="185" t="s">
        <v>246</v>
      </c>
      <c r="E6" s="185" t="s">
        <v>241</v>
      </c>
      <c r="F6" s="185" t="s">
        <v>245</v>
      </c>
      <c r="G6" s="3">
        <v>175000</v>
      </c>
      <c r="H6" s="3">
        <f>529*330</f>
        <v>174570</v>
      </c>
      <c r="I6" s="3">
        <f>150*330</f>
        <v>49500</v>
      </c>
      <c r="K6" s="3">
        <f>J5/K5</f>
        <v>0.21532846715328466</v>
      </c>
      <c r="L6" s="163">
        <f>K6*300</f>
        <v>64.598540145985396</v>
      </c>
    </row>
    <row r="7" spans="2:12">
      <c r="B7" s="429" t="s">
        <v>244</v>
      </c>
      <c r="C7" s="429"/>
      <c r="D7" s="429"/>
      <c r="E7" s="429"/>
      <c r="F7" s="429"/>
      <c r="H7" s="3">
        <f>100*330</f>
        <v>33000</v>
      </c>
      <c r="I7" s="3">
        <f>I6-G6</f>
        <v>-125500</v>
      </c>
    </row>
    <row r="8" spans="2:12">
      <c r="B8" s="189" t="s">
        <v>243</v>
      </c>
      <c r="C8" s="185" t="s">
        <v>78</v>
      </c>
      <c r="D8" s="185" t="s">
        <v>242</v>
      </c>
      <c r="E8" s="185" t="s">
        <v>241</v>
      </c>
      <c r="F8" s="185" t="s">
        <v>240</v>
      </c>
      <c r="H8" s="187" t="s">
        <v>239</v>
      </c>
      <c r="I8" s="187" t="s">
        <v>238</v>
      </c>
      <c r="J8" s="187" t="s">
        <v>237</v>
      </c>
    </row>
    <row r="9" spans="2:12">
      <c r="B9" s="185" t="s">
        <v>236</v>
      </c>
      <c r="C9" s="185" t="s">
        <v>78</v>
      </c>
      <c r="D9" s="185" t="s">
        <v>235</v>
      </c>
      <c r="E9" s="185" t="s">
        <v>234</v>
      </c>
      <c r="F9" s="185" t="s">
        <v>233</v>
      </c>
      <c r="H9" s="185" t="s">
        <v>232</v>
      </c>
      <c r="I9" s="185" t="s">
        <v>231</v>
      </c>
      <c r="J9" s="185" t="s">
        <v>230</v>
      </c>
    </row>
    <row r="10" spans="2:12" ht="34.5" customHeight="1">
      <c r="B10" s="427" t="s">
        <v>229</v>
      </c>
      <c r="C10" s="427"/>
      <c r="D10" s="427"/>
      <c r="E10" s="427"/>
      <c r="F10" s="427"/>
      <c r="G10" s="3">
        <f>300*330</f>
        <v>99000</v>
      </c>
      <c r="H10" s="185" t="s">
        <v>262</v>
      </c>
      <c r="I10" s="185" t="s">
        <v>263</v>
      </c>
      <c r="J10" s="185" t="s">
        <v>264</v>
      </c>
      <c r="K10" s="194"/>
    </row>
    <row r="11" spans="2:12" ht="57" customHeight="1">
      <c r="B11" s="188" t="s">
        <v>227</v>
      </c>
      <c r="C11" s="425" t="s">
        <v>226</v>
      </c>
      <c r="D11" s="425"/>
      <c r="E11" s="425"/>
      <c r="F11" s="425"/>
      <c r="H11" s="428" t="s">
        <v>225</v>
      </c>
      <c r="I11" s="428"/>
      <c r="J11" s="428"/>
    </row>
    <row r="12" spans="2:12" ht="31.5" customHeight="1">
      <c r="B12" s="188" t="s">
        <v>224</v>
      </c>
      <c r="C12" s="425" t="s">
        <v>223</v>
      </c>
      <c r="D12" s="425"/>
      <c r="E12" s="425"/>
      <c r="F12" s="425"/>
      <c r="H12" s="185" t="s">
        <v>222</v>
      </c>
      <c r="I12" s="185" t="s">
        <v>221</v>
      </c>
      <c r="J12" s="185" t="s">
        <v>220</v>
      </c>
    </row>
    <row r="13" spans="2:12">
      <c r="J13" s="163"/>
    </row>
    <row r="14" spans="2:12">
      <c r="E14" s="82">
        <v>1361769867</v>
      </c>
      <c r="F14" s="3">
        <f>E14/10^7</f>
        <v>136.17698669999999</v>
      </c>
      <c r="H14" s="187" t="s">
        <v>219</v>
      </c>
      <c r="I14" s="187" t="s">
        <v>218</v>
      </c>
      <c r="J14" s="187" t="s">
        <v>217</v>
      </c>
    </row>
    <row r="15" spans="2:12">
      <c r="B15" s="426" t="s">
        <v>216</v>
      </c>
      <c r="C15" s="426"/>
      <c r="F15" s="3">
        <f>14.02*10^5</f>
        <v>1402000</v>
      </c>
      <c r="H15" s="185" t="s">
        <v>215</v>
      </c>
      <c r="I15" s="185" t="s">
        <v>214</v>
      </c>
      <c r="J15" s="185" t="s">
        <v>213</v>
      </c>
    </row>
    <row r="16" spans="2:12">
      <c r="B16" s="185" t="s">
        <v>212</v>
      </c>
      <c r="C16" s="186">
        <v>0.28399999999999997</v>
      </c>
      <c r="E16" s="3">
        <f>F14/33</f>
        <v>4.1265753545454542</v>
      </c>
      <c r="F16" s="82">
        <f>E16*175</f>
        <v>722.15068704545445</v>
      </c>
    </row>
    <row r="17" spans="1:67">
      <c r="B17" s="185" t="s">
        <v>211</v>
      </c>
      <c r="C17" s="185" t="s">
        <v>210</v>
      </c>
      <c r="E17" s="82">
        <v>945654735</v>
      </c>
    </row>
    <row r="18" spans="1:67">
      <c r="B18" s="185" t="s">
        <v>209</v>
      </c>
      <c r="C18" s="185" t="s">
        <v>208</v>
      </c>
      <c r="E18" s="147">
        <f>E17/E14</f>
        <v>0.69443065081421718</v>
      </c>
    </row>
    <row r="19" spans="1:67">
      <c r="B19" s="185" t="s">
        <v>207</v>
      </c>
      <c r="C19" s="185" t="s">
        <v>206</v>
      </c>
    </row>
    <row r="20" spans="1:67">
      <c r="B20" s="185" t="s">
        <v>205</v>
      </c>
      <c r="C20" s="185" t="s">
        <v>204</v>
      </c>
    </row>
    <row r="21" spans="1:67">
      <c r="B21" s="185" t="s">
        <v>71</v>
      </c>
      <c r="C21" s="185" t="s">
        <v>203</v>
      </c>
      <c r="E21" s="3" t="s">
        <v>270</v>
      </c>
      <c r="F21" s="193" t="s">
        <v>271</v>
      </c>
      <c r="G21" s="193" t="s">
        <v>272</v>
      </c>
      <c r="H21" s="193" t="s">
        <v>273</v>
      </c>
      <c r="I21" s="193" t="s">
        <v>311</v>
      </c>
    </row>
    <row r="22" spans="1:67" s="1" customFormat="1" ht="12.75">
      <c r="A22" s="108"/>
      <c r="D22" s="1">
        <f>F23*100000</f>
        <v>2.8</v>
      </c>
      <c r="E22" s="172">
        <v>88626.4</v>
      </c>
      <c r="F22" s="108" t="s">
        <v>321</v>
      </c>
      <c r="G22" s="171">
        <f>F23*E22</f>
        <v>2.4815391999999998</v>
      </c>
      <c r="H22" s="171">
        <f>G22*76</f>
        <v>188.59697919999999</v>
      </c>
      <c r="I22" s="171">
        <f>H22*100000</f>
        <v>18859697.919999998</v>
      </c>
      <c r="J22" s="171">
        <f>I22/10^7</f>
        <v>1.8859697919999998</v>
      </c>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row>
    <row r="23" spans="1:67" s="1" customFormat="1" ht="12.75">
      <c r="E23" s="1">
        <v>28</v>
      </c>
      <c r="F23" s="108">
        <f>E23/1000000</f>
        <v>2.8E-5</v>
      </c>
      <c r="G23" s="108"/>
      <c r="H23" s="108"/>
      <c r="I23" s="196">
        <f>I22/10^7</f>
        <v>1.8859697919999998</v>
      </c>
      <c r="J23" s="108"/>
      <c r="K23" s="108"/>
      <c r="L23" s="108"/>
      <c r="M23" s="108"/>
      <c r="N23" s="108"/>
      <c r="O23" s="108"/>
      <c r="P23" s="108"/>
      <c r="Q23" s="108"/>
      <c r="R23" s="108"/>
      <c r="S23" s="108"/>
      <c r="T23" s="108"/>
      <c r="U23" s="108"/>
      <c r="V23" s="109"/>
      <c r="BO23" s="110"/>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14BC-54E9-4783-B7F7-D6D5F130E908}">
  <dimension ref="A1:L39"/>
  <sheetViews>
    <sheetView showGridLines="0" zoomScaleNormal="100" zoomScaleSheetLayoutView="100" workbookViewId="0">
      <selection activeCell="H10" sqref="H10"/>
    </sheetView>
  </sheetViews>
  <sheetFormatPr defaultRowHeight="12.75"/>
  <cols>
    <col min="1" max="1" width="38.140625" style="253" customWidth="1"/>
    <col min="2" max="3" width="9.7109375" style="253" bestFit="1" customWidth="1"/>
    <col min="4" max="4" width="9.5703125" style="253" bestFit="1" customWidth="1"/>
    <col min="5" max="10" width="9.7109375" style="253" bestFit="1" customWidth="1"/>
    <col min="11" max="255" width="9.140625" style="253"/>
    <col min="256" max="256" width="38.140625" style="253" customWidth="1"/>
    <col min="257" max="258" width="9.5703125" style="253" bestFit="1" customWidth="1"/>
    <col min="259" max="259" width="9.28515625" style="253" bestFit="1" customWidth="1"/>
    <col min="260" max="265" width="9.5703125" style="253" bestFit="1" customWidth="1"/>
    <col min="266" max="266" width="10.28515625" style="253" bestFit="1" customWidth="1"/>
    <col min="267" max="511" width="9.140625" style="253"/>
    <col min="512" max="512" width="38.140625" style="253" customWidth="1"/>
    <col min="513" max="514" width="9.5703125" style="253" bestFit="1" customWidth="1"/>
    <col min="515" max="515" width="9.28515625" style="253" bestFit="1" customWidth="1"/>
    <col min="516" max="521" width="9.5703125" style="253" bestFit="1" customWidth="1"/>
    <col min="522" max="522" width="10.28515625" style="253" bestFit="1" customWidth="1"/>
    <col min="523" max="767" width="9.140625" style="253"/>
    <col min="768" max="768" width="38.140625" style="253" customWidth="1"/>
    <col min="769" max="770" width="9.5703125" style="253" bestFit="1" customWidth="1"/>
    <col min="771" max="771" width="9.28515625" style="253" bestFit="1" customWidth="1"/>
    <col min="772" max="777" width="9.5703125" style="253" bestFit="1" customWidth="1"/>
    <col min="778" max="778" width="10.28515625" style="253" bestFit="1" customWidth="1"/>
    <col min="779" max="1023" width="9.140625" style="253"/>
    <col min="1024" max="1024" width="38.140625" style="253" customWidth="1"/>
    <col min="1025" max="1026" width="9.5703125" style="253" bestFit="1" customWidth="1"/>
    <col min="1027" max="1027" width="9.28515625" style="253" bestFit="1" customWidth="1"/>
    <col min="1028" max="1033" width="9.5703125" style="253" bestFit="1" customWidth="1"/>
    <col min="1034" max="1034" width="10.28515625" style="253" bestFit="1" customWidth="1"/>
    <col min="1035" max="1279" width="9.140625" style="253"/>
    <col min="1280" max="1280" width="38.140625" style="253" customWidth="1"/>
    <col min="1281" max="1282" width="9.5703125" style="253" bestFit="1" customWidth="1"/>
    <col min="1283" max="1283" width="9.28515625" style="253" bestFit="1" customWidth="1"/>
    <col min="1284" max="1289" width="9.5703125" style="253" bestFit="1" customWidth="1"/>
    <col min="1290" max="1290" width="10.28515625" style="253" bestFit="1" customWidth="1"/>
    <col min="1291" max="1535" width="9.140625" style="253"/>
    <col min="1536" max="1536" width="38.140625" style="253" customWidth="1"/>
    <col min="1537" max="1538" width="9.5703125" style="253" bestFit="1" customWidth="1"/>
    <col min="1539" max="1539" width="9.28515625" style="253" bestFit="1" customWidth="1"/>
    <col min="1540" max="1545" width="9.5703125" style="253" bestFit="1" customWidth="1"/>
    <col min="1546" max="1546" width="10.28515625" style="253" bestFit="1" customWidth="1"/>
    <col min="1547" max="1791" width="9.140625" style="253"/>
    <col min="1792" max="1792" width="38.140625" style="253" customWidth="1"/>
    <col min="1793" max="1794" width="9.5703125" style="253" bestFit="1" customWidth="1"/>
    <col min="1795" max="1795" width="9.28515625" style="253" bestFit="1" customWidth="1"/>
    <col min="1796" max="1801" width="9.5703125" style="253" bestFit="1" customWidth="1"/>
    <col min="1802" max="1802" width="10.28515625" style="253" bestFit="1" customWidth="1"/>
    <col min="1803" max="2047" width="9.140625" style="253"/>
    <col min="2048" max="2048" width="38.140625" style="253" customWidth="1"/>
    <col min="2049" max="2050" width="9.5703125" style="253" bestFit="1" customWidth="1"/>
    <col min="2051" max="2051" width="9.28515625" style="253" bestFit="1" customWidth="1"/>
    <col min="2052" max="2057" width="9.5703125" style="253" bestFit="1" customWidth="1"/>
    <col min="2058" max="2058" width="10.28515625" style="253" bestFit="1" customWidth="1"/>
    <col min="2059" max="2303" width="9.140625" style="253"/>
    <col min="2304" max="2304" width="38.140625" style="253" customWidth="1"/>
    <col min="2305" max="2306" width="9.5703125" style="253" bestFit="1" customWidth="1"/>
    <col min="2307" max="2307" width="9.28515625" style="253" bestFit="1" customWidth="1"/>
    <col min="2308" max="2313" width="9.5703125" style="253" bestFit="1" customWidth="1"/>
    <col min="2314" max="2314" width="10.28515625" style="253" bestFit="1" customWidth="1"/>
    <col min="2315" max="2559" width="9.140625" style="253"/>
    <col min="2560" max="2560" width="38.140625" style="253" customWidth="1"/>
    <col min="2561" max="2562" width="9.5703125" style="253" bestFit="1" customWidth="1"/>
    <col min="2563" max="2563" width="9.28515625" style="253" bestFit="1" customWidth="1"/>
    <col min="2564" max="2569" width="9.5703125" style="253" bestFit="1" customWidth="1"/>
    <col min="2570" max="2570" width="10.28515625" style="253" bestFit="1" customWidth="1"/>
    <col min="2571" max="2815" width="9.140625" style="253"/>
    <col min="2816" max="2816" width="38.140625" style="253" customWidth="1"/>
    <col min="2817" max="2818" width="9.5703125" style="253" bestFit="1" customWidth="1"/>
    <col min="2819" max="2819" width="9.28515625" style="253" bestFit="1" customWidth="1"/>
    <col min="2820" max="2825" width="9.5703125" style="253" bestFit="1" customWidth="1"/>
    <col min="2826" max="2826" width="10.28515625" style="253" bestFit="1" customWidth="1"/>
    <col min="2827" max="3071" width="9.140625" style="253"/>
    <col min="3072" max="3072" width="38.140625" style="253" customWidth="1"/>
    <col min="3073" max="3074" width="9.5703125" style="253" bestFit="1" customWidth="1"/>
    <col min="3075" max="3075" width="9.28515625" style="253" bestFit="1" customWidth="1"/>
    <col min="3076" max="3081" width="9.5703125" style="253" bestFit="1" customWidth="1"/>
    <col min="3082" max="3082" width="10.28515625" style="253" bestFit="1" customWidth="1"/>
    <col min="3083" max="3327" width="9.140625" style="253"/>
    <col min="3328" max="3328" width="38.140625" style="253" customWidth="1"/>
    <col min="3329" max="3330" width="9.5703125" style="253" bestFit="1" customWidth="1"/>
    <col min="3331" max="3331" width="9.28515625" style="253" bestFit="1" customWidth="1"/>
    <col min="3332" max="3337" width="9.5703125" style="253" bestFit="1" customWidth="1"/>
    <col min="3338" max="3338" width="10.28515625" style="253" bestFit="1" customWidth="1"/>
    <col min="3339" max="3583" width="9.140625" style="253"/>
    <col min="3584" max="3584" width="38.140625" style="253" customWidth="1"/>
    <col min="3585" max="3586" width="9.5703125" style="253" bestFit="1" customWidth="1"/>
    <col min="3587" max="3587" width="9.28515625" style="253" bestFit="1" customWidth="1"/>
    <col min="3588" max="3593" width="9.5703125" style="253" bestFit="1" customWidth="1"/>
    <col min="3594" max="3594" width="10.28515625" style="253" bestFit="1" customWidth="1"/>
    <col min="3595" max="3839" width="9.140625" style="253"/>
    <col min="3840" max="3840" width="38.140625" style="253" customWidth="1"/>
    <col min="3841" max="3842" width="9.5703125" style="253" bestFit="1" customWidth="1"/>
    <col min="3843" max="3843" width="9.28515625" style="253" bestFit="1" customWidth="1"/>
    <col min="3844" max="3849" width="9.5703125" style="253" bestFit="1" customWidth="1"/>
    <col min="3850" max="3850" width="10.28515625" style="253" bestFit="1" customWidth="1"/>
    <col min="3851" max="4095" width="9.140625" style="253"/>
    <col min="4096" max="4096" width="38.140625" style="253" customWidth="1"/>
    <col min="4097" max="4098" width="9.5703125" style="253" bestFit="1" customWidth="1"/>
    <col min="4099" max="4099" width="9.28515625" style="253" bestFit="1" customWidth="1"/>
    <col min="4100" max="4105" width="9.5703125" style="253" bestFit="1" customWidth="1"/>
    <col min="4106" max="4106" width="10.28515625" style="253" bestFit="1" customWidth="1"/>
    <col min="4107" max="4351" width="9.140625" style="253"/>
    <col min="4352" max="4352" width="38.140625" style="253" customWidth="1"/>
    <col min="4353" max="4354" width="9.5703125" style="253" bestFit="1" customWidth="1"/>
    <col min="4355" max="4355" width="9.28515625" style="253" bestFit="1" customWidth="1"/>
    <col min="4356" max="4361" width="9.5703125" style="253" bestFit="1" customWidth="1"/>
    <col min="4362" max="4362" width="10.28515625" style="253" bestFit="1" customWidth="1"/>
    <col min="4363" max="4607" width="9.140625" style="253"/>
    <col min="4608" max="4608" width="38.140625" style="253" customWidth="1"/>
    <col min="4609" max="4610" width="9.5703125" style="253" bestFit="1" customWidth="1"/>
    <col min="4611" max="4611" width="9.28515625" style="253" bestFit="1" customWidth="1"/>
    <col min="4612" max="4617" width="9.5703125" style="253" bestFit="1" customWidth="1"/>
    <col min="4618" max="4618" width="10.28515625" style="253" bestFit="1" customWidth="1"/>
    <col min="4619" max="4863" width="9.140625" style="253"/>
    <col min="4864" max="4864" width="38.140625" style="253" customWidth="1"/>
    <col min="4865" max="4866" width="9.5703125" style="253" bestFit="1" customWidth="1"/>
    <col min="4867" max="4867" width="9.28515625" style="253" bestFit="1" customWidth="1"/>
    <col min="4868" max="4873" width="9.5703125" style="253" bestFit="1" customWidth="1"/>
    <col min="4874" max="4874" width="10.28515625" style="253" bestFit="1" customWidth="1"/>
    <col min="4875" max="5119" width="9.140625" style="253"/>
    <col min="5120" max="5120" width="38.140625" style="253" customWidth="1"/>
    <col min="5121" max="5122" width="9.5703125" style="253" bestFit="1" customWidth="1"/>
    <col min="5123" max="5123" width="9.28515625" style="253" bestFit="1" customWidth="1"/>
    <col min="5124" max="5129" width="9.5703125" style="253" bestFit="1" customWidth="1"/>
    <col min="5130" max="5130" width="10.28515625" style="253" bestFit="1" customWidth="1"/>
    <col min="5131" max="5375" width="9.140625" style="253"/>
    <col min="5376" max="5376" width="38.140625" style="253" customWidth="1"/>
    <col min="5377" max="5378" width="9.5703125" style="253" bestFit="1" customWidth="1"/>
    <col min="5379" max="5379" width="9.28515625" style="253" bestFit="1" customWidth="1"/>
    <col min="5380" max="5385" width="9.5703125" style="253" bestFit="1" customWidth="1"/>
    <col min="5386" max="5386" width="10.28515625" style="253" bestFit="1" customWidth="1"/>
    <col min="5387" max="5631" width="9.140625" style="253"/>
    <col min="5632" max="5632" width="38.140625" style="253" customWidth="1"/>
    <col min="5633" max="5634" width="9.5703125" style="253" bestFit="1" customWidth="1"/>
    <col min="5635" max="5635" width="9.28515625" style="253" bestFit="1" customWidth="1"/>
    <col min="5636" max="5641" width="9.5703125" style="253" bestFit="1" customWidth="1"/>
    <col min="5642" max="5642" width="10.28515625" style="253" bestFit="1" customWidth="1"/>
    <col min="5643" max="5887" width="9.140625" style="253"/>
    <col min="5888" max="5888" width="38.140625" style="253" customWidth="1"/>
    <col min="5889" max="5890" width="9.5703125" style="253" bestFit="1" customWidth="1"/>
    <col min="5891" max="5891" width="9.28515625" style="253" bestFit="1" customWidth="1"/>
    <col min="5892" max="5897" width="9.5703125" style="253" bestFit="1" customWidth="1"/>
    <col min="5898" max="5898" width="10.28515625" style="253" bestFit="1" customWidth="1"/>
    <col min="5899" max="6143" width="9.140625" style="253"/>
    <col min="6144" max="6144" width="38.140625" style="253" customWidth="1"/>
    <col min="6145" max="6146" width="9.5703125" style="253" bestFit="1" customWidth="1"/>
    <col min="6147" max="6147" width="9.28515625" style="253" bestFit="1" customWidth="1"/>
    <col min="6148" max="6153" width="9.5703125" style="253" bestFit="1" customWidth="1"/>
    <col min="6154" max="6154" width="10.28515625" style="253" bestFit="1" customWidth="1"/>
    <col min="6155" max="6399" width="9.140625" style="253"/>
    <col min="6400" max="6400" width="38.140625" style="253" customWidth="1"/>
    <col min="6401" max="6402" width="9.5703125" style="253" bestFit="1" customWidth="1"/>
    <col min="6403" max="6403" width="9.28515625" style="253" bestFit="1" customWidth="1"/>
    <col min="6404" max="6409" width="9.5703125" style="253" bestFit="1" customWidth="1"/>
    <col min="6410" max="6410" width="10.28515625" style="253" bestFit="1" customWidth="1"/>
    <col min="6411" max="6655" width="9.140625" style="253"/>
    <col min="6656" max="6656" width="38.140625" style="253" customWidth="1"/>
    <col min="6657" max="6658" width="9.5703125" style="253" bestFit="1" customWidth="1"/>
    <col min="6659" max="6659" width="9.28515625" style="253" bestFit="1" customWidth="1"/>
    <col min="6660" max="6665" width="9.5703125" style="253" bestFit="1" customWidth="1"/>
    <col min="6666" max="6666" width="10.28515625" style="253" bestFit="1" customWidth="1"/>
    <col min="6667" max="6911" width="9.140625" style="253"/>
    <col min="6912" max="6912" width="38.140625" style="253" customWidth="1"/>
    <col min="6913" max="6914" width="9.5703125" style="253" bestFit="1" customWidth="1"/>
    <col min="6915" max="6915" width="9.28515625" style="253" bestFit="1" customWidth="1"/>
    <col min="6916" max="6921" width="9.5703125" style="253" bestFit="1" customWidth="1"/>
    <col min="6922" max="6922" width="10.28515625" style="253" bestFit="1" customWidth="1"/>
    <col min="6923" max="7167" width="9.140625" style="253"/>
    <col min="7168" max="7168" width="38.140625" style="253" customWidth="1"/>
    <col min="7169" max="7170" width="9.5703125" style="253" bestFit="1" customWidth="1"/>
    <col min="7171" max="7171" width="9.28515625" style="253" bestFit="1" customWidth="1"/>
    <col min="7172" max="7177" width="9.5703125" style="253" bestFit="1" customWidth="1"/>
    <col min="7178" max="7178" width="10.28515625" style="253" bestFit="1" customWidth="1"/>
    <col min="7179" max="7423" width="9.140625" style="253"/>
    <col min="7424" max="7424" width="38.140625" style="253" customWidth="1"/>
    <col min="7425" max="7426" width="9.5703125" style="253" bestFit="1" customWidth="1"/>
    <col min="7427" max="7427" width="9.28515625" style="253" bestFit="1" customWidth="1"/>
    <col min="7428" max="7433" width="9.5703125" style="253" bestFit="1" customWidth="1"/>
    <col min="7434" max="7434" width="10.28515625" style="253" bestFit="1" customWidth="1"/>
    <col min="7435" max="7679" width="9.140625" style="253"/>
    <col min="7680" max="7680" width="38.140625" style="253" customWidth="1"/>
    <col min="7681" max="7682" width="9.5703125" style="253" bestFit="1" customWidth="1"/>
    <col min="7683" max="7683" width="9.28515625" style="253" bestFit="1" customWidth="1"/>
    <col min="7684" max="7689" width="9.5703125" style="253" bestFit="1" customWidth="1"/>
    <col min="7690" max="7690" width="10.28515625" style="253" bestFit="1" customWidth="1"/>
    <col min="7691" max="7935" width="9.140625" style="253"/>
    <col min="7936" max="7936" width="38.140625" style="253" customWidth="1"/>
    <col min="7937" max="7938" width="9.5703125" style="253" bestFit="1" customWidth="1"/>
    <col min="7939" max="7939" width="9.28515625" style="253" bestFit="1" customWidth="1"/>
    <col min="7940" max="7945" width="9.5703125" style="253" bestFit="1" customWidth="1"/>
    <col min="7946" max="7946" width="10.28515625" style="253" bestFit="1" customWidth="1"/>
    <col min="7947" max="8191" width="9.140625" style="253"/>
    <col min="8192" max="8192" width="38.140625" style="253" customWidth="1"/>
    <col min="8193" max="8194" width="9.5703125" style="253" bestFit="1" customWidth="1"/>
    <col min="8195" max="8195" width="9.28515625" style="253" bestFit="1" customWidth="1"/>
    <col min="8196" max="8201" width="9.5703125" style="253" bestFit="1" customWidth="1"/>
    <col min="8202" max="8202" width="10.28515625" style="253" bestFit="1" customWidth="1"/>
    <col min="8203" max="8447" width="9.140625" style="253"/>
    <col min="8448" max="8448" width="38.140625" style="253" customWidth="1"/>
    <col min="8449" max="8450" width="9.5703125" style="253" bestFit="1" customWidth="1"/>
    <col min="8451" max="8451" width="9.28515625" style="253" bestFit="1" customWidth="1"/>
    <col min="8452" max="8457" width="9.5703125" style="253" bestFit="1" customWidth="1"/>
    <col min="8458" max="8458" width="10.28515625" style="253" bestFit="1" customWidth="1"/>
    <col min="8459" max="8703" width="9.140625" style="253"/>
    <col min="8704" max="8704" width="38.140625" style="253" customWidth="1"/>
    <col min="8705" max="8706" width="9.5703125" style="253" bestFit="1" customWidth="1"/>
    <col min="8707" max="8707" width="9.28515625" style="253" bestFit="1" customWidth="1"/>
    <col min="8708" max="8713" width="9.5703125" style="253" bestFit="1" customWidth="1"/>
    <col min="8714" max="8714" width="10.28515625" style="253" bestFit="1" customWidth="1"/>
    <col min="8715" max="8959" width="9.140625" style="253"/>
    <col min="8960" max="8960" width="38.140625" style="253" customWidth="1"/>
    <col min="8961" max="8962" width="9.5703125" style="253" bestFit="1" customWidth="1"/>
    <col min="8963" max="8963" width="9.28515625" style="253" bestFit="1" customWidth="1"/>
    <col min="8964" max="8969" width="9.5703125" style="253" bestFit="1" customWidth="1"/>
    <col min="8970" max="8970" width="10.28515625" style="253" bestFit="1" customWidth="1"/>
    <col min="8971" max="9215" width="9.140625" style="253"/>
    <col min="9216" max="9216" width="38.140625" style="253" customWidth="1"/>
    <col min="9217" max="9218" width="9.5703125" style="253" bestFit="1" customWidth="1"/>
    <col min="9219" max="9219" width="9.28515625" style="253" bestFit="1" customWidth="1"/>
    <col min="9220" max="9225" width="9.5703125" style="253" bestFit="1" customWidth="1"/>
    <col min="9226" max="9226" width="10.28515625" style="253" bestFit="1" customWidth="1"/>
    <col min="9227" max="9471" width="9.140625" style="253"/>
    <col min="9472" max="9472" width="38.140625" style="253" customWidth="1"/>
    <col min="9473" max="9474" width="9.5703125" style="253" bestFit="1" customWidth="1"/>
    <col min="9475" max="9475" width="9.28515625" style="253" bestFit="1" customWidth="1"/>
    <col min="9476" max="9481" width="9.5703125" style="253" bestFit="1" customWidth="1"/>
    <col min="9482" max="9482" width="10.28515625" style="253" bestFit="1" customWidth="1"/>
    <col min="9483" max="9727" width="9.140625" style="253"/>
    <col min="9728" max="9728" width="38.140625" style="253" customWidth="1"/>
    <col min="9729" max="9730" width="9.5703125" style="253" bestFit="1" customWidth="1"/>
    <col min="9731" max="9731" width="9.28515625" style="253" bestFit="1" customWidth="1"/>
    <col min="9732" max="9737" width="9.5703125" style="253" bestFit="1" customWidth="1"/>
    <col min="9738" max="9738" width="10.28515625" style="253" bestFit="1" customWidth="1"/>
    <col min="9739" max="9983" width="9.140625" style="253"/>
    <col min="9984" max="9984" width="38.140625" style="253" customWidth="1"/>
    <col min="9985" max="9986" width="9.5703125" style="253" bestFit="1" customWidth="1"/>
    <col min="9987" max="9987" width="9.28515625" style="253" bestFit="1" customWidth="1"/>
    <col min="9988" max="9993" width="9.5703125" style="253" bestFit="1" customWidth="1"/>
    <col min="9994" max="9994" width="10.28515625" style="253" bestFit="1" customWidth="1"/>
    <col min="9995" max="10239" width="9.140625" style="253"/>
    <col min="10240" max="10240" width="38.140625" style="253" customWidth="1"/>
    <col min="10241" max="10242" width="9.5703125" style="253" bestFit="1" customWidth="1"/>
    <col min="10243" max="10243" width="9.28515625" style="253" bestFit="1" customWidth="1"/>
    <col min="10244" max="10249" width="9.5703125" style="253" bestFit="1" customWidth="1"/>
    <col min="10250" max="10250" width="10.28515625" style="253" bestFit="1" customWidth="1"/>
    <col min="10251" max="10495" width="9.140625" style="253"/>
    <col min="10496" max="10496" width="38.140625" style="253" customWidth="1"/>
    <col min="10497" max="10498" width="9.5703125" style="253" bestFit="1" customWidth="1"/>
    <col min="10499" max="10499" width="9.28515625" style="253" bestFit="1" customWidth="1"/>
    <col min="10500" max="10505" width="9.5703125" style="253" bestFit="1" customWidth="1"/>
    <col min="10506" max="10506" width="10.28515625" style="253" bestFit="1" customWidth="1"/>
    <col min="10507" max="10751" width="9.140625" style="253"/>
    <col min="10752" max="10752" width="38.140625" style="253" customWidth="1"/>
    <col min="10753" max="10754" width="9.5703125" style="253" bestFit="1" customWidth="1"/>
    <col min="10755" max="10755" width="9.28515625" style="253" bestFit="1" customWidth="1"/>
    <col min="10756" max="10761" width="9.5703125" style="253" bestFit="1" customWidth="1"/>
    <col min="10762" max="10762" width="10.28515625" style="253" bestFit="1" customWidth="1"/>
    <col min="10763" max="11007" width="9.140625" style="253"/>
    <col min="11008" max="11008" width="38.140625" style="253" customWidth="1"/>
    <col min="11009" max="11010" width="9.5703125" style="253" bestFit="1" customWidth="1"/>
    <col min="11011" max="11011" width="9.28515625" style="253" bestFit="1" customWidth="1"/>
    <col min="11012" max="11017" width="9.5703125" style="253" bestFit="1" customWidth="1"/>
    <col min="11018" max="11018" width="10.28515625" style="253" bestFit="1" customWidth="1"/>
    <col min="11019" max="11263" width="9.140625" style="253"/>
    <col min="11264" max="11264" width="38.140625" style="253" customWidth="1"/>
    <col min="11265" max="11266" width="9.5703125" style="253" bestFit="1" customWidth="1"/>
    <col min="11267" max="11267" width="9.28515625" style="253" bestFit="1" customWidth="1"/>
    <col min="11268" max="11273" width="9.5703125" style="253" bestFit="1" customWidth="1"/>
    <col min="11274" max="11274" width="10.28515625" style="253" bestFit="1" customWidth="1"/>
    <col min="11275" max="11519" width="9.140625" style="253"/>
    <col min="11520" max="11520" width="38.140625" style="253" customWidth="1"/>
    <col min="11521" max="11522" width="9.5703125" style="253" bestFit="1" customWidth="1"/>
    <col min="11523" max="11523" width="9.28515625" style="253" bestFit="1" customWidth="1"/>
    <col min="11524" max="11529" width="9.5703125" style="253" bestFit="1" customWidth="1"/>
    <col min="11530" max="11530" width="10.28515625" style="253" bestFit="1" customWidth="1"/>
    <col min="11531" max="11775" width="9.140625" style="253"/>
    <col min="11776" max="11776" width="38.140625" style="253" customWidth="1"/>
    <col min="11777" max="11778" width="9.5703125" style="253" bestFit="1" customWidth="1"/>
    <col min="11779" max="11779" width="9.28515625" style="253" bestFit="1" customWidth="1"/>
    <col min="11780" max="11785" width="9.5703125" style="253" bestFit="1" customWidth="1"/>
    <col min="11786" max="11786" width="10.28515625" style="253" bestFit="1" customWidth="1"/>
    <col min="11787" max="12031" width="9.140625" style="253"/>
    <col min="12032" max="12032" width="38.140625" style="253" customWidth="1"/>
    <col min="12033" max="12034" width="9.5703125" style="253" bestFit="1" customWidth="1"/>
    <col min="12035" max="12035" width="9.28515625" style="253" bestFit="1" customWidth="1"/>
    <col min="12036" max="12041" width="9.5703125" style="253" bestFit="1" customWidth="1"/>
    <col min="12042" max="12042" width="10.28515625" style="253" bestFit="1" customWidth="1"/>
    <col min="12043" max="12287" width="9.140625" style="253"/>
    <col min="12288" max="12288" width="38.140625" style="253" customWidth="1"/>
    <col min="12289" max="12290" width="9.5703125" style="253" bestFit="1" customWidth="1"/>
    <col min="12291" max="12291" width="9.28515625" style="253" bestFit="1" customWidth="1"/>
    <col min="12292" max="12297" width="9.5703125" style="253" bestFit="1" customWidth="1"/>
    <col min="12298" max="12298" width="10.28515625" style="253" bestFit="1" customWidth="1"/>
    <col min="12299" max="12543" width="9.140625" style="253"/>
    <col min="12544" max="12544" width="38.140625" style="253" customWidth="1"/>
    <col min="12545" max="12546" width="9.5703125" style="253" bestFit="1" customWidth="1"/>
    <col min="12547" max="12547" width="9.28515625" style="253" bestFit="1" customWidth="1"/>
    <col min="12548" max="12553" width="9.5703125" style="253" bestFit="1" customWidth="1"/>
    <col min="12554" max="12554" width="10.28515625" style="253" bestFit="1" customWidth="1"/>
    <col min="12555" max="12799" width="9.140625" style="253"/>
    <col min="12800" max="12800" width="38.140625" style="253" customWidth="1"/>
    <col min="12801" max="12802" width="9.5703125" style="253" bestFit="1" customWidth="1"/>
    <col min="12803" max="12803" width="9.28515625" style="253" bestFit="1" customWidth="1"/>
    <col min="12804" max="12809" width="9.5703125" style="253" bestFit="1" customWidth="1"/>
    <col min="12810" max="12810" width="10.28515625" style="253" bestFit="1" customWidth="1"/>
    <col min="12811" max="13055" width="9.140625" style="253"/>
    <col min="13056" max="13056" width="38.140625" style="253" customWidth="1"/>
    <col min="13057" max="13058" width="9.5703125" style="253" bestFit="1" customWidth="1"/>
    <col min="13059" max="13059" width="9.28515625" style="253" bestFit="1" customWidth="1"/>
    <col min="13060" max="13065" width="9.5703125" style="253" bestFit="1" customWidth="1"/>
    <col min="13066" max="13066" width="10.28515625" style="253" bestFit="1" customWidth="1"/>
    <col min="13067" max="13311" width="9.140625" style="253"/>
    <col min="13312" max="13312" width="38.140625" style="253" customWidth="1"/>
    <col min="13313" max="13314" width="9.5703125" style="253" bestFit="1" customWidth="1"/>
    <col min="13315" max="13315" width="9.28515625" style="253" bestFit="1" customWidth="1"/>
    <col min="13316" max="13321" width="9.5703125" style="253" bestFit="1" customWidth="1"/>
    <col min="13322" max="13322" width="10.28515625" style="253" bestFit="1" customWidth="1"/>
    <col min="13323" max="13567" width="9.140625" style="253"/>
    <col min="13568" max="13568" width="38.140625" style="253" customWidth="1"/>
    <col min="13569" max="13570" width="9.5703125" style="253" bestFit="1" customWidth="1"/>
    <col min="13571" max="13571" width="9.28515625" style="253" bestFit="1" customWidth="1"/>
    <col min="13572" max="13577" width="9.5703125" style="253" bestFit="1" customWidth="1"/>
    <col min="13578" max="13578" width="10.28515625" style="253" bestFit="1" customWidth="1"/>
    <col min="13579" max="13823" width="9.140625" style="253"/>
    <col min="13824" max="13824" width="38.140625" style="253" customWidth="1"/>
    <col min="13825" max="13826" width="9.5703125" style="253" bestFit="1" customWidth="1"/>
    <col min="13827" max="13827" width="9.28515625" style="253" bestFit="1" customWidth="1"/>
    <col min="13828" max="13833" width="9.5703125" style="253" bestFit="1" customWidth="1"/>
    <col min="13834" max="13834" width="10.28515625" style="253" bestFit="1" customWidth="1"/>
    <col min="13835" max="14079" width="9.140625" style="253"/>
    <col min="14080" max="14080" width="38.140625" style="253" customWidth="1"/>
    <col min="14081" max="14082" width="9.5703125" style="253" bestFit="1" customWidth="1"/>
    <col min="14083" max="14083" width="9.28515625" style="253" bestFit="1" customWidth="1"/>
    <col min="14084" max="14089" width="9.5703125" style="253" bestFit="1" customWidth="1"/>
    <col min="14090" max="14090" width="10.28515625" style="253" bestFit="1" customWidth="1"/>
    <col min="14091" max="14335" width="9.140625" style="253"/>
    <col min="14336" max="14336" width="38.140625" style="253" customWidth="1"/>
    <col min="14337" max="14338" width="9.5703125" style="253" bestFit="1" customWidth="1"/>
    <col min="14339" max="14339" width="9.28515625" style="253" bestFit="1" customWidth="1"/>
    <col min="14340" max="14345" width="9.5703125" style="253" bestFit="1" customWidth="1"/>
    <col min="14346" max="14346" width="10.28515625" style="253" bestFit="1" customWidth="1"/>
    <col min="14347" max="14591" width="9.140625" style="253"/>
    <col min="14592" max="14592" width="38.140625" style="253" customWidth="1"/>
    <col min="14593" max="14594" width="9.5703125" style="253" bestFit="1" customWidth="1"/>
    <col min="14595" max="14595" width="9.28515625" style="253" bestFit="1" customWidth="1"/>
    <col min="14596" max="14601" width="9.5703125" style="253" bestFit="1" customWidth="1"/>
    <col min="14602" max="14602" width="10.28515625" style="253" bestFit="1" customWidth="1"/>
    <col min="14603" max="14847" width="9.140625" style="253"/>
    <col min="14848" max="14848" width="38.140625" style="253" customWidth="1"/>
    <col min="14849" max="14850" width="9.5703125" style="253" bestFit="1" customWidth="1"/>
    <col min="14851" max="14851" width="9.28515625" style="253" bestFit="1" customWidth="1"/>
    <col min="14852" max="14857" width="9.5703125" style="253" bestFit="1" customWidth="1"/>
    <col min="14858" max="14858" width="10.28515625" style="253" bestFit="1" customWidth="1"/>
    <col min="14859" max="15103" width="9.140625" style="253"/>
    <col min="15104" max="15104" width="38.140625" style="253" customWidth="1"/>
    <col min="15105" max="15106" width="9.5703125" style="253" bestFit="1" customWidth="1"/>
    <col min="15107" max="15107" width="9.28515625" style="253" bestFit="1" customWidth="1"/>
    <col min="15108" max="15113" width="9.5703125" style="253" bestFit="1" customWidth="1"/>
    <col min="15114" max="15114" width="10.28515625" style="253" bestFit="1" customWidth="1"/>
    <col min="15115" max="15359" width="9.140625" style="253"/>
    <col min="15360" max="15360" width="38.140625" style="253" customWidth="1"/>
    <col min="15361" max="15362" width="9.5703125" style="253" bestFit="1" customWidth="1"/>
    <col min="15363" max="15363" width="9.28515625" style="253" bestFit="1" customWidth="1"/>
    <col min="15364" max="15369" width="9.5703125" style="253" bestFit="1" customWidth="1"/>
    <col min="15370" max="15370" width="10.28515625" style="253" bestFit="1" customWidth="1"/>
    <col min="15371" max="15615" width="9.140625" style="253"/>
    <col min="15616" max="15616" width="38.140625" style="253" customWidth="1"/>
    <col min="15617" max="15618" width="9.5703125" style="253" bestFit="1" customWidth="1"/>
    <col min="15619" max="15619" width="9.28515625" style="253" bestFit="1" customWidth="1"/>
    <col min="15620" max="15625" width="9.5703125" style="253" bestFit="1" customWidth="1"/>
    <col min="15626" max="15626" width="10.28515625" style="253" bestFit="1" customWidth="1"/>
    <col min="15627" max="15871" width="9.140625" style="253"/>
    <col min="15872" max="15872" width="38.140625" style="253" customWidth="1"/>
    <col min="15873" max="15874" width="9.5703125" style="253" bestFit="1" customWidth="1"/>
    <col min="15875" max="15875" width="9.28515625" style="253" bestFit="1" customWidth="1"/>
    <col min="15876" max="15881" width="9.5703125" style="253" bestFit="1" customWidth="1"/>
    <col min="15882" max="15882" width="10.28515625" style="253" bestFit="1" customWidth="1"/>
    <col min="15883" max="16127" width="9.140625" style="253"/>
    <col min="16128" max="16128" width="38.140625" style="253" customWidth="1"/>
    <col min="16129" max="16130" width="9.5703125" style="253" bestFit="1" customWidth="1"/>
    <col min="16131" max="16131" width="9.28515625" style="253" bestFit="1" customWidth="1"/>
    <col min="16132" max="16137" width="9.5703125" style="253" bestFit="1" customWidth="1"/>
    <col min="16138" max="16138" width="10.28515625" style="253" bestFit="1" customWidth="1"/>
    <col min="16139" max="16384" width="9.140625" style="253"/>
  </cols>
  <sheetData>
    <row r="1" spans="1:12" ht="17.100000000000001" customHeight="1">
      <c r="A1" s="458" t="s">
        <v>120</v>
      </c>
      <c r="B1" s="459"/>
      <c r="C1" s="459"/>
      <c r="D1" s="459"/>
      <c r="E1" s="459"/>
      <c r="F1" s="459"/>
      <c r="G1" s="459"/>
      <c r="H1" s="459"/>
      <c r="I1" s="459"/>
      <c r="J1" s="460"/>
    </row>
    <row r="2" spans="1:12" ht="17.100000000000001" customHeight="1">
      <c r="A2" s="479" t="s">
        <v>101</v>
      </c>
      <c r="B2" s="480"/>
      <c r="C2" s="480"/>
      <c r="D2" s="480"/>
      <c r="E2" s="480"/>
      <c r="F2" s="480"/>
      <c r="G2" s="480"/>
      <c r="H2" s="480"/>
      <c r="I2" s="480"/>
      <c r="J2" s="481"/>
    </row>
    <row r="3" spans="1:12" ht="17.100000000000001" customHeight="1">
      <c r="A3" s="153" t="s">
        <v>121</v>
      </c>
      <c r="B3" s="121" t="s">
        <v>102</v>
      </c>
      <c r="C3" s="121" t="s">
        <v>103</v>
      </c>
      <c r="D3" s="121" t="s">
        <v>104</v>
      </c>
      <c r="E3" s="121" t="s">
        <v>105</v>
      </c>
      <c r="F3" s="121" t="s">
        <v>106</v>
      </c>
      <c r="G3" s="121" t="s">
        <v>107</v>
      </c>
      <c r="H3" s="121" t="s">
        <v>108</v>
      </c>
      <c r="I3" s="121" t="s">
        <v>109</v>
      </c>
      <c r="J3" s="122" t="s">
        <v>110</v>
      </c>
      <c r="K3" s="254"/>
    </row>
    <row r="4" spans="1:12" ht="17.100000000000001" customHeight="1">
      <c r="A4" s="492"/>
      <c r="B4" s="493"/>
      <c r="C4" s="493"/>
      <c r="D4" s="493"/>
      <c r="E4" s="493"/>
      <c r="F4" s="493"/>
      <c r="G4" s="493"/>
      <c r="H4" s="493"/>
      <c r="I4" s="493"/>
      <c r="J4" s="494"/>
    </row>
    <row r="5" spans="1:12" ht="17.100000000000001" customHeight="1">
      <c r="A5" s="154" t="s">
        <v>122</v>
      </c>
      <c r="B5" s="151">
        <f>Profitability!B17</f>
        <v>7.2561710592306259</v>
      </c>
      <c r="C5" s="151">
        <f>Profitability!C17</f>
        <v>24.066935336925656</v>
      </c>
      <c r="D5" s="151">
        <f>Profitability!D17</f>
        <v>41.508334879144641</v>
      </c>
      <c r="E5" s="151">
        <f>Profitability!E17</f>
        <v>59.822003422332287</v>
      </c>
      <c r="F5" s="151">
        <f>Profitability!F17</f>
        <v>62.240940709738879</v>
      </c>
      <c r="G5" s="151">
        <f>Profitability!G17</f>
        <v>64.398865529527569</v>
      </c>
      <c r="H5" s="151">
        <f>Profitability!H17</f>
        <v>66.563461589436073</v>
      </c>
      <c r="I5" s="151">
        <f>Profitability!I17</f>
        <v>68.58601017129601</v>
      </c>
      <c r="J5" s="155">
        <f>Profitability!J17</f>
        <v>70.193521203608682</v>
      </c>
    </row>
    <row r="6" spans="1:12" ht="17.100000000000001" customHeight="1">
      <c r="A6" s="154" t="s">
        <v>123</v>
      </c>
      <c r="B6" s="151">
        <f>'Reference Values'!B92</f>
        <v>28.227499999999999</v>
      </c>
      <c r="C6" s="151">
        <f>'Reference Values'!C92</f>
        <v>27.286583333333333</v>
      </c>
      <c r="D6" s="151">
        <f>'Reference Values'!D92</f>
        <v>23.522916666666667</v>
      </c>
      <c r="E6" s="151">
        <f>'Reference Values'!E92</f>
        <v>19.759250000000002</v>
      </c>
      <c r="F6" s="151">
        <f>'Reference Values'!F92</f>
        <v>15.995583333333336</v>
      </c>
      <c r="G6" s="151">
        <f>'Reference Values'!G92</f>
        <v>18.586416666666668</v>
      </c>
      <c r="H6" s="151">
        <f>'Reference Values'!H92</f>
        <v>16.704583333333336</v>
      </c>
      <c r="I6" s="151">
        <f>'Reference Values'!I92</f>
        <v>14.822750000000003</v>
      </c>
      <c r="J6" s="155">
        <f>'Reference Values'!J92</f>
        <v>12.94091666666667</v>
      </c>
    </row>
    <row r="7" spans="1:12" ht="17.100000000000001" customHeight="1">
      <c r="A7" s="492"/>
      <c r="B7" s="493"/>
      <c r="C7" s="493"/>
      <c r="D7" s="493"/>
      <c r="E7" s="493"/>
      <c r="F7" s="493"/>
      <c r="G7" s="493"/>
      <c r="H7" s="493"/>
      <c r="I7" s="493"/>
      <c r="J7" s="494"/>
    </row>
    <row r="8" spans="1:12" s="255" customFormat="1" ht="17.100000000000001" customHeight="1">
      <c r="A8" s="119" t="s">
        <v>166</v>
      </c>
      <c r="B8" s="152">
        <f t="shared" ref="B8:J8" si="0">SUM(B5:B6)</f>
        <v>35.483671059230623</v>
      </c>
      <c r="C8" s="152">
        <f t="shared" si="0"/>
        <v>51.353518670258993</v>
      </c>
      <c r="D8" s="152">
        <f t="shared" si="0"/>
        <v>65.031251545811301</v>
      </c>
      <c r="E8" s="152">
        <f t="shared" si="0"/>
        <v>79.581253422332281</v>
      </c>
      <c r="F8" s="152">
        <f t="shared" si="0"/>
        <v>78.236524043072222</v>
      </c>
      <c r="G8" s="152">
        <f t="shared" si="0"/>
        <v>82.985282196194234</v>
      </c>
      <c r="H8" s="152">
        <f t="shared" si="0"/>
        <v>83.268044922769406</v>
      </c>
      <c r="I8" s="152">
        <f t="shared" si="0"/>
        <v>83.408760171296009</v>
      </c>
      <c r="J8" s="156">
        <f t="shared" si="0"/>
        <v>83.134437870275349</v>
      </c>
      <c r="L8" s="256"/>
    </row>
    <row r="9" spans="1:12" ht="17.100000000000001" customHeight="1">
      <c r="A9" s="492"/>
      <c r="B9" s="493"/>
      <c r="C9" s="493"/>
      <c r="D9" s="493"/>
      <c r="E9" s="493"/>
      <c r="F9" s="493"/>
      <c r="G9" s="493"/>
      <c r="H9" s="493"/>
      <c r="I9" s="493"/>
      <c r="J9" s="494"/>
    </row>
    <row r="10" spans="1:12" ht="17.100000000000001" customHeight="1">
      <c r="A10" s="154" t="s">
        <v>167</v>
      </c>
      <c r="B10" s="151">
        <f t="shared" ref="B10:J10" si="1">+B6</f>
        <v>28.227499999999999</v>
      </c>
      <c r="C10" s="151">
        <f t="shared" si="1"/>
        <v>27.286583333333333</v>
      </c>
      <c r="D10" s="151">
        <f t="shared" si="1"/>
        <v>23.522916666666667</v>
      </c>
      <c r="E10" s="151">
        <f t="shared" si="1"/>
        <v>19.759250000000002</v>
      </c>
      <c r="F10" s="151">
        <f t="shared" si="1"/>
        <v>15.995583333333336</v>
      </c>
      <c r="G10" s="151">
        <f t="shared" si="1"/>
        <v>18.586416666666668</v>
      </c>
      <c r="H10" s="151">
        <f t="shared" si="1"/>
        <v>16.704583333333336</v>
      </c>
      <c r="I10" s="151">
        <f t="shared" si="1"/>
        <v>14.822750000000003</v>
      </c>
      <c r="J10" s="155">
        <f t="shared" si="1"/>
        <v>12.94091666666667</v>
      </c>
    </row>
    <row r="11" spans="1:12" ht="17.100000000000001" customHeight="1">
      <c r="A11" s="154" t="s">
        <v>168</v>
      </c>
      <c r="B11" s="151">
        <f>'Reference Values'!B89</f>
        <v>0</v>
      </c>
      <c r="C11" s="151">
        <f>'Reference Values'!C89</f>
        <v>37.636666666666663</v>
      </c>
      <c r="D11" s="151">
        <f>'Reference Values'!D89</f>
        <v>37.636666666666663</v>
      </c>
      <c r="E11" s="151">
        <f>'Reference Values'!E89</f>
        <v>37.636666666666663</v>
      </c>
      <c r="F11" s="151">
        <f>'Reference Values'!F89</f>
        <v>37.636666666666663</v>
      </c>
      <c r="G11" s="151">
        <f>'Reference Values'!G89</f>
        <v>37.636666666666663</v>
      </c>
      <c r="H11" s="151">
        <f>'Reference Values'!H89</f>
        <v>37.636666666666663</v>
      </c>
      <c r="I11" s="151">
        <f>'Reference Values'!I89</f>
        <v>37.636666666666663</v>
      </c>
      <c r="J11" s="155">
        <f>'Reference Values'!J89</f>
        <v>37.636666666666663</v>
      </c>
    </row>
    <row r="12" spans="1:12" ht="17.100000000000001" customHeight="1">
      <c r="A12" s="492"/>
      <c r="B12" s="493"/>
      <c r="C12" s="493"/>
      <c r="D12" s="493"/>
      <c r="E12" s="493"/>
      <c r="F12" s="493"/>
      <c r="G12" s="493"/>
      <c r="H12" s="493"/>
      <c r="I12" s="493"/>
      <c r="J12" s="494"/>
    </row>
    <row r="13" spans="1:12" s="255" customFormat="1" ht="17.100000000000001" customHeight="1">
      <c r="A13" s="119" t="s">
        <v>169</v>
      </c>
      <c r="B13" s="152">
        <f t="shared" ref="B13:J13" si="2">SUM(B10:B11)</f>
        <v>28.227499999999999</v>
      </c>
      <c r="C13" s="152">
        <f t="shared" si="2"/>
        <v>64.923249999999996</v>
      </c>
      <c r="D13" s="152">
        <f t="shared" si="2"/>
        <v>61.15958333333333</v>
      </c>
      <c r="E13" s="152">
        <f t="shared" si="2"/>
        <v>57.395916666666665</v>
      </c>
      <c r="F13" s="152">
        <f t="shared" si="2"/>
        <v>53.632249999999999</v>
      </c>
      <c r="G13" s="152">
        <f t="shared" si="2"/>
        <v>56.223083333333335</v>
      </c>
      <c r="H13" s="152">
        <f t="shared" si="2"/>
        <v>54.341250000000002</v>
      </c>
      <c r="I13" s="152">
        <f t="shared" si="2"/>
        <v>52.459416666666669</v>
      </c>
      <c r="J13" s="156">
        <f t="shared" si="2"/>
        <v>50.577583333333337</v>
      </c>
      <c r="L13" s="256"/>
    </row>
    <row r="14" spans="1:12" ht="17.100000000000001" customHeight="1">
      <c r="A14" s="492"/>
      <c r="B14" s="493"/>
      <c r="C14" s="493"/>
      <c r="D14" s="493"/>
      <c r="E14" s="493"/>
      <c r="F14" s="493"/>
      <c r="G14" s="493"/>
      <c r="H14" s="493"/>
      <c r="I14" s="493"/>
      <c r="J14" s="494"/>
    </row>
    <row r="15" spans="1:12" s="255" customFormat="1" ht="17.100000000000001" customHeight="1">
      <c r="A15" s="153" t="s">
        <v>170</v>
      </c>
      <c r="B15" s="152">
        <f t="shared" ref="B15:J15" si="3">+B8/B13</f>
        <v>1.2570603510488221</v>
      </c>
      <c r="C15" s="152">
        <f t="shared" si="3"/>
        <v>0.79098810780820428</v>
      </c>
      <c r="D15" s="152">
        <f t="shared" si="3"/>
        <v>1.0633043588831617</v>
      </c>
      <c r="E15" s="152">
        <f t="shared" si="3"/>
        <v>1.3865316218313837</v>
      </c>
      <c r="F15" s="152">
        <f t="shared" si="3"/>
        <v>1.4587589378232728</v>
      </c>
      <c r="G15" s="152">
        <f t="shared" si="3"/>
        <v>1.4760001991387446</v>
      </c>
      <c r="H15" s="152">
        <f t="shared" si="3"/>
        <v>1.5323174369888326</v>
      </c>
      <c r="I15" s="152">
        <f t="shared" si="3"/>
        <v>1.5899673589831378</v>
      </c>
      <c r="J15" s="156">
        <f t="shared" si="3"/>
        <v>1.6437012682550474</v>
      </c>
    </row>
    <row r="16" spans="1:12" ht="17.100000000000001" customHeight="1">
      <c r="A16" s="492"/>
      <c r="B16" s="493"/>
      <c r="C16" s="493"/>
      <c r="D16" s="493"/>
      <c r="E16" s="493"/>
      <c r="F16" s="493"/>
      <c r="G16" s="493"/>
      <c r="H16" s="493"/>
      <c r="I16" s="493"/>
      <c r="J16" s="494"/>
      <c r="K16" s="294"/>
    </row>
    <row r="17" spans="1:10" ht="17.100000000000001" customHeight="1">
      <c r="A17" s="157" t="s">
        <v>124</v>
      </c>
      <c r="B17" s="158">
        <f>SUM(B8:I8)/SUM(B13:I13)</f>
        <v>1.3057833785095794</v>
      </c>
      <c r="C17" s="159"/>
      <c r="D17" s="159"/>
      <c r="E17" s="159"/>
      <c r="F17" s="159"/>
      <c r="G17" s="159"/>
      <c r="H17" s="159"/>
      <c r="I17" s="159"/>
      <c r="J17" s="160"/>
    </row>
    <row r="18" spans="1:10" ht="17.100000000000001" customHeight="1">
      <c r="A18" s="257"/>
      <c r="B18" s="257"/>
      <c r="C18" s="257"/>
      <c r="D18" s="257"/>
      <c r="E18" s="257"/>
      <c r="F18" s="257"/>
      <c r="G18" s="257"/>
      <c r="H18" s="257"/>
      <c r="I18" s="257"/>
      <c r="J18" s="257"/>
    </row>
    <row r="21" spans="1:10">
      <c r="B21" s="258"/>
      <c r="D21" s="259"/>
      <c r="E21" s="259"/>
      <c r="F21" s="259"/>
      <c r="G21" s="259"/>
      <c r="H21" s="259"/>
      <c r="I21" s="259"/>
      <c r="J21" s="259"/>
    </row>
    <row r="22" spans="1:10">
      <c r="D22" s="259"/>
      <c r="E22" s="259"/>
      <c r="F22" s="259"/>
      <c r="G22" s="259"/>
      <c r="H22" s="259"/>
      <c r="I22" s="259"/>
      <c r="J22" s="259"/>
    </row>
    <row r="23" spans="1:10">
      <c r="D23" s="259"/>
      <c r="E23" s="259"/>
      <c r="F23" s="259"/>
      <c r="G23" s="259"/>
      <c r="H23" s="259"/>
      <c r="I23" s="259"/>
      <c r="J23" s="259"/>
    </row>
    <row r="24" spans="1:10">
      <c r="D24" s="259"/>
      <c r="E24" s="259"/>
      <c r="F24" s="259"/>
      <c r="G24" s="259"/>
      <c r="H24" s="259"/>
      <c r="I24" s="259"/>
      <c r="J24" s="259"/>
    </row>
    <row r="25" spans="1:10">
      <c r="D25" s="259"/>
      <c r="E25" s="259"/>
      <c r="F25" s="259"/>
      <c r="G25" s="259"/>
      <c r="H25" s="259"/>
      <c r="I25" s="259"/>
      <c r="J25" s="259"/>
    </row>
    <row r="26" spans="1:10">
      <c r="D26" s="259"/>
      <c r="E26" s="259"/>
      <c r="F26" s="259"/>
      <c r="G26" s="259"/>
      <c r="H26" s="259"/>
      <c r="I26" s="259"/>
      <c r="J26" s="259"/>
    </row>
    <row r="27" spans="1:10">
      <c r="D27" s="259"/>
      <c r="E27" s="259"/>
      <c r="F27" s="259"/>
      <c r="G27" s="259"/>
      <c r="H27" s="259"/>
      <c r="I27" s="259"/>
      <c r="J27" s="259"/>
    </row>
    <row r="28" spans="1:10">
      <c r="D28" s="259"/>
      <c r="E28" s="259"/>
      <c r="F28" s="259"/>
      <c r="G28" s="259"/>
      <c r="H28" s="259"/>
      <c r="I28" s="259"/>
      <c r="J28" s="259"/>
    </row>
    <row r="29" spans="1:10">
      <c r="D29" s="259"/>
      <c r="E29" s="259"/>
      <c r="F29" s="259"/>
      <c r="G29" s="259"/>
      <c r="H29" s="259"/>
      <c r="I29" s="259"/>
      <c r="J29" s="259"/>
    </row>
    <row r="30" spans="1:10">
      <c r="D30" s="259"/>
      <c r="E30" s="259"/>
      <c r="F30" s="259"/>
      <c r="G30" s="259"/>
      <c r="H30" s="259"/>
      <c r="I30" s="259"/>
      <c r="J30" s="259"/>
    </row>
    <row r="31" spans="1:10">
      <c r="D31" s="259"/>
      <c r="E31" s="259"/>
      <c r="F31" s="259"/>
      <c r="G31" s="259"/>
      <c r="H31" s="259"/>
      <c r="I31" s="259"/>
      <c r="J31" s="259"/>
    </row>
    <row r="32" spans="1:10">
      <c r="D32" s="259"/>
      <c r="E32" s="259"/>
      <c r="F32" s="259"/>
      <c r="G32" s="259"/>
      <c r="H32" s="259"/>
      <c r="I32" s="259"/>
      <c r="J32" s="259"/>
    </row>
    <row r="33" spans="4:10">
      <c r="D33" s="259"/>
      <c r="E33" s="259"/>
      <c r="F33" s="259"/>
      <c r="G33" s="259"/>
      <c r="H33" s="259"/>
      <c r="I33" s="259"/>
      <c r="J33" s="259"/>
    </row>
    <row r="34" spans="4:10">
      <c r="D34" s="259"/>
      <c r="E34" s="259"/>
      <c r="F34" s="259"/>
      <c r="G34" s="259"/>
      <c r="H34" s="259"/>
      <c r="I34" s="259"/>
      <c r="J34" s="259"/>
    </row>
    <row r="35" spans="4:10">
      <c r="D35" s="259"/>
      <c r="E35" s="259"/>
      <c r="F35" s="259"/>
      <c r="G35" s="259"/>
      <c r="H35" s="259"/>
      <c r="I35" s="259"/>
      <c r="J35" s="259"/>
    </row>
    <row r="36" spans="4:10">
      <c r="D36" s="259"/>
      <c r="E36" s="259"/>
      <c r="F36" s="259"/>
      <c r="G36" s="259"/>
      <c r="H36" s="259"/>
      <c r="I36" s="259"/>
      <c r="J36" s="259"/>
    </row>
    <row r="37" spans="4:10">
      <c r="D37" s="259"/>
      <c r="E37" s="259"/>
      <c r="F37" s="259"/>
      <c r="G37" s="259"/>
      <c r="H37" s="259"/>
      <c r="I37" s="259"/>
      <c r="J37" s="259"/>
    </row>
    <row r="38" spans="4:10">
      <c r="D38" s="259"/>
      <c r="E38" s="259"/>
      <c r="F38" s="259"/>
      <c r="G38" s="259"/>
      <c r="H38" s="259"/>
      <c r="I38" s="259"/>
      <c r="J38" s="259"/>
    </row>
    <row r="39" spans="4:10">
      <c r="D39" s="259"/>
      <c r="E39" s="259"/>
      <c r="F39" s="259"/>
      <c r="G39" s="259"/>
      <c r="H39" s="259"/>
      <c r="I39" s="259"/>
      <c r="J39" s="259"/>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14CCC-9BDC-40C7-B775-F84C2D30AE6B}">
  <dimension ref="A1"/>
  <sheetViews>
    <sheetView showGridLines="0" zoomScale="90" zoomScaleNormal="90" workbookViewId="0">
      <selection activeCell="K79" sqref="K79"/>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094-DC8D-417B-931D-931C856E2699}">
  <dimension ref="A1:BB61"/>
  <sheetViews>
    <sheetView showGridLines="0" topLeftCell="A7" zoomScaleNormal="100" workbookViewId="0">
      <selection activeCell="J31" sqref="J31"/>
    </sheetView>
  </sheetViews>
  <sheetFormatPr defaultColWidth="9.140625" defaultRowHeight="12.75"/>
  <cols>
    <col min="1" max="1" width="34.85546875" style="366" bestFit="1" customWidth="1"/>
    <col min="2" max="2" width="58.85546875" style="366" customWidth="1"/>
    <col min="3" max="3" width="40.7109375" style="366" customWidth="1"/>
    <col min="4" max="4" width="26.85546875" style="366" bestFit="1" customWidth="1"/>
    <col min="5" max="5" width="20" style="366" bestFit="1" customWidth="1"/>
    <col min="6" max="6" width="25.7109375" style="366" customWidth="1"/>
    <col min="7" max="7" width="11.140625" style="366" bestFit="1" customWidth="1"/>
    <col min="8" max="8" width="26.5703125" style="366" bestFit="1" customWidth="1"/>
    <col min="9" max="9" width="20.5703125" style="366" customWidth="1"/>
    <col min="10" max="10" width="30.7109375" style="367" bestFit="1" customWidth="1"/>
    <col min="11" max="11" width="17.42578125" style="367" bestFit="1" customWidth="1"/>
    <col min="12" max="12" width="25.85546875" style="367" bestFit="1" customWidth="1"/>
    <col min="13" max="16" width="9.140625" style="367"/>
    <col min="17" max="17" width="16.42578125" style="367" bestFit="1" customWidth="1"/>
    <col min="18" max="16384" width="9.140625" style="367"/>
  </cols>
  <sheetData>
    <row r="1" spans="1:53">
      <c r="A1" s="437" t="s">
        <v>259</v>
      </c>
      <c r="B1" s="437"/>
      <c r="C1" s="437"/>
      <c r="D1" s="437"/>
      <c r="E1" s="437"/>
      <c r="F1" s="367"/>
      <c r="G1" s="367"/>
      <c r="H1" s="367"/>
      <c r="I1" s="367"/>
    </row>
    <row r="2" spans="1:53" ht="38.25" customHeight="1">
      <c r="A2" s="281" t="s">
        <v>268</v>
      </c>
      <c r="B2" s="178" t="s">
        <v>266</v>
      </c>
      <c r="C2" s="178" t="s">
        <v>260</v>
      </c>
      <c r="D2" s="178" t="s">
        <v>265</v>
      </c>
      <c r="E2" s="178" t="s">
        <v>77</v>
      </c>
      <c r="F2" s="367"/>
      <c r="G2" s="367"/>
      <c r="H2" s="367"/>
      <c r="I2" s="367"/>
    </row>
    <row r="3" spans="1:53" ht="38.25" customHeight="1">
      <c r="A3" s="430" t="s">
        <v>195</v>
      </c>
      <c r="B3" s="432">
        <v>100000</v>
      </c>
      <c r="C3" s="299" t="s">
        <v>197</v>
      </c>
      <c r="D3" s="299">
        <v>0.28749999999999998</v>
      </c>
      <c r="E3" s="299" t="s">
        <v>78</v>
      </c>
      <c r="F3" s="367"/>
      <c r="G3" s="367"/>
      <c r="H3" s="367"/>
      <c r="I3" s="367"/>
      <c r="J3" s="374"/>
    </row>
    <row r="4" spans="1:53" ht="38.25" customHeight="1">
      <c r="A4" s="430"/>
      <c r="B4" s="432"/>
      <c r="C4" s="299" t="s">
        <v>267</v>
      </c>
      <c r="D4" s="299">
        <v>2.7999999999999998E-4</v>
      </c>
      <c r="E4" s="299" t="s">
        <v>261</v>
      </c>
      <c r="F4" s="367"/>
      <c r="G4" s="367"/>
      <c r="H4" s="367"/>
      <c r="I4" s="367"/>
    </row>
    <row r="5" spans="1:53" ht="38.25" customHeight="1">
      <c r="A5" s="430" t="s">
        <v>239</v>
      </c>
      <c r="B5" s="432">
        <v>100000</v>
      </c>
      <c r="C5" s="299" t="s">
        <v>249</v>
      </c>
      <c r="D5" s="299">
        <v>0.747</v>
      </c>
      <c r="E5" s="299" t="s">
        <v>78</v>
      </c>
      <c r="F5" s="367"/>
      <c r="G5" s="367"/>
      <c r="H5" s="367"/>
      <c r="I5" s="367"/>
    </row>
    <row r="6" spans="1:53" ht="38.25" customHeight="1">
      <c r="A6" s="431"/>
      <c r="B6" s="433"/>
      <c r="C6" s="301" t="s">
        <v>197</v>
      </c>
      <c r="D6" s="301">
        <v>0.21299999999999999</v>
      </c>
      <c r="E6" s="301" t="s">
        <v>78</v>
      </c>
      <c r="F6" s="367"/>
      <c r="G6" s="367"/>
      <c r="H6" s="367"/>
      <c r="I6" s="367"/>
    </row>
    <row r="7" spans="1:53">
      <c r="A7" s="442" t="s">
        <v>291</v>
      </c>
      <c r="B7" s="442"/>
      <c r="C7" s="442"/>
      <c r="D7" s="442"/>
      <c r="E7" s="442"/>
      <c r="F7" s="442"/>
      <c r="G7" s="442"/>
      <c r="H7" s="442"/>
      <c r="I7" s="443"/>
    </row>
    <row r="8" spans="1:53" s="369" customFormat="1">
      <c r="A8" s="312" t="s">
        <v>139</v>
      </c>
      <c r="B8" s="312" t="s">
        <v>140</v>
      </c>
      <c r="C8" s="164" t="s">
        <v>77</v>
      </c>
      <c r="D8" s="164" t="s">
        <v>322</v>
      </c>
      <c r="E8" s="312" t="s">
        <v>141</v>
      </c>
      <c r="F8" s="313" t="s">
        <v>1</v>
      </c>
      <c r="G8" s="314" t="s">
        <v>282</v>
      </c>
      <c r="H8" s="314" t="s">
        <v>283</v>
      </c>
      <c r="I8" s="314" t="s">
        <v>284</v>
      </c>
      <c r="J8" s="314" t="s">
        <v>285</v>
      </c>
      <c r="K8" s="368"/>
      <c r="L8" s="316"/>
      <c r="M8" s="314" t="s">
        <v>282</v>
      </c>
      <c r="N8" s="314" t="s">
        <v>283</v>
      </c>
      <c r="O8" s="314" t="s">
        <v>284</v>
      </c>
      <c r="P8" s="314" t="s">
        <v>285</v>
      </c>
      <c r="Q8" s="315" t="s">
        <v>286</v>
      </c>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row>
    <row r="9" spans="1:53" s="369" customFormat="1" hidden="1">
      <c r="A9" s="444" t="s">
        <v>142</v>
      </c>
      <c r="B9" s="317" t="s">
        <v>143</v>
      </c>
      <c r="C9" s="317" t="s">
        <v>75</v>
      </c>
      <c r="D9" s="317"/>
      <c r="E9" s="317" t="s">
        <v>278</v>
      </c>
      <c r="F9" s="31" t="s">
        <v>0</v>
      </c>
      <c r="G9" s="31">
        <v>46764.427300723</v>
      </c>
      <c r="H9" s="31">
        <v>49848.163616800543</v>
      </c>
      <c r="I9" s="31">
        <v>47958.871071535585</v>
      </c>
      <c r="J9" s="31">
        <v>49198.016422217115</v>
      </c>
      <c r="K9" s="368"/>
      <c r="L9" s="319"/>
      <c r="M9" s="1"/>
      <c r="N9" s="319"/>
      <c r="O9" s="319"/>
      <c r="P9" s="110"/>
      <c r="Q9" s="110"/>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row>
    <row r="10" spans="1:53" s="369" customFormat="1" hidden="1">
      <c r="A10" s="431"/>
      <c r="B10" s="80" t="s">
        <v>144</v>
      </c>
      <c r="C10" s="80" t="s">
        <v>145</v>
      </c>
      <c r="D10" s="80"/>
      <c r="E10" s="80" t="s">
        <v>278</v>
      </c>
      <c r="F10" s="320" t="s">
        <v>196</v>
      </c>
      <c r="G10" s="321">
        <v>619.33000000000004</v>
      </c>
      <c r="H10" s="321">
        <v>708.17</v>
      </c>
      <c r="I10" s="321">
        <v>868.98</v>
      </c>
      <c r="J10" s="321">
        <v>938.53</v>
      </c>
      <c r="K10" s="368"/>
      <c r="L10" s="110"/>
      <c r="M10" s="110"/>
      <c r="N10" s="110"/>
      <c r="O10" s="110"/>
      <c r="P10" s="110"/>
      <c r="Q10" s="110"/>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row>
    <row r="11" spans="1:53" s="369" customFormat="1">
      <c r="A11" s="444" t="s">
        <v>146</v>
      </c>
      <c r="B11" s="322" t="s">
        <v>144</v>
      </c>
      <c r="C11" s="323" t="s">
        <v>288</v>
      </c>
      <c r="D11" s="317"/>
      <c r="E11" s="322" t="s">
        <v>287</v>
      </c>
      <c r="F11" s="324" t="s">
        <v>197</v>
      </c>
      <c r="G11" s="325">
        <v>25699</v>
      </c>
      <c r="H11" s="325">
        <v>26033</v>
      </c>
      <c r="I11" s="325">
        <v>28157</v>
      </c>
      <c r="J11" s="325">
        <v>26258</v>
      </c>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c r="AS11" s="368"/>
      <c r="AT11" s="368"/>
      <c r="AU11" s="368"/>
      <c r="AV11" s="368"/>
      <c r="AW11" s="368"/>
      <c r="AX11" s="368"/>
      <c r="AY11" s="368"/>
      <c r="AZ11" s="368"/>
      <c r="BA11" s="368"/>
    </row>
    <row r="12" spans="1:53" s="369" customFormat="1">
      <c r="A12" s="430"/>
      <c r="B12" s="299" t="s">
        <v>147</v>
      </c>
      <c r="C12" s="326" t="s">
        <v>288</v>
      </c>
      <c r="D12" s="111"/>
      <c r="E12" s="299" t="s">
        <v>301</v>
      </c>
      <c r="F12" s="327" t="s">
        <v>195</v>
      </c>
      <c r="G12" s="328">
        <f>Opex!$C$22</f>
        <v>10964.094722381518</v>
      </c>
      <c r="H12" s="328">
        <f>Opex!$C$22</f>
        <v>10964.094722381518</v>
      </c>
      <c r="I12" s="328">
        <f>Opex!$C$22</f>
        <v>10964.094722381518</v>
      </c>
      <c r="J12" s="328">
        <f>Opex!$C$22</f>
        <v>10964.094722381518</v>
      </c>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row>
    <row r="13" spans="1:53" s="369" customFormat="1">
      <c r="A13" s="431"/>
      <c r="B13" s="301" t="s">
        <v>144</v>
      </c>
      <c r="C13" s="330" t="s">
        <v>288</v>
      </c>
      <c r="D13" s="80"/>
      <c r="E13" s="301" t="s">
        <v>289</v>
      </c>
      <c r="F13" s="331" t="s">
        <v>197</v>
      </c>
      <c r="G13" s="332">
        <v>28412</v>
      </c>
      <c r="H13" s="332">
        <v>29925</v>
      </c>
      <c r="I13" s="332">
        <v>29764</v>
      </c>
      <c r="J13" s="332">
        <v>28868</v>
      </c>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row>
    <row r="14" spans="1:53" s="369" customFormat="1">
      <c r="A14" s="334" t="s">
        <v>198</v>
      </c>
      <c r="B14" s="317" t="s">
        <v>147</v>
      </c>
      <c r="C14" s="317" t="s">
        <v>148</v>
      </c>
      <c r="D14" s="317"/>
      <c r="E14" s="322" t="s">
        <v>199</v>
      </c>
      <c r="F14" s="324" t="s">
        <v>195</v>
      </c>
      <c r="G14" s="335">
        <f>100000</f>
        <v>100000</v>
      </c>
      <c r="H14" s="335">
        <f t="shared" ref="H14:J14" si="0">100000</f>
        <v>100000</v>
      </c>
      <c r="I14" s="335">
        <f t="shared" si="0"/>
        <v>100000</v>
      </c>
      <c r="J14" s="335">
        <f t="shared" si="0"/>
        <v>100000</v>
      </c>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row>
    <row r="15" spans="1:53" s="369" customFormat="1" ht="15" customHeight="1">
      <c r="A15" s="445" t="s">
        <v>202</v>
      </c>
      <c r="B15" s="336" t="s">
        <v>144</v>
      </c>
      <c r="C15" s="336" t="s">
        <v>148</v>
      </c>
      <c r="D15" s="422">
        <v>4.7500000000000001E-2</v>
      </c>
      <c r="E15" s="447" t="s">
        <v>319</v>
      </c>
      <c r="F15" s="337" t="s">
        <v>74</v>
      </c>
      <c r="G15" s="338">
        <f>$D$15*G13</f>
        <v>1349.57</v>
      </c>
      <c r="H15" s="338">
        <f t="shared" ref="H15:J15" si="1">$D$15*H13</f>
        <v>1421.4375</v>
      </c>
      <c r="I15" s="338">
        <f t="shared" si="1"/>
        <v>1413.79</v>
      </c>
      <c r="J15" s="338">
        <f t="shared" si="1"/>
        <v>1371.23</v>
      </c>
      <c r="K15" s="368"/>
      <c r="L15" s="339" t="s">
        <v>149</v>
      </c>
      <c r="M15" s="340">
        <v>7.1103664336427554</v>
      </c>
      <c r="N15" s="340">
        <v>6.225133333333333</v>
      </c>
      <c r="O15" s="340">
        <v>4.7416666666666663</v>
      </c>
      <c r="P15" s="340">
        <v>6.2450000000000001</v>
      </c>
      <c r="Q15" s="341">
        <f>AVERAGE(M15:P15)</f>
        <v>6.0805416084106891</v>
      </c>
    </row>
    <row r="16" spans="1:53" s="369" customFormat="1">
      <c r="A16" s="446"/>
      <c r="B16" s="30" t="s">
        <v>144</v>
      </c>
      <c r="C16" s="30" t="s">
        <v>148</v>
      </c>
      <c r="D16" s="423">
        <v>132.69999999999999</v>
      </c>
      <c r="E16" s="448"/>
      <c r="F16" s="342" t="s">
        <v>72</v>
      </c>
      <c r="G16" s="343">
        <f>$D$16*G13</f>
        <v>3770272.4</v>
      </c>
      <c r="H16" s="343">
        <f t="shared" ref="H16:J16" si="2">$D$16*H13</f>
        <v>3971047.4999999995</v>
      </c>
      <c r="I16" s="343">
        <f t="shared" si="2"/>
        <v>3949682.8</v>
      </c>
      <c r="J16" s="343">
        <f t="shared" si="2"/>
        <v>3830783.5999999996</v>
      </c>
      <c r="K16" s="368"/>
      <c r="L16" s="344" t="s">
        <v>150</v>
      </c>
      <c r="M16" s="345">
        <v>2414.5963234323031</v>
      </c>
      <c r="N16" s="345">
        <v>2454.8231266731923</v>
      </c>
      <c r="O16" s="345">
        <v>1923.7383333333335</v>
      </c>
      <c r="P16" s="345">
        <v>2675.5816666666669</v>
      </c>
      <c r="Q16" s="346">
        <f t="shared" ref="Q16:Q22" si="3">AVERAGE(M16:P16)</f>
        <v>2367.1848625263738</v>
      </c>
    </row>
    <row r="17" spans="1:54" s="369" customFormat="1">
      <c r="A17" s="446"/>
      <c r="B17" s="30"/>
      <c r="C17" s="30"/>
      <c r="D17" s="423"/>
      <c r="E17" s="448"/>
      <c r="F17" s="342"/>
      <c r="G17" s="343"/>
      <c r="H17" s="343"/>
      <c r="I17" s="343"/>
      <c r="J17" s="343"/>
      <c r="K17" s="368"/>
      <c r="L17" s="344" t="s">
        <v>151</v>
      </c>
      <c r="M17" s="345">
        <v>65.232804273504271</v>
      </c>
      <c r="N17" s="345">
        <v>71.333333333333343</v>
      </c>
      <c r="O17" s="345">
        <v>73.896666666666661</v>
      </c>
      <c r="P17" s="345">
        <v>91.792500000000004</v>
      </c>
      <c r="Q17" s="346">
        <f t="shared" si="3"/>
        <v>75.563826068376073</v>
      </c>
    </row>
    <row r="18" spans="1:54" s="369" customFormat="1" ht="24.75" customHeight="1">
      <c r="A18" s="446"/>
      <c r="B18" s="59" t="s">
        <v>144</v>
      </c>
      <c r="C18" s="59" t="s">
        <v>152</v>
      </c>
      <c r="D18" s="424">
        <v>8.3400000000000002E-3</v>
      </c>
      <c r="E18" s="448"/>
      <c r="F18" s="342" t="s">
        <v>71</v>
      </c>
      <c r="G18" s="343">
        <f>$D$18*G13</f>
        <v>236.95608000000001</v>
      </c>
      <c r="H18" s="343">
        <f t="shared" ref="H18:J18" si="4">$D$18*H13</f>
        <v>249.5745</v>
      </c>
      <c r="I18" s="343">
        <f t="shared" si="4"/>
        <v>248.23176000000001</v>
      </c>
      <c r="J18" s="343">
        <f t="shared" si="4"/>
        <v>240.75912</v>
      </c>
      <c r="K18" s="368"/>
      <c r="L18" s="344" t="s">
        <v>80</v>
      </c>
      <c r="M18" s="347">
        <v>3.0199051282051284</v>
      </c>
      <c r="N18" s="347">
        <v>2.69</v>
      </c>
      <c r="O18" s="347">
        <v>2.1983333333333328</v>
      </c>
      <c r="P18" s="347">
        <v>2.9858333333333338</v>
      </c>
      <c r="Q18" s="348">
        <f t="shared" si="3"/>
        <v>2.7235179487179488</v>
      </c>
    </row>
    <row r="19" spans="1:54" s="369" customFormat="1">
      <c r="A19" s="446"/>
      <c r="B19" s="30"/>
      <c r="C19" s="30"/>
      <c r="D19" s="423"/>
      <c r="E19" s="448"/>
      <c r="F19" s="342"/>
      <c r="G19" s="343"/>
      <c r="H19" s="343"/>
      <c r="I19" s="343"/>
      <c r="J19" s="343"/>
      <c r="K19" s="368"/>
      <c r="L19" s="349" t="s">
        <v>87</v>
      </c>
      <c r="M19" s="345">
        <v>3</v>
      </c>
      <c r="N19" s="345">
        <v>3</v>
      </c>
      <c r="O19" s="345">
        <v>3</v>
      </c>
      <c r="P19" s="345">
        <v>3</v>
      </c>
      <c r="Q19" s="346">
        <f t="shared" si="3"/>
        <v>3</v>
      </c>
    </row>
    <row r="20" spans="1:54" s="369" customFormat="1" ht="12" customHeight="1">
      <c r="A20" s="446"/>
      <c r="B20" s="30" t="s">
        <v>144</v>
      </c>
      <c r="C20" s="30"/>
      <c r="D20" s="30"/>
      <c r="E20" s="448"/>
      <c r="F20" s="342"/>
      <c r="G20" s="343"/>
      <c r="H20" s="343"/>
      <c r="I20" s="343"/>
      <c r="J20" s="343"/>
      <c r="K20" s="368"/>
      <c r="L20" s="349" t="s">
        <v>88</v>
      </c>
      <c r="M20" s="345">
        <v>2.4499999999999997</v>
      </c>
      <c r="N20" s="345">
        <v>2.4499999999999997</v>
      </c>
      <c r="O20" s="345">
        <v>2.4499999999999997</v>
      </c>
      <c r="P20" s="345">
        <v>2.4499999999999997</v>
      </c>
      <c r="Q20" s="346">
        <f t="shared" si="3"/>
        <v>2.4499999999999997</v>
      </c>
    </row>
    <row r="21" spans="1:54" s="369" customFormat="1">
      <c r="A21" s="446"/>
      <c r="B21" s="30" t="s">
        <v>144</v>
      </c>
      <c r="C21" s="30" t="s">
        <v>78</v>
      </c>
      <c r="D21" s="423">
        <v>1.07</v>
      </c>
      <c r="E21" s="448"/>
      <c r="F21" s="350" t="s">
        <v>154</v>
      </c>
      <c r="G21" s="343">
        <f>$D$21*G13</f>
        <v>30400.84</v>
      </c>
      <c r="H21" s="343">
        <f t="shared" ref="H21:J21" si="5">$D$21*H13</f>
        <v>32019.750000000004</v>
      </c>
      <c r="I21" s="343">
        <f t="shared" si="5"/>
        <v>31847.480000000003</v>
      </c>
      <c r="J21" s="343">
        <f t="shared" si="5"/>
        <v>30888.760000000002</v>
      </c>
      <c r="K21" s="368"/>
      <c r="L21" s="349" t="s">
        <v>89</v>
      </c>
      <c r="M21" s="345">
        <v>752</v>
      </c>
      <c r="N21" s="345">
        <v>752</v>
      </c>
      <c r="O21" s="345">
        <v>752</v>
      </c>
      <c r="P21" s="345">
        <v>752</v>
      </c>
      <c r="Q21" s="346">
        <f t="shared" si="3"/>
        <v>752</v>
      </c>
    </row>
    <row r="22" spans="1:54" s="369" customFormat="1">
      <c r="A22" s="446"/>
      <c r="B22" s="30" t="s">
        <v>144</v>
      </c>
      <c r="C22" s="30" t="s">
        <v>155</v>
      </c>
      <c r="D22" s="423"/>
      <c r="E22" s="448"/>
      <c r="F22" s="351" t="s">
        <v>156</v>
      </c>
      <c r="G22" s="342">
        <f>G15*$Q$16+G18*$Q$15+G16*$Q$19+$Q$20*G20+G21*$Q$21</f>
        <v>37368371.376223519</v>
      </c>
      <c r="H22" s="342">
        <f t="shared" ref="H22:J22" si="6">H15*$Q$16+H18*$Q$15+H16*$Q$19+$Q$20*H20+H21*$Q$21</f>
        <v>39358317.381158985</v>
      </c>
      <c r="I22" s="342">
        <f t="shared" si="6"/>
        <v>39146565.030336373</v>
      </c>
      <c r="J22" s="342">
        <f t="shared" si="6"/>
        <v>37968117.164888807</v>
      </c>
      <c r="K22" s="368"/>
      <c r="L22" s="352" t="s">
        <v>81</v>
      </c>
      <c r="M22" s="353">
        <v>48.9246032051282</v>
      </c>
      <c r="N22" s="353">
        <v>53.499999999999993</v>
      </c>
      <c r="O22" s="353">
        <v>55.422500000000007</v>
      </c>
      <c r="P22" s="353">
        <v>68.844374999999999</v>
      </c>
      <c r="Q22" s="354">
        <f t="shared" si="3"/>
        <v>56.672869551282048</v>
      </c>
    </row>
    <row r="23" spans="1:54" s="369" customFormat="1">
      <c r="A23" s="445" t="s">
        <v>300</v>
      </c>
      <c r="B23" s="336" t="s">
        <v>144</v>
      </c>
      <c r="C23" s="336" t="s">
        <v>148</v>
      </c>
      <c r="D23" s="422">
        <v>0.02</v>
      </c>
      <c r="E23" s="450" t="s">
        <v>319</v>
      </c>
      <c r="F23" s="337" t="s">
        <v>74</v>
      </c>
      <c r="G23" s="338">
        <f>$D23*(G$12*$D$5)+$D23*(G$13*$D$6)</f>
        <v>284.8386951523799</v>
      </c>
      <c r="H23" s="338">
        <f t="shared" ref="H23:J24" si="7">$D23*(H$12*$D$5)+$D23*(H$13*$D$6)</f>
        <v>291.2840751523799</v>
      </c>
      <c r="I23" s="338">
        <f t="shared" si="7"/>
        <v>290.59821515237991</v>
      </c>
      <c r="J23" s="338">
        <f t="shared" si="7"/>
        <v>286.78125515237991</v>
      </c>
      <c r="K23" s="368"/>
      <c r="L23" s="375"/>
      <c r="M23" s="376"/>
      <c r="N23" s="376"/>
      <c r="O23" s="376"/>
      <c r="P23" s="376"/>
      <c r="Q23" s="376"/>
    </row>
    <row r="24" spans="1:54" s="369" customFormat="1">
      <c r="A24" s="446"/>
      <c r="B24" s="30" t="s">
        <v>144</v>
      </c>
      <c r="C24" s="30" t="s">
        <v>148</v>
      </c>
      <c r="D24" s="423">
        <v>15</v>
      </c>
      <c r="E24" s="451"/>
      <c r="F24" s="342" t="s">
        <v>72</v>
      </c>
      <c r="G24" s="343">
        <f>$D24*(G$12*$D$5)+$D24*(G$13*$D$6)</f>
        <v>213629.02136428491</v>
      </c>
      <c r="H24" s="343">
        <f t="shared" si="7"/>
        <v>218463.05636428492</v>
      </c>
      <c r="I24" s="343">
        <f t="shared" si="7"/>
        <v>217948.66136428493</v>
      </c>
      <c r="J24" s="343">
        <f t="shared" si="7"/>
        <v>215085.9413642849</v>
      </c>
      <c r="K24" s="368"/>
      <c r="L24" s="375"/>
      <c r="M24" s="376"/>
      <c r="N24" s="376"/>
      <c r="O24" s="376"/>
      <c r="P24" s="376"/>
      <c r="Q24" s="376"/>
    </row>
    <row r="25" spans="1:54" s="369" customFormat="1">
      <c r="A25" s="446"/>
      <c r="B25" s="30"/>
      <c r="C25" s="30"/>
      <c r="D25" s="423"/>
      <c r="E25" s="451"/>
      <c r="F25" s="342"/>
      <c r="G25" s="343"/>
      <c r="H25" s="343"/>
      <c r="I25" s="343"/>
      <c r="J25" s="343"/>
      <c r="K25" s="368"/>
      <c r="L25" s="375"/>
      <c r="M25" s="376"/>
      <c r="N25" s="376"/>
      <c r="O25" s="376"/>
      <c r="P25" s="376"/>
      <c r="Q25" s="376"/>
    </row>
    <row r="26" spans="1:54" s="369" customFormat="1">
      <c r="A26" s="446"/>
      <c r="B26" s="59" t="s">
        <v>144</v>
      </c>
      <c r="C26" s="59" t="s">
        <v>152</v>
      </c>
      <c r="D26" s="424">
        <v>6.0000000000000001E-3</v>
      </c>
      <c r="E26" s="451"/>
      <c r="F26" s="342" t="s">
        <v>71</v>
      </c>
      <c r="G26" s="343">
        <f>$D26*(G$12*$D$5)+$D26*(G$13*$D$6)</f>
        <v>85.451608545713967</v>
      </c>
      <c r="H26" s="343">
        <f t="shared" ref="H26:J27" si="8">$D26*(H$12*$D$5)+$D26*(H$13*$D$6)</f>
        <v>87.385222545713958</v>
      </c>
      <c r="I26" s="343">
        <f t="shared" si="8"/>
        <v>87.179464545713969</v>
      </c>
      <c r="J26" s="343">
        <f t="shared" si="8"/>
        <v>86.034376545713968</v>
      </c>
      <c r="K26" s="368"/>
      <c r="L26" s="375"/>
      <c r="M26" s="376"/>
      <c r="N26" s="376"/>
      <c r="O26" s="376"/>
      <c r="P26" s="376"/>
      <c r="Q26" s="376"/>
    </row>
    <row r="27" spans="1:54" s="369" customFormat="1">
      <c r="A27" s="446"/>
      <c r="B27" s="30" t="s">
        <v>144</v>
      </c>
      <c r="C27" s="30" t="s">
        <v>153</v>
      </c>
      <c r="D27" s="423">
        <v>0.28399999999999997</v>
      </c>
      <c r="E27" s="451"/>
      <c r="F27" s="342" t="s">
        <v>320</v>
      </c>
      <c r="G27" s="343">
        <f>$D27*(G$12*$D$5)+$D27*(G$13*$D$6)</f>
        <v>4044.7094711637938</v>
      </c>
      <c r="H27" s="343">
        <f t="shared" si="8"/>
        <v>4136.2338671637935</v>
      </c>
      <c r="I27" s="343">
        <f t="shared" si="8"/>
        <v>4126.4946551637941</v>
      </c>
      <c r="J27" s="343">
        <f t="shared" si="8"/>
        <v>4072.2938231637941</v>
      </c>
      <c r="K27" s="368"/>
      <c r="L27" s="375"/>
      <c r="M27" s="376"/>
      <c r="N27" s="376"/>
      <c r="O27" s="376"/>
      <c r="P27" s="376"/>
      <c r="Q27" s="376"/>
    </row>
    <row r="28" spans="1:54" s="369" customFormat="1">
      <c r="A28" s="446"/>
      <c r="B28" s="30" t="s">
        <v>144</v>
      </c>
      <c r="C28" s="30"/>
      <c r="D28" s="30"/>
      <c r="E28" s="451"/>
      <c r="F28" s="342"/>
      <c r="G28" s="343"/>
      <c r="H28" s="343"/>
      <c r="I28" s="343"/>
      <c r="J28" s="343"/>
      <c r="K28" s="368"/>
      <c r="L28" s="375"/>
      <c r="M28" s="376"/>
      <c r="N28" s="376"/>
      <c r="O28" s="376"/>
      <c r="P28" s="376"/>
      <c r="Q28" s="376"/>
    </row>
    <row r="29" spans="1:54">
      <c r="A29" s="446"/>
      <c r="B29" s="30"/>
      <c r="C29" s="30"/>
      <c r="D29" s="420"/>
      <c r="E29" s="451"/>
      <c r="F29" s="350"/>
      <c r="G29" s="343"/>
      <c r="H29" s="343"/>
      <c r="I29" s="343"/>
      <c r="J29" s="343"/>
      <c r="K29" s="368"/>
    </row>
    <row r="30" spans="1:54" s="369" customFormat="1">
      <c r="A30" s="449"/>
      <c r="B30" s="355" t="s">
        <v>144</v>
      </c>
      <c r="C30" s="355" t="s">
        <v>155</v>
      </c>
      <c r="D30" s="355"/>
      <c r="E30" s="452"/>
      <c r="F30" s="356" t="s">
        <v>156</v>
      </c>
      <c r="G30" s="357">
        <f>G23*$Q$16+G26*$Q$15+G24*$Q$19+G27*$Q$22</f>
        <v>1544897.7958127011</v>
      </c>
      <c r="H30" s="357">
        <f t="shared" ref="H30:J30" si="9">H23*$Q$16+H26*$Q$15+H24*$Q$19+H27*$Q$22</f>
        <v>1579856.014357581</v>
      </c>
      <c r="I30" s="357">
        <f t="shared" si="9"/>
        <v>1576136.0717364801</v>
      </c>
      <c r="J30" s="357">
        <f t="shared" si="9"/>
        <v>1555433.7823668751</v>
      </c>
      <c r="K30" s="368"/>
      <c r="L30" s="375"/>
      <c r="M30" s="376"/>
      <c r="N30" s="376"/>
      <c r="O30" s="376"/>
      <c r="P30" s="376"/>
      <c r="Q30" s="376"/>
    </row>
    <row r="31" spans="1:54" s="369" customFormat="1" ht="32.25" customHeight="1">
      <c r="A31" s="300" t="s">
        <v>157</v>
      </c>
      <c r="B31" s="306" t="s">
        <v>144</v>
      </c>
      <c r="C31" s="301" t="s">
        <v>155</v>
      </c>
      <c r="D31" s="19">
        <v>188.6</v>
      </c>
      <c r="E31" s="107"/>
      <c r="F31" s="320" t="s">
        <v>310</v>
      </c>
      <c r="G31" s="389">
        <f>$D$31*G14</f>
        <v>18860000</v>
      </c>
      <c r="H31" s="389">
        <f t="shared" ref="H31:J31" si="10">$D$31*H14</f>
        <v>18860000</v>
      </c>
      <c r="I31" s="389">
        <f t="shared" si="10"/>
        <v>18860000</v>
      </c>
      <c r="J31" s="389">
        <f t="shared" si="10"/>
        <v>18860000</v>
      </c>
      <c r="K31" s="368"/>
      <c r="L31" s="377"/>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70"/>
    </row>
    <row r="32" spans="1:54" s="369" customFormat="1" ht="24" customHeight="1">
      <c r="A32" s="305" t="s">
        <v>19</v>
      </c>
      <c r="B32" s="359" t="s">
        <v>144</v>
      </c>
      <c r="C32" s="359" t="s">
        <v>155</v>
      </c>
      <c r="D32" s="360">
        <v>2821</v>
      </c>
      <c r="E32" s="116"/>
      <c r="F32" s="361" t="s">
        <v>309</v>
      </c>
      <c r="G32" s="358">
        <f>$D$32*200000</f>
        <v>564200000</v>
      </c>
      <c r="H32" s="358">
        <f t="shared" ref="H32:J32" si="11">$D$32*200000</f>
        <v>564200000</v>
      </c>
      <c r="I32" s="358">
        <f t="shared" si="11"/>
        <v>564200000</v>
      </c>
      <c r="J32" s="358">
        <f t="shared" si="11"/>
        <v>564200000</v>
      </c>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row>
    <row r="33" spans="1:53" s="372" customFormat="1" ht="27" customHeight="1">
      <c r="A33" s="305" t="s">
        <v>93</v>
      </c>
      <c r="B33" s="359" t="s">
        <v>144</v>
      </c>
      <c r="C33" s="359" t="s">
        <v>155</v>
      </c>
      <c r="D33" s="360">
        <v>1109.8380433538794</v>
      </c>
      <c r="E33" s="173"/>
      <c r="F33" s="361" t="s">
        <v>309</v>
      </c>
      <c r="G33" s="358">
        <f>$D$33*200000</f>
        <v>221967608.67077586</v>
      </c>
      <c r="H33" s="358">
        <f t="shared" ref="H33:J33" si="12">$D$33*200000</f>
        <v>221967608.67077586</v>
      </c>
      <c r="I33" s="358">
        <f t="shared" si="12"/>
        <v>221967608.67077586</v>
      </c>
      <c r="J33" s="358">
        <f t="shared" si="12"/>
        <v>221967608.67077586</v>
      </c>
      <c r="K33" s="368"/>
      <c r="L33" s="371"/>
      <c r="M33" s="371"/>
      <c r="N33" s="371"/>
      <c r="O33" s="371"/>
      <c r="P33" s="371"/>
      <c r="Q33" s="371"/>
      <c r="R33" s="371"/>
      <c r="S33" s="371"/>
      <c r="T33" s="371"/>
      <c r="U33" s="371"/>
      <c r="V33" s="371"/>
      <c r="W33" s="371"/>
      <c r="X33" s="371"/>
      <c r="Y33" s="371"/>
      <c r="Z33" s="371"/>
      <c r="AA33" s="371"/>
      <c r="AB33" s="371"/>
      <c r="AC33" s="371"/>
      <c r="AD33" s="371"/>
      <c r="AE33" s="371"/>
      <c r="AF33" s="371"/>
      <c r="AG33" s="371"/>
      <c r="AH33" s="371"/>
      <c r="AI33" s="371"/>
      <c r="AJ33" s="371"/>
      <c r="AK33" s="371"/>
      <c r="AL33" s="371"/>
      <c r="AM33" s="371"/>
      <c r="AN33" s="371"/>
      <c r="AO33" s="371"/>
      <c r="AP33" s="371"/>
      <c r="AQ33" s="371"/>
      <c r="AR33" s="371"/>
      <c r="AS33" s="371"/>
      <c r="AT33" s="371"/>
      <c r="AU33" s="371"/>
      <c r="AV33" s="371"/>
      <c r="AW33" s="371"/>
      <c r="AX33" s="371"/>
      <c r="AY33" s="371"/>
      <c r="AZ33" s="371"/>
      <c r="BA33" s="371"/>
    </row>
    <row r="34" spans="1:53" s="369" customFormat="1">
      <c r="A34" s="1"/>
      <c r="B34" s="1"/>
      <c r="C34" s="1"/>
      <c r="D34" s="1"/>
      <c r="E34" s="1"/>
      <c r="F34" s="108"/>
      <c r="K34" s="368"/>
    </row>
    <row r="35" spans="1:53" s="369" customFormat="1">
      <c r="A35" s="195"/>
      <c r="B35" s="195"/>
      <c r="C35" s="195"/>
      <c r="D35" s="195"/>
      <c r="E35" s="195"/>
      <c r="F35" s="195"/>
      <c r="K35" s="368"/>
    </row>
    <row r="36" spans="1:53" ht="22.5" customHeight="1">
      <c r="A36" s="438" t="s">
        <v>293</v>
      </c>
      <c r="B36" s="438"/>
      <c r="C36" s="438"/>
      <c r="D36" s="438"/>
    </row>
    <row r="37" spans="1:53">
      <c r="A37" s="439" t="s">
        <v>279</v>
      </c>
      <c r="B37" s="440"/>
      <c r="C37" s="440"/>
      <c r="D37" s="441"/>
    </row>
    <row r="38" spans="1:53">
      <c r="A38" s="298" t="s">
        <v>69</v>
      </c>
      <c r="B38" s="298" t="s">
        <v>86</v>
      </c>
      <c r="C38" s="298" t="s">
        <v>83</v>
      </c>
      <c r="D38" s="216" t="s">
        <v>84</v>
      </c>
    </row>
    <row r="39" spans="1:53">
      <c r="A39" s="23">
        <v>1</v>
      </c>
      <c r="B39" s="117" t="s">
        <v>201</v>
      </c>
      <c r="C39" s="24">
        <v>20652</v>
      </c>
      <c r="D39" s="25">
        <v>21400</v>
      </c>
    </row>
    <row r="40" spans="1:53">
      <c r="A40" s="217"/>
      <c r="B40" s="303" t="s">
        <v>82</v>
      </c>
      <c r="C40" s="219"/>
      <c r="D40" s="219"/>
    </row>
    <row r="41" spans="1:53">
      <c r="A41" s="439" t="s">
        <v>279</v>
      </c>
      <c r="B41" s="440"/>
      <c r="C41" s="440"/>
      <c r="D41" s="441"/>
    </row>
    <row r="42" spans="1:53">
      <c r="A42" s="298" t="s">
        <v>69</v>
      </c>
      <c r="B42" s="298" t="s">
        <v>86</v>
      </c>
      <c r="C42" s="298" t="s">
        <v>83</v>
      </c>
      <c r="D42" s="216" t="s">
        <v>84</v>
      </c>
    </row>
    <row r="43" spans="1:53">
      <c r="A43" s="23">
        <v>1</v>
      </c>
      <c r="B43" s="117" t="s">
        <v>295</v>
      </c>
      <c r="C43" s="24">
        <v>38323</v>
      </c>
      <c r="D43" s="25">
        <v>100000</v>
      </c>
    </row>
    <row r="44" spans="1:53" ht="18" customHeight="1">
      <c r="A44" s="286"/>
      <c r="B44" s="286"/>
      <c r="C44" s="286"/>
      <c r="D44" s="286"/>
      <c r="E44" s="378"/>
    </row>
    <row r="45" spans="1:53">
      <c r="A45" s="437" t="s">
        <v>294</v>
      </c>
      <c r="B45" s="437"/>
      <c r="C45" s="437"/>
    </row>
    <row r="46" spans="1:53">
      <c r="A46" s="207" t="s">
        <v>57</v>
      </c>
      <c r="B46" s="208" t="s">
        <v>58</v>
      </c>
      <c r="C46" s="208" t="s">
        <v>67</v>
      </c>
    </row>
    <row r="47" spans="1:53">
      <c r="A47" s="20" t="s">
        <v>60</v>
      </c>
      <c r="B47" s="111">
        <v>3</v>
      </c>
      <c r="C47" s="111">
        <v>35</v>
      </c>
    </row>
    <row r="48" spans="1:53">
      <c r="A48" s="20" t="s">
        <v>61</v>
      </c>
      <c r="B48" s="111">
        <v>4</v>
      </c>
      <c r="C48" s="111">
        <v>25</v>
      </c>
    </row>
    <row r="49" spans="1:3">
      <c r="A49" s="20" t="s">
        <v>62</v>
      </c>
      <c r="B49" s="111">
        <v>5</v>
      </c>
      <c r="C49" s="111">
        <v>20</v>
      </c>
    </row>
    <row r="50" spans="1:3">
      <c r="A50" s="20" t="s">
        <v>63</v>
      </c>
      <c r="B50" s="111">
        <v>12</v>
      </c>
      <c r="C50" s="111">
        <v>8</v>
      </c>
    </row>
    <row r="51" spans="1:3">
      <c r="A51" s="20" t="s">
        <v>64</v>
      </c>
      <c r="B51" s="111">
        <v>40</v>
      </c>
      <c r="C51" s="111">
        <v>6.8</v>
      </c>
    </row>
    <row r="52" spans="1:3">
      <c r="A52" s="20" t="s">
        <v>65</v>
      </c>
      <c r="B52" s="111">
        <v>100</v>
      </c>
      <c r="C52" s="111">
        <v>3.5</v>
      </c>
    </row>
    <row r="53" spans="1:3">
      <c r="A53" s="210" t="s">
        <v>79</v>
      </c>
      <c r="B53" s="211"/>
      <c r="C53" s="211"/>
    </row>
    <row r="54" spans="1:3">
      <c r="A54" s="364"/>
      <c r="B54" s="364"/>
      <c r="C54" s="364"/>
    </row>
    <row r="55" spans="1:3">
      <c r="A55" s="434" t="s">
        <v>290</v>
      </c>
      <c r="B55" s="434"/>
    </row>
    <row r="56" spans="1:3">
      <c r="A56" s="435" t="s">
        <v>296</v>
      </c>
      <c r="B56" s="436"/>
    </row>
    <row r="57" spans="1:3">
      <c r="A57" s="275" t="s">
        <v>125</v>
      </c>
      <c r="B57" s="276" t="s">
        <v>126</v>
      </c>
    </row>
    <row r="58" spans="1:3">
      <c r="A58" s="278" t="s">
        <v>128</v>
      </c>
      <c r="B58" s="408">
        <v>0.5</v>
      </c>
    </row>
    <row r="59" spans="1:3">
      <c r="A59" s="278" t="s">
        <v>129</v>
      </c>
      <c r="B59" s="120">
        <v>0.5</v>
      </c>
    </row>
    <row r="60" spans="1:3">
      <c r="A60" s="123" t="s">
        <v>79</v>
      </c>
      <c r="B60" s="279">
        <f>SUM(B58:B59)</f>
        <v>1</v>
      </c>
    </row>
    <row r="61" spans="1:3">
      <c r="A61" s="121"/>
      <c r="B61" s="287"/>
    </row>
  </sheetData>
  <mergeCells count="18">
    <mergeCell ref="B3:B4"/>
    <mergeCell ref="A3:A4"/>
    <mergeCell ref="A5:A6"/>
    <mergeCell ref="B5:B6"/>
    <mergeCell ref="A55:B55"/>
    <mergeCell ref="A56:B56"/>
    <mergeCell ref="A1:E1"/>
    <mergeCell ref="A36:D36"/>
    <mergeCell ref="A37:D37"/>
    <mergeCell ref="A41:D41"/>
    <mergeCell ref="A45:C45"/>
    <mergeCell ref="A7:I7"/>
    <mergeCell ref="A9:A10"/>
    <mergeCell ref="A11:A13"/>
    <mergeCell ref="A15:A22"/>
    <mergeCell ref="E15:E22"/>
    <mergeCell ref="A23:A30"/>
    <mergeCell ref="E23:E3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89BB-F902-4D0D-902E-AEBD4E3788A3}">
  <dimension ref="A1:AP92"/>
  <sheetViews>
    <sheetView showGridLines="0" topLeftCell="A17" zoomScale="85" zoomScaleNormal="85" workbookViewId="0">
      <selection activeCell="C31" sqref="C31"/>
    </sheetView>
  </sheetViews>
  <sheetFormatPr defaultColWidth="9.140625" defaultRowHeight="12.75"/>
  <cols>
    <col min="1" max="1" width="34.85546875" style="366" bestFit="1" customWidth="1"/>
    <col min="2" max="2" width="70" style="366" customWidth="1"/>
    <col min="3" max="3" width="40.7109375" style="366" customWidth="1"/>
    <col min="4" max="4" width="25" style="366" bestFit="1" customWidth="1"/>
    <col min="5" max="5" width="20" style="366" bestFit="1" customWidth="1"/>
    <col min="6" max="6" width="25.7109375" style="366" customWidth="1"/>
    <col min="7" max="7" width="11.140625" style="366" bestFit="1" customWidth="1"/>
    <col min="8" max="8" width="26.5703125" style="366" bestFit="1" customWidth="1"/>
    <col min="9" max="9" width="20.5703125" style="366" customWidth="1"/>
    <col min="10" max="10" width="30.7109375" style="367" bestFit="1" customWidth="1"/>
    <col min="11" max="16384" width="9.140625" style="367"/>
  </cols>
  <sheetData>
    <row r="1" spans="1:41">
      <c r="A1" s="437" t="s">
        <v>259</v>
      </c>
      <c r="B1" s="437"/>
      <c r="C1" s="437"/>
      <c r="D1" s="437"/>
      <c r="E1" s="437"/>
      <c r="F1" s="367"/>
      <c r="G1" s="367"/>
      <c r="H1" s="367"/>
      <c r="I1" s="367"/>
    </row>
    <row r="2" spans="1:41" ht="38.25" customHeight="1">
      <c r="A2" s="281" t="s">
        <v>268</v>
      </c>
      <c r="B2" s="178" t="s">
        <v>266</v>
      </c>
      <c r="C2" s="178" t="s">
        <v>260</v>
      </c>
      <c r="D2" s="178" t="s">
        <v>269</v>
      </c>
      <c r="E2" s="282" t="s">
        <v>77</v>
      </c>
      <c r="F2" s="367"/>
      <c r="G2" s="367"/>
      <c r="H2" s="367"/>
      <c r="I2" s="367"/>
    </row>
    <row r="3" spans="1:41" ht="38.25" customHeight="1">
      <c r="A3" s="430" t="s">
        <v>195</v>
      </c>
      <c r="B3" s="432">
        <v>100000</v>
      </c>
      <c r="C3" s="299" t="s">
        <v>197</v>
      </c>
      <c r="D3" s="299">
        <f>Norms!$D$3*100000</f>
        <v>28749.999999999996</v>
      </c>
      <c r="E3" s="283" t="s">
        <v>78</v>
      </c>
      <c r="F3" s="367"/>
      <c r="G3" s="367"/>
      <c r="H3" s="367"/>
      <c r="I3" s="367"/>
    </row>
    <row r="4" spans="1:41" ht="38.25" customHeight="1">
      <c r="A4" s="430"/>
      <c r="B4" s="432"/>
      <c r="C4" s="299" t="s">
        <v>267</v>
      </c>
      <c r="D4" s="299">
        <f>Norms!$D$4*100000</f>
        <v>27.999999999999996</v>
      </c>
      <c r="E4" s="283" t="s">
        <v>261</v>
      </c>
      <c r="F4" s="367"/>
      <c r="G4" s="367"/>
      <c r="H4" s="367"/>
      <c r="I4" s="367"/>
    </row>
    <row r="5" spans="1:41" ht="38.25" customHeight="1">
      <c r="A5" s="430" t="s">
        <v>239</v>
      </c>
      <c r="B5" s="432">
        <v>100000</v>
      </c>
      <c r="C5" s="299" t="s">
        <v>249</v>
      </c>
      <c r="D5" s="299">
        <f>Norms!$D$5*100000</f>
        <v>74700</v>
      </c>
      <c r="E5" s="283" t="s">
        <v>78</v>
      </c>
      <c r="F5" s="367"/>
      <c r="G5" s="367"/>
      <c r="H5" s="367"/>
      <c r="I5" s="367"/>
    </row>
    <row r="6" spans="1:41" ht="38.25" customHeight="1">
      <c r="A6" s="431"/>
      <c r="B6" s="433"/>
      <c r="C6" s="301" t="s">
        <v>197</v>
      </c>
      <c r="D6" s="301">
        <f>Norms!$D$6*100000</f>
        <v>21300</v>
      </c>
      <c r="E6" s="284" t="s">
        <v>78</v>
      </c>
      <c r="F6" s="367"/>
      <c r="G6" s="367"/>
      <c r="H6" s="367"/>
      <c r="I6" s="367"/>
    </row>
    <row r="7" spans="1:41">
      <c r="A7" s="442" t="s">
        <v>291</v>
      </c>
      <c r="B7" s="442"/>
      <c r="C7" s="442"/>
      <c r="D7" s="367"/>
      <c r="E7" s="367"/>
      <c r="F7" s="367"/>
      <c r="G7" s="367"/>
      <c r="H7" s="367"/>
      <c r="I7" s="367"/>
    </row>
    <row r="8" spans="1:41" s="369" customFormat="1">
      <c r="A8" s="312" t="s">
        <v>139</v>
      </c>
      <c r="B8" s="313" t="s">
        <v>1</v>
      </c>
      <c r="C8" s="402" t="s">
        <v>286</v>
      </c>
      <c r="D8" s="367"/>
      <c r="E8" s="367"/>
      <c r="F8" s="367"/>
      <c r="G8" s="367"/>
      <c r="H8" s="367"/>
      <c r="I8" s="367"/>
      <c r="J8" s="367"/>
      <c r="K8" s="368"/>
      <c r="L8" s="368"/>
      <c r="M8" s="368"/>
      <c r="N8" s="368"/>
      <c r="O8" s="368"/>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row>
    <row r="9" spans="1:41" s="369" customFormat="1" ht="12.75" hidden="1" customHeight="1">
      <c r="A9" s="444" t="s">
        <v>142</v>
      </c>
      <c r="B9" s="31" t="s">
        <v>0</v>
      </c>
      <c r="C9" s="318" t="e">
        <v>#DIV/0!</v>
      </c>
      <c r="D9" s="367"/>
      <c r="E9" s="367"/>
      <c r="F9" s="367"/>
      <c r="G9" s="367"/>
      <c r="H9" s="367"/>
      <c r="I9" s="367"/>
      <c r="J9" s="367"/>
      <c r="K9" s="368"/>
      <c r="L9" s="368"/>
      <c r="M9" s="368"/>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row>
    <row r="10" spans="1:41" s="369" customFormat="1" ht="12.75" hidden="1" customHeight="1">
      <c r="A10" s="430"/>
      <c r="B10" s="320" t="s">
        <v>196</v>
      </c>
      <c r="C10" s="318" t="e">
        <v>#DIV/0!</v>
      </c>
      <c r="D10" s="367"/>
      <c r="E10" s="367"/>
      <c r="F10" s="367"/>
      <c r="G10" s="367"/>
      <c r="H10" s="367"/>
      <c r="I10" s="367"/>
      <c r="J10" s="367"/>
      <c r="K10" s="368"/>
      <c r="L10" s="368"/>
      <c r="M10" s="368"/>
      <c r="N10" s="368"/>
      <c r="O10" s="368"/>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row>
    <row r="11" spans="1:41" s="369" customFormat="1">
      <c r="A11" s="444" t="s">
        <v>146</v>
      </c>
      <c r="B11" s="324" t="s">
        <v>312</v>
      </c>
      <c r="C11" s="318">
        <f>AVERAGE(Norms!$G11:$J11)</f>
        <v>26536.75</v>
      </c>
      <c r="D11" s="367"/>
      <c r="E11" s="367"/>
      <c r="F11" s="367"/>
      <c r="G11" s="367"/>
      <c r="H11" s="367"/>
      <c r="I11" s="367"/>
      <c r="J11" s="367"/>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row>
    <row r="12" spans="1:41" s="369" customFormat="1">
      <c r="A12" s="430"/>
      <c r="B12" s="327" t="s">
        <v>313</v>
      </c>
      <c r="C12" s="329">
        <f>AVERAGE(Norms!$G12:$J12)</f>
        <v>10964.094722381518</v>
      </c>
      <c r="D12" s="367"/>
      <c r="E12" s="367"/>
      <c r="F12" s="367"/>
      <c r="G12" s="367"/>
      <c r="H12" s="367"/>
      <c r="I12" s="367"/>
      <c r="J12" s="367"/>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row>
    <row r="13" spans="1:41" s="369" customFormat="1">
      <c r="A13" s="431"/>
      <c r="B13" s="331" t="s">
        <v>312</v>
      </c>
      <c r="C13" s="333">
        <f>AVERAGE(Norms!$G13:$J13)</f>
        <v>29242.25</v>
      </c>
      <c r="D13" s="367"/>
      <c r="E13" s="367"/>
      <c r="F13" s="367"/>
      <c r="G13" s="367"/>
      <c r="H13" s="367"/>
      <c r="I13" s="367"/>
      <c r="J13" s="367"/>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row>
    <row r="14" spans="1:41" s="369" customFormat="1">
      <c r="A14" s="403" t="s">
        <v>198</v>
      </c>
      <c r="B14" s="324" t="s">
        <v>314</v>
      </c>
      <c r="C14" s="404">
        <f>AVERAGE(Norms!$G14:$J14)</f>
        <v>100000</v>
      </c>
      <c r="D14" s="367"/>
      <c r="E14" s="367"/>
      <c r="F14" s="367"/>
      <c r="G14" s="367"/>
      <c r="H14" s="367"/>
      <c r="I14" s="367"/>
      <c r="J14" s="367"/>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row>
    <row r="15" spans="1:41" s="369" customFormat="1" ht="15" customHeight="1">
      <c r="A15" s="445" t="s">
        <v>202</v>
      </c>
      <c r="B15" s="337" t="s">
        <v>74</v>
      </c>
      <c r="C15" s="318">
        <f>AVERAGE(Norms!$G15:$J15)</f>
        <v>1389.006875</v>
      </c>
      <c r="D15" s="367"/>
      <c r="E15" s="367"/>
      <c r="F15" s="367"/>
      <c r="G15" s="367"/>
      <c r="H15" s="367"/>
      <c r="I15" s="367"/>
      <c r="J15" s="367"/>
    </row>
    <row r="16" spans="1:41" s="369" customFormat="1">
      <c r="A16" s="446"/>
      <c r="B16" s="342" t="s">
        <v>72</v>
      </c>
      <c r="C16" s="329">
        <f>AVERAGE(Norms!$G16:$J16)</f>
        <v>3880446.5749999997</v>
      </c>
      <c r="D16" s="367"/>
      <c r="E16" s="367"/>
      <c r="F16" s="367"/>
      <c r="G16" s="367"/>
      <c r="H16" s="367"/>
      <c r="I16" s="367"/>
      <c r="J16" s="367"/>
    </row>
    <row r="17" spans="1:42" s="369" customFormat="1">
      <c r="A17" s="446"/>
      <c r="B17" s="342"/>
      <c r="C17" s="329"/>
      <c r="D17" s="367"/>
      <c r="E17" s="367"/>
      <c r="F17" s="367"/>
      <c r="G17" s="367"/>
      <c r="H17" s="367"/>
      <c r="I17" s="367"/>
      <c r="J17" s="367"/>
    </row>
    <row r="18" spans="1:42" s="369" customFormat="1" ht="24.75" customHeight="1">
      <c r="A18" s="446"/>
      <c r="B18" s="342" t="s">
        <v>71</v>
      </c>
      <c r="C18" s="329">
        <f>AVERAGE(Norms!$G18:$J18)</f>
        <v>243.88036499999998</v>
      </c>
      <c r="D18" s="367"/>
      <c r="E18" s="367"/>
      <c r="F18" s="367"/>
      <c r="G18" s="367"/>
      <c r="H18" s="367"/>
      <c r="I18" s="367"/>
      <c r="J18" s="367"/>
    </row>
    <row r="19" spans="1:42" s="369" customFormat="1">
      <c r="A19" s="446"/>
      <c r="B19" s="342"/>
      <c r="C19" s="329"/>
      <c r="D19" s="367"/>
      <c r="E19" s="367"/>
      <c r="F19" s="367"/>
      <c r="G19" s="367"/>
      <c r="H19" s="367"/>
      <c r="I19" s="367"/>
      <c r="J19" s="367"/>
    </row>
    <row r="20" spans="1:42" s="369" customFormat="1" ht="12" customHeight="1">
      <c r="A20" s="446"/>
      <c r="B20" s="342"/>
      <c r="C20" s="329"/>
      <c r="D20" s="367"/>
      <c r="E20" s="367"/>
      <c r="F20" s="367"/>
      <c r="G20" s="367"/>
      <c r="H20" s="367"/>
      <c r="I20" s="367"/>
      <c r="J20" s="367"/>
    </row>
    <row r="21" spans="1:42" s="369" customFormat="1">
      <c r="A21" s="446"/>
      <c r="B21" s="350" t="s">
        <v>154</v>
      </c>
      <c r="C21" s="329">
        <f>AVERAGE(Norms!$G21:$J21)</f>
        <v>31289.207500000004</v>
      </c>
      <c r="D21" s="367"/>
      <c r="E21" s="367"/>
      <c r="F21" s="367"/>
      <c r="G21" s="367"/>
      <c r="H21" s="367"/>
      <c r="I21" s="367"/>
      <c r="J21" s="367"/>
    </row>
    <row r="22" spans="1:42" s="369" customFormat="1">
      <c r="A22" s="449"/>
      <c r="B22" s="351" t="s">
        <v>156</v>
      </c>
      <c r="C22" s="333">
        <f>AVERAGE(Norms!$G22:$J22)</f>
        <v>38460342.738151923</v>
      </c>
      <c r="D22" s="367"/>
      <c r="E22" s="367"/>
      <c r="F22" s="367"/>
      <c r="G22" s="367"/>
      <c r="H22" s="367"/>
      <c r="I22" s="367"/>
      <c r="J22" s="367"/>
    </row>
    <row r="23" spans="1:42" s="369" customFormat="1">
      <c r="A23" s="445" t="s">
        <v>300</v>
      </c>
      <c r="B23" s="337" t="s">
        <v>74</v>
      </c>
      <c r="C23" s="318">
        <f>AVERAGE(Norms!$G23:$J23)</f>
        <v>288.37556015237988</v>
      </c>
      <c r="D23" s="367"/>
      <c r="E23" s="367"/>
      <c r="F23" s="367"/>
      <c r="G23" s="367"/>
      <c r="H23" s="367"/>
      <c r="I23" s="367"/>
      <c r="J23" s="367"/>
    </row>
    <row r="24" spans="1:42" s="369" customFormat="1">
      <c r="A24" s="446"/>
      <c r="B24" s="342" t="s">
        <v>72</v>
      </c>
      <c r="C24" s="329">
        <f>AVERAGE(Norms!$G24:$J24)</f>
        <v>216281.67011428491</v>
      </c>
      <c r="D24" s="367"/>
      <c r="E24" s="367"/>
      <c r="F24" s="367"/>
      <c r="G24" s="367"/>
      <c r="H24" s="367"/>
      <c r="I24" s="367"/>
      <c r="J24" s="367"/>
    </row>
    <row r="25" spans="1:42" s="369" customFormat="1">
      <c r="A25" s="446"/>
      <c r="B25" s="342"/>
      <c r="C25" s="329"/>
      <c r="D25" s="367"/>
      <c r="E25" s="367"/>
      <c r="F25" s="367"/>
      <c r="G25" s="367"/>
      <c r="H25" s="367"/>
      <c r="I25" s="367"/>
      <c r="J25" s="367"/>
    </row>
    <row r="26" spans="1:42" s="369" customFormat="1">
      <c r="A26" s="446"/>
      <c r="B26" s="342" t="s">
        <v>71</v>
      </c>
      <c r="C26" s="329">
        <f>AVERAGE(Norms!$G26:$J26)</f>
        <v>86.51266804571398</v>
      </c>
      <c r="D26" s="367"/>
      <c r="E26" s="367"/>
      <c r="F26" s="367"/>
      <c r="G26" s="367"/>
      <c r="H26" s="367"/>
      <c r="I26" s="367"/>
      <c r="J26" s="367"/>
    </row>
    <row r="27" spans="1:42" s="369" customFormat="1">
      <c r="A27" s="446"/>
      <c r="B27" s="342" t="s">
        <v>320</v>
      </c>
      <c r="C27" s="329">
        <f>AVERAGE(Norms!$G27:$J27)</f>
        <v>4094.932954163794</v>
      </c>
      <c r="D27" s="367"/>
      <c r="E27" s="367"/>
      <c r="F27" s="367"/>
      <c r="G27" s="367"/>
      <c r="H27" s="367"/>
      <c r="I27" s="367"/>
      <c r="J27" s="367"/>
    </row>
    <row r="28" spans="1:42" s="369" customFormat="1">
      <c r="A28" s="446"/>
      <c r="B28" s="342"/>
      <c r="C28" s="329"/>
      <c r="D28" s="367"/>
      <c r="E28" s="367"/>
      <c r="F28" s="367"/>
      <c r="G28" s="367"/>
      <c r="H28" s="367"/>
      <c r="I28" s="367"/>
      <c r="J28" s="367"/>
    </row>
    <row r="29" spans="1:42">
      <c r="A29" s="446"/>
      <c r="B29" s="350"/>
      <c r="C29" s="329"/>
      <c r="D29" s="367"/>
      <c r="E29" s="367"/>
      <c r="F29" s="367"/>
      <c r="G29" s="367"/>
      <c r="H29" s="367"/>
      <c r="I29" s="367"/>
    </row>
    <row r="30" spans="1:42" s="369" customFormat="1">
      <c r="A30" s="449"/>
      <c r="B30" s="356" t="s">
        <v>156</v>
      </c>
      <c r="C30" s="333">
        <f>AVERAGE(Norms!$G30:$J30)</f>
        <v>1564080.9160684096</v>
      </c>
      <c r="D30" s="367"/>
      <c r="E30" s="367"/>
      <c r="F30" s="367"/>
      <c r="G30" s="367"/>
      <c r="H30" s="367"/>
      <c r="I30" s="367"/>
      <c r="J30" s="367"/>
    </row>
    <row r="31" spans="1:42" s="369" customFormat="1" ht="32.25" customHeight="1">
      <c r="A31" s="305" t="s">
        <v>157</v>
      </c>
      <c r="B31" s="320" t="s">
        <v>310</v>
      </c>
      <c r="C31" s="421">
        <f>AVERAGE(Norms!$G31:$J31)</f>
        <v>18860000</v>
      </c>
      <c r="D31" s="367"/>
      <c r="E31" s="367"/>
      <c r="F31" s="367"/>
      <c r="G31" s="367"/>
      <c r="H31" s="367"/>
      <c r="I31" s="367"/>
      <c r="J31" s="367"/>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70"/>
    </row>
    <row r="32" spans="1:42" s="369" customFormat="1" ht="24" customHeight="1">
      <c r="A32" s="305" t="s">
        <v>19</v>
      </c>
      <c r="B32" s="361" t="s">
        <v>309</v>
      </c>
      <c r="C32" s="421">
        <f>AVERAGE(Norms!$G32:$J32)</f>
        <v>564200000</v>
      </c>
      <c r="D32" s="367"/>
      <c r="E32" s="367"/>
      <c r="F32" s="367"/>
      <c r="G32" s="367"/>
      <c r="H32" s="367"/>
      <c r="I32" s="367"/>
      <c r="J32" s="367"/>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row>
    <row r="33" spans="1:41" s="372" customFormat="1" ht="27" customHeight="1">
      <c r="A33" s="305" t="s">
        <v>93</v>
      </c>
      <c r="B33" s="361" t="s">
        <v>309</v>
      </c>
      <c r="C33" s="421">
        <f>AVERAGE(Norms!$G33:$J33)</f>
        <v>221967608.67077586</v>
      </c>
      <c r="D33" s="367"/>
      <c r="E33" s="366"/>
      <c r="F33" s="366"/>
      <c r="G33" s="367"/>
      <c r="H33" s="367"/>
      <c r="I33" s="367"/>
      <c r="J33" s="367"/>
      <c r="K33" s="371"/>
      <c r="L33" s="371"/>
      <c r="M33" s="371"/>
      <c r="N33" s="371"/>
      <c r="O33" s="371"/>
      <c r="P33" s="371"/>
      <c r="Q33" s="371"/>
      <c r="R33" s="371"/>
      <c r="S33" s="371"/>
      <c r="T33" s="371"/>
      <c r="U33" s="371"/>
      <c r="V33" s="371"/>
      <c r="W33" s="371"/>
      <c r="X33" s="371"/>
      <c r="Y33" s="371"/>
      <c r="Z33" s="371"/>
      <c r="AA33" s="371"/>
      <c r="AB33" s="371"/>
      <c r="AC33" s="371"/>
      <c r="AD33" s="371"/>
      <c r="AE33" s="371"/>
      <c r="AF33" s="371"/>
      <c r="AG33" s="371"/>
      <c r="AH33" s="371"/>
      <c r="AI33" s="371"/>
      <c r="AJ33" s="371"/>
      <c r="AK33" s="371"/>
      <c r="AL33" s="371"/>
      <c r="AM33" s="371"/>
      <c r="AN33" s="371"/>
      <c r="AO33" s="371"/>
    </row>
    <row r="34" spans="1:41" s="369" customFormat="1">
      <c r="A34" s="367"/>
      <c r="B34" s="367"/>
      <c r="C34" s="367"/>
      <c r="D34" s="367"/>
      <c r="E34" s="367"/>
      <c r="F34" s="367"/>
      <c r="G34" s="367"/>
      <c r="H34" s="367"/>
      <c r="I34" s="367"/>
      <c r="J34" s="367"/>
    </row>
    <row r="35" spans="1:41" s="369" customFormat="1">
      <c r="A35" s="367"/>
      <c r="B35" s="367"/>
      <c r="C35" s="367"/>
      <c r="D35" s="367"/>
      <c r="E35" s="367"/>
      <c r="F35" s="367"/>
      <c r="G35" s="367"/>
      <c r="H35" s="367"/>
      <c r="I35" s="367"/>
    </row>
    <row r="36" spans="1:41" s="369" customFormat="1">
      <c r="A36" s="437" t="s">
        <v>292</v>
      </c>
      <c r="B36" s="437"/>
      <c r="C36" s="437"/>
      <c r="D36" s="437"/>
      <c r="E36" s="437"/>
      <c r="F36" s="437"/>
      <c r="G36" s="437"/>
      <c r="H36" s="437"/>
      <c r="I36" s="437"/>
      <c r="K36" s="368"/>
    </row>
    <row r="37" spans="1:41">
      <c r="A37" s="461"/>
      <c r="B37" s="462"/>
      <c r="C37" s="462"/>
      <c r="D37" s="462"/>
      <c r="E37" s="304">
        <v>1</v>
      </c>
      <c r="F37" s="304">
        <v>2</v>
      </c>
      <c r="G37" s="304">
        <v>3</v>
      </c>
      <c r="H37" s="304">
        <v>4</v>
      </c>
      <c r="I37" s="304">
        <v>5</v>
      </c>
      <c r="J37" s="304">
        <v>6</v>
      </c>
      <c r="K37" s="214">
        <v>7</v>
      </c>
      <c r="L37" s="304">
        <v>8</v>
      </c>
      <c r="M37" s="214">
        <v>9</v>
      </c>
      <c r="N37" s="304">
        <v>10</v>
      </c>
      <c r="O37" s="304">
        <v>11</v>
      </c>
      <c r="P37" s="304">
        <v>12</v>
      </c>
      <c r="Q37" s="304">
        <v>13</v>
      </c>
      <c r="R37" s="214">
        <v>14</v>
      </c>
      <c r="S37" s="304">
        <v>15</v>
      </c>
      <c r="T37" s="304">
        <v>16</v>
      </c>
      <c r="U37" s="304">
        <v>17</v>
      </c>
      <c r="V37" s="304">
        <v>18</v>
      </c>
      <c r="W37" s="214">
        <v>19</v>
      </c>
    </row>
    <row r="38" spans="1:41">
      <c r="A38" s="17" t="s">
        <v>26</v>
      </c>
      <c r="B38" s="299"/>
      <c r="C38" s="13"/>
      <c r="D38" s="362"/>
      <c r="E38" s="299"/>
      <c r="F38" s="299"/>
      <c r="G38" s="299"/>
      <c r="H38" s="299"/>
      <c r="I38" s="299"/>
      <c r="J38" s="299"/>
      <c r="K38" s="299"/>
      <c r="L38" s="299"/>
      <c r="M38" s="299"/>
      <c r="N38" s="299"/>
      <c r="O38" s="362"/>
      <c r="P38" s="362"/>
      <c r="Q38" s="362"/>
      <c r="R38" s="299"/>
      <c r="S38" s="299"/>
      <c r="T38" s="362"/>
      <c r="U38" s="362"/>
      <c r="V38" s="362"/>
      <c r="W38" s="299"/>
    </row>
    <row r="39" spans="1:41">
      <c r="A39" s="150"/>
      <c r="B39" s="13" t="s">
        <v>27</v>
      </c>
      <c r="C39" s="299" t="s">
        <v>28</v>
      </c>
      <c r="D39" s="362"/>
      <c r="E39" s="215">
        <v>30</v>
      </c>
      <c r="F39" s="215">
        <v>30</v>
      </c>
      <c r="G39" s="215">
        <v>30</v>
      </c>
      <c r="H39" s="215">
        <v>30</v>
      </c>
      <c r="I39" s="215">
        <v>30</v>
      </c>
      <c r="J39" s="215">
        <v>30</v>
      </c>
      <c r="K39" s="215">
        <v>30</v>
      </c>
      <c r="L39" s="215">
        <v>30</v>
      </c>
      <c r="M39" s="215">
        <v>30</v>
      </c>
      <c r="N39" s="215">
        <v>30</v>
      </c>
      <c r="O39" s="215">
        <v>30</v>
      </c>
      <c r="P39" s="215">
        <v>30</v>
      </c>
      <c r="Q39" s="215">
        <v>30</v>
      </c>
      <c r="R39" s="215">
        <v>30</v>
      </c>
      <c r="S39" s="215">
        <v>30</v>
      </c>
      <c r="T39" s="215">
        <v>30</v>
      </c>
      <c r="U39" s="215">
        <v>30</v>
      </c>
      <c r="V39" s="215">
        <v>30</v>
      </c>
      <c r="W39" s="215">
        <v>30</v>
      </c>
    </row>
    <row r="40" spans="1:41">
      <c r="A40" s="150"/>
      <c r="B40" s="13" t="s">
        <v>29</v>
      </c>
      <c r="C40" s="299"/>
      <c r="D40" s="362"/>
      <c r="E40" s="14">
        <f>'Cashflow '!G10</f>
        <v>223.32970879999999</v>
      </c>
      <c r="F40" s="14">
        <f>'Cashflow '!H10</f>
        <v>280.05545483519995</v>
      </c>
      <c r="G40" s="14">
        <f>'Cashflow '!I10</f>
        <v>341.43427535324798</v>
      </c>
      <c r="H40" s="14">
        <f>'Cashflow '!J10</f>
        <v>407.77007742187885</v>
      </c>
      <c r="I40" s="14">
        <f>'Cashflow '!K10</f>
        <v>426.11973090586343</v>
      </c>
      <c r="J40" s="14">
        <f>'Cashflow '!L10</f>
        <v>445.29511879662715</v>
      </c>
      <c r="K40" s="14">
        <f>'Cashflow '!M10</f>
        <v>465.3333991424754</v>
      </c>
      <c r="L40" s="14">
        <f>'Cashflow '!N10</f>
        <v>486.27340210388661</v>
      </c>
      <c r="M40" s="14">
        <f>'Cashflow '!O10</f>
        <v>508.15570519856152</v>
      </c>
      <c r="N40" s="14">
        <f>'Cashflow '!P10</f>
        <v>531.02271193249669</v>
      </c>
      <c r="O40" s="14">
        <f>'Cashflow '!Q10</f>
        <v>554.91873396945903</v>
      </c>
      <c r="P40" s="14">
        <f>'Cashflow '!R10</f>
        <v>579.89007699808462</v>
      </c>
      <c r="Q40" s="14">
        <f>'Cashflow '!S10</f>
        <v>605.98513046299831</v>
      </c>
      <c r="R40" s="14">
        <f>'Cashflow '!T10</f>
        <v>633.25446133383321</v>
      </c>
      <c r="S40" s="14">
        <f>'Cashflow '!U10</f>
        <v>661.75091209385573</v>
      </c>
      <c r="T40" s="14">
        <f>'Cashflow '!V10</f>
        <v>691.52970313807896</v>
      </c>
      <c r="U40" s="14">
        <f>'Cashflow '!W10</f>
        <v>722.64853977929261</v>
      </c>
      <c r="V40" s="14">
        <f>'Cashflow '!X10</f>
        <v>755.16772406936047</v>
      </c>
      <c r="W40" s="14">
        <f>'Cashflow '!Y10</f>
        <v>789.15027165248171</v>
      </c>
    </row>
    <row r="41" spans="1:41">
      <c r="A41" s="150"/>
      <c r="B41" s="13" t="s">
        <v>30</v>
      </c>
      <c r="C41" s="299"/>
      <c r="D41" s="362"/>
      <c r="E41" s="14">
        <f>+E40/365*E39</f>
        <v>18.355866476712325</v>
      </c>
      <c r="F41" s="14">
        <f t="shared" ref="F41:W41" si="0">+F40/365*F39</f>
        <v>23.018256561797259</v>
      </c>
      <c r="G41" s="14">
        <f t="shared" si="0"/>
        <v>28.063091124924494</v>
      </c>
      <c r="H41" s="14">
        <f t="shared" si="0"/>
        <v>33.515348829195524</v>
      </c>
      <c r="I41" s="14">
        <f t="shared" si="0"/>
        <v>35.023539526509325</v>
      </c>
      <c r="J41" s="14">
        <f t="shared" si="0"/>
        <v>36.599598805202227</v>
      </c>
      <c r="K41" s="14">
        <f t="shared" si="0"/>
        <v>38.246580751436333</v>
      </c>
      <c r="L41" s="14">
        <f t="shared" si="0"/>
        <v>39.967676885250953</v>
      </c>
      <c r="M41" s="14">
        <f t="shared" si="0"/>
        <v>41.766222345087243</v>
      </c>
      <c r="N41" s="14">
        <f t="shared" si="0"/>
        <v>43.645702350616169</v>
      </c>
      <c r="O41" s="14">
        <f t="shared" si="0"/>
        <v>45.60975895639389</v>
      </c>
      <c r="P41" s="14">
        <f t="shared" si="0"/>
        <v>47.662198109431614</v>
      </c>
      <c r="Q41" s="14">
        <f t="shared" si="0"/>
        <v>49.806997024356022</v>
      </c>
      <c r="R41" s="14">
        <f t="shared" si="0"/>
        <v>52.048311890452041</v>
      </c>
      <c r="S41" s="14">
        <f t="shared" si="0"/>
        <v>54.390485925522391</v>
      </c>
      <c r="T41" s="14">
        <f t="shared" si="0"/>
        <v>56.838057792170872</v>
      </c>
      <c r="U41" s="14">
        <f t="shared" si="0"/>
        <v>59.395770392818569</v>
      </c>
      <c r="V41" s="14">
        <f t="shared" si="0"/>
        <v>62.068580060495378</v>
      </c>
      <c r="W41" s="14">
        <f t="shared" si="0"/>
        <v>64.861666163217677</v>
      </c>
    </row>
    <row r="42" spans="1:41">
      <c r="A42" s="150"/>
      <c r="B42" s="299"/>
      <c r="C42" s="299"/>
      <c r="D42" s="362"/>
      <c r="E42" s="299"/>
      <c r="F42" s="299"/>
      <c r="G42" s="299"/>
      <c r="H42" s="299"/>
      <c r="I42" s="299"/>
      <c r="J42" s="299"/>
      <c r="K42" s="299"/>
      <c r="L42" s="299"/>
      <c r="M42" s="299"/>
      <c r="N42" s="299"/>
      <c r="O42" s="299"/>
      <c r="P42" s="299"/>
      <c r="Q42" s="299"/>
      <c r="R42" s="299"/>
      <c r="S42" s="299"/>
      <c r="T42" s="299"/>
      <c r="U42" s="299"/>
      <c r="V42" s="299"/>
      <c r="W42" s="299"/>
    </row>
    <row r="43" spans="1:41">
      <c r="A43" s="17" t="s">
        <v>31</v>
      </c>
      <c r="B43" s="299"/>
      <c r="C43" s="13"/>
      <c r="D43" s="362"/>
      <c r="E43" s="299"/>
      <c r="F43" s="299"/>
      <c r="G43" s="299"/>
      <c r="H43" s="299"/>
      <c r="I43" s="299"/>
      <c r="J43" s="299"/>
      <c r="K43" s="299"/>
      <c r="L43" s="299"/>
      <c r="M43" s="299"/>
      <c r="N43" s="299"/>
      <c r="O43" s="299"/>
      <c r="P43" s="299"/>
      <c r="Q43" s="299"/>
      <c r="R43" s="299"/>
      <c r="S43" s="299"/>
      <c r="T43" s="299"/>
      <c r="U43" s="299"/>
      <c r="V43" s="299"/>
      <c r="W43" s="299"/>
    </row>
    <row r="44" spans="1:41">
      <c r="A44" s="150"/>
      <c r="B44" s="13" t="s">
        <v>32</v>
      </c>
      <c r="C44" s="299" t="s">
        <v>28</v>
      </c>
      <c r="D44" s="362"/>
      <c r="E44" s="215">
        <v>20</v>
      </c>
      <c r="F44" s="215">
        <v>20</v>
      </c>
      <c r="G44" s="215">
        <v>20</v>
      </c>
      <c r="H44" s="215">
        <v>20</v>
      </c>
      <c r="I44" s="215">
        <v>20</v>
      </c>
      <c r="J44" s="215">
        <v>20</v>
      </c>
      <c r="K44" s="215">
        <v>20</v>
      </c>
      <c r="L44" s="215">
        <v>20</v>
      </c>
      <c r="M44" s="215">
        <v>20</v>
      </c>
      <c r="N44" s="215">
        <v>20</v>
      </c>
      <c r="O44" s="215">
        <v>20</v>
      </c>
      <c r="P44" s="215">
        <v>20</v>
      </c>
      <c r="Q44" s="215">
        <v>20</v>
      </c>
      <c r="R44" s="215">
        <v>20</v>
      </c>
      <c r="S44" s="215">
        <v>20</v>
      </c>
      <c r="T44" s="215">
        <v>20</v>
      </c>
      <c r="U44" s="215">
        <v>20</v>
      </c>
      <c r="V44" s="215">
        <v>20</v>
      </c>
      <c r="W44" s="215">
        <v>20</v>
      </c>
    </row>
    <row r="45" spans="1:41">
      <c r="A45" s="150"/>
      <c r="B45" s="13" t="s">
        <v>33</v>
      </c>
      <c r="C45" s="299"/>
      <c r="D45" s="362"/>
      <c r="E45" s="14">
        <f>'Cashflow '!G21</f>
        <v>157.17783447255027</v>
      </c>
      <c r="F45" s="14">
        <f>'Cashflow '!H21</f>
        <v>191.51120771929908</v>
      </c>
      <c r="G45" s="14">
        <f>'Cashflow '!I21</f>
        <v>229.63482884772179</v>
      </c>
      <c r="H45" s="14">
        <f>'Cashflow '!J21</f>
        <v>271.55240619210247</v>
      </c>
      <c r="I45" s="14">
        <f>'Cashflow '!K21</f>
        <v>286.67680995954493</v>
      </c>
      <c r="J45" s="14">
        <f>'Cashflow '!L21</f>
        <v>302.97496475725706</v>
      </c>
      <c r="K45" s="14">
        <f>'Cashflow '!M21</f>
        <v>320.1271170232273</v>
      </c>
      <c r="L45" s="14">
        <f>'Cashflow '!N21</f>
        <v>338.37038854215859</v>
      </c>
      <c r="M45" s="14">
        <f>'Cashflow '!O21</f>
        <v>358.10934359374994</v>
      </c>
      <c r="N45" s="14">
        <f>'Cashflow '!P21</f>
        <v>377.55334095944335</v>
      </c>
      <c r="O45" s="14">
        <f>'Cashflow '!Q21</f>
        <v>398.32595363637705</v>
      </c>
      <c r="P45" s="14">
        <f>'Cashflow '!R21</f>
        <v>420.3539293880122</v>
      </c>
      <c r="Q45" s="14">
        <f>'Cashflow '!S21</f>
        <v>443.23367006190296</v>
      </c>
      <c r="R45" s="14">
        <f>'Cashflow '!T21</f>
        <v>467.28610205197231</v>
      </c>
      <c r="S45" s="14">
        <f>'Cashflow '!U21</f>
        <v>492.60840912379825</v>
      </c>
      <c r="T45" s="14">
        <f>'Cashflow '!V21</f>
        <v>519.88089831679054</v>
      </c>
      <c r="U45" s="14">
        <f>'Cashflow '!W21</f>
        <v>548.81123242471961</v>
      </c>
      <c r="V45" s="14">
        <f>'Cashflow '!X21</f>
        <v>579.70481022057913</v>
      </c>
      <c r="W45" s="14">
        <f>'Cashflow '!Y21</f>
        <v>611.82862143613102</v>
      </c>
    </row>
    <row r="46" spans="1:41">
      <c r="A46" s="150"/>
      <c r="B46" s="13" t="s">
        <v>34</v>
      </c>
      <c r="C46" s="299"/>
      <c r="D46" s="362"/>
      <c r="E46" s="14">
        <f>+E45/365*E44</f>
        <v>8.6124840806876861</v>
      </c>
      <c r="F46" s="14">
        <f t="shared" ref="F46:W46" si="1">+F45/365*F44</f>
        <v>10.493764806536936</v>
      </c>
      <c r="G46" s="14">
        <f t="shared" si="1"/>
        <v>12.582730347820373</v>
      </c>
      <c r="H46" s="14">
        <f t="shared" si="1"/>
        <v>14.879583900937121</v>
      </c>
      <c r="I46" s="14">
        <f t="shared" si="1"/>
        <v>15.708318353947668</v>
      </c>
      <c r="J46" s="14">
        <f t="shared" si="1"/>
        <v>16.601367931904495</v>
      </c>
      <c r="K46" s="14">
        <f t="shared" si="1"/>
        <v>17.541211891683687</v>
      </c>
      <c r="L46" s="14">
        <f t="shared" si="1"/>
        <v>18.540843207789514</v>
      </c>
      <c r="M46" s="14">
        <f t="shared" si="1"/>
        <v>19.6224297859589</v>
      </c>
      <c r="N46" s="14">
        <f t="shared" si="1"/>
        <v>20.687854299147581</v>
      </c>
      <c r="O46" s="14">
        <f t="shared" si="1"/>
        <v>21.82607965130833</v>
      </c>
      <c r="P46" s="14">
        <f t="shared" si="1"/>
        <v>23.033092021260941</v>
      </c>
      <c r="Q46" s="14">
        <f t="shared" si="1"/>
        <v>24.28677644174811</v>
      </c>
      <c r="R46" s="14">
        <f t="shared" si="1"/>
        <v>25.604717920656018</v>
      </c>
      <c r="S46" s="14">
        <f t="shared" si="1"/>
        <v>26.992241595824563</v>
      </c>
      <c r="T46" s="14">
        <f t="shared" si="1"/>
        <v>28.48662456530359</v>
      </c>
      <c r="U46" s="14">
        <f t="shared" si="1"/>
        <v>30.071848352039432</v>
      </c>
      <c r="V46" s="14">
        <f t="shared" si="1"/>
        <v>31.764647135374201</v>
      </c>
      <c r="W46" s="14">
        <f t="shared" si="1"/>
        <v>33.524855969103072</v>
      </c>
    </row>
    <row r="47" spans="1:41">
      <c r="A47" s="150"/>
      <c r="B47" s="299"/>
      <c r="C47" s="299"/>
      <c r="D47" s="362"/>
      <c r="E47" s="299"/>
      <c r="F47" s="299"/>
      <c r="G47" s="299"/>
      <c r="H47" s="299"/>
      <c r="I47" s="299"/>
      <c r="J47" s="299"/>
      <c r="K47" s="299"/>
      <c r="L47" s="299"/>
      <c r="M47" s="299"/>
      <c r="N47" s="299"/>
      <c r="O47" s="362"/>
      <c r="P47" s="362"/>
      <c r="Q47" s="362"/>
      <c r="R47" s="299"/>
      <c r="S47" s="299"/>
      <c r="T47" s="362"/>
      <c r="U47" s="362"/>
      <c r="V47" s="362"/>
      <c r="W47" s="299"/>
    </row>
    <row r="48" spans="1:41">
      <c r="A48" s="17" t="s">
        <v>35</v>
      </c>
      <c r="B48" s="299"/>
      <c r="C48" s="13"/>
      <c r="D48" s="362"/>
      <c r="E48" s="299"/>
      <c r="F48" s="299"/>
      <c r="G48" s="299"/>
      <c r="H48" s="299"/>
      <c r="I48" s="299"/>
      <c r="J48" s="299"/>
      <c r="K48" s="299"/>
      <c r="L48" s="299"/>
      <c r="M48" s="299"/>
      <c r="N48" s="299"/>
      <c r="O48" s="362"/>
      <c r="P48" s="362"/>
      <c r="Q48" s="362"/>
      <c r="R48" s="299"/>
      <c r="S48" s="299"/>
      <c r="T48" s="362"/>
      <c r="U48" s="362"/>
      <c r="V48" s="362"/>
      <c r="W48" s="299"/>
    </row>
    <row r="49" spans="1:23">
      <c r="A49" s="150"/>
      <c r="B49" s="13" t="s">
        <v>36</v>
      </c>
      <c r="C49" s="299" t="s">
        <v>28</v>
      </c>
      <c r="D49" s="362"/>
      <c r="E49" s="215">
        <v>10</v>
      </c>
      <c r="F49" s="215">
        <v>10</v>
      </c>
      <c r="G49" s="215">
        <v>10</v>
      </c>
      <c r="H49" s="215">
        <v>10</v>
      </c>
      <c r="I49" s="215">
        <v>10</v>
      </c>
      <c r="J49" s="215">
        <v>10</v>
      </c>
      <c r="K49" s="215">
        <v>10</v>
      </c>
      <c r="L49" s="215">
        <v>10</v>
      </c>
      <c r="M49" s="215">
        <v>10</v>
      </c>
      <c r="N49" s="215">
        <v>10</v>
      </c>
      <c r="O49" s="215">
        <v>10</v>
      </c>
      <c r="P49" s="215">
        <v>10</v>
      </c>
      <c r="Q49" s="215">
        <v>10</v>
      </c>
      <c r="R49" s="215">
        <v>10</v>
      </c>
      <c r="S49" s="215">
        <v>10</v>
      </c>
      <c r="T49" s="215">
        <v>10</v>
      </c>
      <c r="U49" s="215">
        <v>10</v>
      </c>
      <c r="V49" s="215">
        <v>10</v>
      </c>
      <c r="W49" s="215">
        <v>10</v>
      </c>
    </row>
    <row r="50" spans="1:23">
      <c r="A50" s="150"/>
      <c r="B50" s="13" t="s">
        <v>37</v>
      </c>
      <c r="C50" s="299"/>
      <c r="D50" s="362"/>
      <c r="E50" s="14">
        <f>-E45</f>
        <v>-157.17783447255027</v>
      </c>
      <c r="F50" s="14">
        <f t="shared" ref="F50:W50" si="2">-F45</f>
        <v>-191.51120771929908</v>
      </c>
      <c r="G50" s="14">
        <f t="shared" si="2"/>
        <v>-229.63482884772179</v>
      </c>
      <c r="H50" s="14">
        <f t="shared" si="2"/>
        <v>-271.55240619210247</v>
      </c>
      <c r="I50" s="14">
        <f t="shared" si="2"/>
        <v>-286.67680995954493</v>
      </c>
      <c r="J50" s="14">
        <f t="shared" si="2"/>
        <v>-302.97496475725706</v>
      </c>
      <c r="K50" s="14">
        <f t="shared" si="2"/>
        <v>-320.1271170232273</v>
      </c>
      <c r="L50" s="14">
        <f t="shared" si="2"/>
        <v>-338.37038854215859</v>
      </c>
      <c r="M50" s="14">
        <f>-M45</f>
        <v>-358.10934359374994</v>
      </c>
      <c r="N50" s="14">
        <f t="shared" si="2"/>
        <v>-377.55334095944335</v>
      </c>
      <c r="O50" s="14">
        <f t="shared" si="2"/>
        <v>-398.32595363637705</v>
      </c>
      <c r="P50" s="14">
        <f t="shared" si="2"/>
        <v>-420.3539293880122</v>
      </c>
      <c r="Q50" s="14">
        <f t="shared" si="2"/>
        <v>-443.23367006190296</v>
      </c>
      <c r="R50" s="14">
        <f t="shared" si="2"/>
        <v>-467.28610205197231</v>
      </c>
      <c r="S50" s="14">
        <f t="shared" si="2"/>
        <v>-492.60840912379825</v>
      </c>
      <c r="T50" s="14">
        <f t="shared" si="2"/>
        <v>-519.88089831679054</v>
      </c>
      <c r="U50" s="14">
        <f t="shared" si="2"/>
        <v>-548.81123242471961</v>
      </c>
      <c r="V50" s="14">
        <f t="shared" si="2"/>
        <v>-579.70481022057913</v>
      </c>
      <c r="W50" s="14">
        <f t="shared" si="2"/>
        <v>-611.82862143613102</v>
      </c>
    </row>
    <row r="51" spans="1:23">
      <c r="A51" s="145"/>
      <c r="B51" s="18" t="s">
        <v>37</v>
      </c>
      <c r="C51" s="301"/>
      <c r="D51" s="363"/>
      <c r="E51" s="19">
        <f>+E50/365*E49</f>
        <v>-4.3062420403438431</v>
      </c>
      <c r="F51" s="19">
        <f t="shared" ref="F51:W51" si="3">+F50/365*F49</f>
        <v>-5.2468824032684678</v>
      </c>
      <c r="G51" s="19">
        <f t="shared" si="3"/>
        <v>-6.2913651739101866</v>
      </c>
      <c r="H51" s="19">
        <f t="shared" si="3"/>
        <v>-7.4397919504685603</v>
      </c>
      <c r="I51" s="19">
        <f t="shared" si="3"/>
        <v>-7.8541591769738339</v>
      </c>
      <c r="J51" s="19">
        <f t="shared" si="3"/>
        <v>-8.3006839659522473</v>
      </c>
      <c r="K51" s="19">
        <f t="shared" si="3"/>
        <v>-8.7706059458418437</v>
      </c>
      <c r="L51" s="19">
        <f t="shared" si="3"/>
        <v>-9.2704216038947571</v>
      </c>
      <c r="M51" s="19">
        <f t="shared" si="3"/>
        <v>-9.81121489297945</v>
      </c>
      <c r="N51" s="19">
        <f t="shared" si="3"/>
        <v>-10.343927149573791</v>
      </c>
      <c r="O51" s="19">
        <f t="shared" si="3"/>
        <v>-10.913039825654165</v>
      </c>
      <c r="P51" s="19">
        <f t="shared" si="3"/>
        <v>-11.516546010630471</v>
      </c>
      <c r="Q51" s="19">
        <f t="shared" si="3"/>
        <v>-12.143388220874055</v>
      </c>
      <c r="R51" s="19">
        <f t="shared" si="3"/>
        <v>-12.802358960328009</v>
      </c>
      <c r="S51" s="19">
        <f t="shared" si="3"/>
        <v>-13.496120797912281</v>
      </c>
      <c r="T51" s="19">
        <f t="shared" si="3"/>
        <v>-14.243312282651795</v>
      </c>
      <c r="U51" s="19">
        <f t="shared" si="3"/>
        <v>-15.035924176019716</v>
      </c>
      <c r="V51" s="19">
        <f t="shared" si="3"/>
        <v>-15.8823235676871</v>
      </c>
      <c r="W51" s="19">
        <f t="shared" si="3"/>
        <v>-16.762427984551536</v>
      </c>
    </row>
    <row r="52" spans="1:23">
      <c r="A52" s="301"/>
      <c r="B52" s="18"/>
      <c r="C52" s="301"/>
      <c r="F52" s="373"/>
      <c r="G52" s="373"/>
      <c r="H52" s="373"/>
      <c r="I52" s="373"/>
      <c r="J52" s="373"/>
      <c r="K52" s="373"/>
    </row>
    <row r="53" spans="1:23" ht="22.5" customHeight="1">
      <c r="A53" s="438" t="s">
        <v>293</v>
      </c>
      <c r="B53" s="438"/>
      <c r="C53" s="438"/>
    </row>
    <row r="54" spans="1:23">
      <c r="A54" s="439" t="s">
        <v>279</v>
      </c>
      <c r="B54" s="440"/>
      <c r="C54" s="441"/>
    </row>
    <row r="55" spans="1:23">
      <c r="A55" s="298" t="s">
        <v>69</v>
      </c>
      <c r="B55" s="298" t="s">
        <v>86</v>
      </c>
      <c r="C55" s="298" t="s">
        <v>85</v>
      </c>
    </row>
    <row r="56" spans="1:23">
      <c r="A56" s="23">
        <v>1</v>
      </c>
      <c r="B56" s="117" t="s">
        <v>201</v>
      </c>
      <c r="C56" s="118">
        <f>(Norms!C39*Norms!D39)/10^7</f>
        <v>44.195279999999997</v>
      </c>
    </row>
    <row r="57" spans="1:23">
      <c r="A57" s="217"/>
      <c r="B57" s="303" t="s">
        <v>82</v>
      </c>
      <c r="C57" s="220">
        <f>SUM(C56:C56)</f>
        <v>44.195279999999997</v>
      </c>
    </row>
    <row r="58" spans="1:23">
      <c r="A58" s="439" t="s">
        <v>279</v>
      </c>
      <c r="B58" s="440"/>
      <c r="C58" s="441"/>
    </row>
    <row r="59" spans="1:23">
      <c r="A59" s="298" t="s">
        <v>69</v>
      </c>
      <c r="B59" s="298" t="s">
        <v>86</v>
      </c>
      <c r="C59" s="298" t="s">
        <v>85</v>
      </c>
    </row>
    <row r="60" spans="1:23">
      <c r="A60" s="23">
        <v>1</v>
      </c>
      <c r="B60" s="117" t="s">
        <v>295</v>
      </c>
      <c r="C60" s="118">
        <f>(Norms!C43*Norms!D43)/10^7</f>
        <v>383.23</v>
      </c>
    </row>
    <row r="61" spans="1:23">
      <c r="A61" s="217"/>
      <c r="B61" s="303" t="s">
        <v>82</v>
      </c>
      <c r="C61" s="220">
        <f>SUM(C60:C60)</f>
        <v>383.23</v>
      </c>
    </row>
    <row r="62" spans="1:23" ht="18" customHeight="1">
      <c r="A62" s="286"/>
      <c r="B62" s="286"/>
      <c r="C62" s="286"/>
    </row>
    <row r="63" spans="1:23">
      <c r="A63" s="437" t="s">
        <v>294</v>
      </c>
      <c r="B63" s="437"/>
    </row>
    <row r="64" spans="1:23">
      <c r="A64" s="207" t="s">
        <v>57</v>
      </c>
      <c r="B64" s="209" t="s">
        <v>59</v>
      </c>
    </row>
    <row r="65" spans="1:10">
      <c r="A65" s="20" t="s">
        <v>60</v>
      </c>
      <c r="B65" s="112">
        <f>Norms!B47*Norms!C47</f>
        <v>105</v>
      </c>
    </row>
    <row r="66" spans="1:10">
      <c r="A66" s="20" t="s">
        <v>61</v>
      </c>
      <c r="B66" s="112">
        <f>Norms!B48*Norms!C48</f>
        <v>100</v>
      </c>
    </row>
    <row r="67" spans="1:10">
      <c r="A67" s="20" t="s">
        <v>62</v>
      </c>
      <c r="B67" s="112">
        <f>Norms!B49*Norms!C49</f>
        <v>100</v>
      </c>
    </row>
    <row r="68" spans="1:10">
      <c r="A68" s="20" t="s">
        <v>63</v>
      </c>
      <c r="B68" s="112">
        <f>Norms!B50*Norms!C50</f>
        <v>96</v>
      </c>
    </row>
    <row r="69" spans="1:10">
      <c r="A69" s="20" t="s">
        <v>64</v>
      </c>
      <c r="B69" s="112">
        <f>Norms!B51*Norms!C51</f>
        <v>272</v>
      </c>
    </row>
    <row r="70" spans="1:10">
      <c r="A70" s="20" t="s">
        <v>65</v>
      </c>
      <c r="B70" s="112">
        <f>Norms!B52*Norms!C52</f>
        <v>350</v>
      </c>
    </row>
    <row r="71" spans="1:10">
      <c r="A71" s="210" t="s">
        <v>68</v>
      </c>
      <c r="B71" s="212">
        <f>SUM(B65:B70)/100</f>
        <v>10.23</v>
      </c>
    </row>
    <row r="72" spans="1:10">
      <c r="A72" s="364"/>
      <c r="B72" s="364"/>
    </row>
    <row r="73" spans="1:10">
      <c r="A73" s="457" t="s">
        <v>290</v>
      </c>
      <c r="B73" s="457"/>
    </row>
    <row r="74" spans="1:10">
      <c r="A74" s="435" t="s">
        <v>296</v>
      </c>
      <c r="B74" s="436"/>
    </row>
    <row r="75" spans="1:10">
      <c r="A75" s="275" t="s">
        <v>125</v>
      </c>
      <c r="B75" s="277" t="s">
        <v>127</v>
      </c>
    </row>
    <row r="76" spans="1:10">
      <c r="A76" s="278" t="s">
        <v>128</v>
      </c>
      <c r="B76" s="405">
        <f>$B$78*Norms!B58</f>
        <v>282.27499999999998</v>
      </c>
    </row>
    <row r="77" spans="1:10">
      <c r="A77" s="278" t="s">
        <v>129</v>
      </c>
      <c r="B77" s="405">
        <f>$B$78*Norms!B59</f>
        <v>282.27499999999998</v>
      </c>
    </row>
    <row r="78" spans="1:10">
      <c r="A78" s="123" t="s">
        <v>79</v>
      </c>
      <c r="B78" s="406">
        <f>Capex!D15</f>
        <v>564.54999999999995</v>
      </c>
    </row>
    <row r="79" spans="1:10">
      <c r="A79" s="121"/>
      <c r="B79" s="287"/>
    </row>
    <row r="80" spans="1:10">
      <c r="A80" s="458" t="s">
        <v>290</v>
      </c>
      <c r="B80" s="459"/>
      <c r="C80" s="459"/>
      <c r="D80" s="459"/>
      <c r="E80" s="459"/>
      <c r="F80" s="459"/>
      <c r="G80" s="459"/>
      <c r="H80" s="459"/>
      <c r="I80" s="459"/>
      <c r="J80" s="460"/>
    </row>
    <row r="81" spans="1:10">
      <c r="A81" s="454" t="s">
        <v>297</v>
      </c>
      <c r="B81" s="455"/>
      <c r="C81" s="455"/>
      <c r="D81" s="455"/>
      <c r="E81" s="455"/>
      <c r="F81" s="455"/>
      <c r="G81" s="455"/>
      <c r="H81" s="455"/>
      <c r="I81" s="455"/>
      <c r="J81" s="456"/>
    </row>
    <row r="82" spans="1:10">
      <c r="A82" s="288" t="s">
        <v>130</v>
      </c>
      <c r="B82" s="407">
        <v>0.1</v>
      </c>
      <c r="C82" s="289"/>
      <c r="D82" s="289"/>
      <c r="E82" s="289"/>
      <c r="F82" s="289"/>
      <c r="G82" s="289"/>
      <c r="H82" s="289"/>
      <c r="I82" s="289"/>
      <c r="J82" s="290"/>
    </row>
    <row r="83" spans="1:10">
      <c r="A83" s="278" t="s">
        <v>131</v>
      </c>
      <c r="B83" s="289"/>
      <c r="C83" s="289"/>
      <c r="D83" s="289"/>
      <c r="E83" s="289"/>
      <c r="F83" s="289"/>
      <c r="G83" s="289"/>
      <c r="H83" s="289"/>
      <c r="I83" s="289"/>
      <c r="J83" s="290"/>
    </row>
    <row r="84" spans="1:10">
      <c r="A84" s="119" t="s">
        <v>132</v>
      </c>
      <c r="B84" s="121" t="s">
        <v>102</v>
      </c>
      <c r="C84" s="121" t="s">
        <v>103</v>
      </c>
      <c r="D84" s="121" t="s">
        <v>104</v>
      </c>
      <c r="E84" s="121" t="s">
        <v>105</v>
      </c>
      <c r="F84" s="121" t="s">
        <v>106</v>
      </c>
      <c r="G84" s="121" t="s">
        <v>107</v>
      </c>
      <c r="H84" s="121" t="s">
        <v>108</v>
      </c>
      <c r="I84" s="121" t="s">
        <v>109</v>
      </c>
      <c r="J84" s="122" t="s">
        <v>110</v>
      </c>
    </row>
    <row r="85" spans="1:10">
      <c r="A85" s="302" t="s">
        <v>133</v>
      </c>
      <c r="B85" s="141">
        <f>B77</f>
        <v>282.27499999999998</v>
      </c>
      <c r="C85" s="141">
        <f>B85-B87</f>
        <v>282.27499999999998</v>
      </c>
      <c r="D85" s="141">
        <f t="shared" ref="D85:J85" si="4">+C86-C88</f>
        <v>244.63833333333332</v>
      </c>
      <c r="E85" s="141">
        <f t="shared" si="4"/>
        <v>207.00166666666667</v>
      </c>
      <c r="F85" s="141">
        <f t="shared" si="4"/>
        <v>169.36500000000001</v>
      </c>
      <c r="G85" s="141">
        <f t="shared" si="4"/>
        <v>131.72833333333335</v>
      </c>
      <c r="H85" s="141">
        <f t="shared" si="4"/>
        <v>94.091666666666697</v>
      </c>
      <c r="I85" s="141">
        <f t="shared" si="4"/>
        <v>56.455000000000041</v>
      </c>
      <c r="J85" s="142">
        <f t="shared" si="4"/>
        <v>18.818333333333381</v>
      </c>
    </row>
    <row r="86" spans="1:10">
      <c r="A86" s="291"/>
      <c r="B86" s="141"/>
      <c r="C86" s="141">
        <f t="shared" ref="C86:J86" si="5">+C85-C87</f>
        <v>263.45666666666665</v>
      </c>
      <c r="D86" s="141">
        <f t="shared" si="5"/>
        <v>225.82</v>
      </c>
      <c r="E86" s="141">
        <f t="shared" si="5"/>
        <v>188.18333333333334</v>
      </c>
      <c r="F86" s="141">
        <f t="shared" si="5"/>
        <v>150.54666666666668</v>
      </c>
      <c r="G86" s="141">
        <f t="shared" si="5"/>
        <v>112.91000000000003</v>
      </c>
      <c r="H86" s="141">
        <f t="shared" si="5"/>
        <v>75.273333333333369</v>
      </c>
      <c r="I86" s="141">
        <f t="shared" si="5"/>
        <v>37.636666666666713</v>
      </c>
      <c r="J86" s="142">
        <f t="shared" si="5"/>
        <v>4.9737991503207013E-14</v>
      </c>
    </row>
    <row r="87" spans="1:10">
      <c r="A87" s="453" t="s">
        <v>134</v>
      </c>
      <c r="B87" s="141">
        <v>0</v>
      </c>
      <c r="C87" s="141">
        <f>+$B$85/15</f>
        <v>18.818333333333332</v>
      </c>
      <c r="D87" s="141">
        <f t="shared" ref="D87:J88" si="6">+$B$85/15</f>
        <v>18.818333333333332</v>
      </c>
      <c r="E87" s="141">
        <f t="shared" si="6"/>
        <v>18.818333333333332</v>
      </c>
      <c r="F87" s="141">
        <f t="shared" si="6"/>
        <v>18.818333333333332</v>
      </c>
      <c r="G87" s="141">
        <f t="shared" si="6"/>
        <v>18.818333333333332</v>
      </c>
      <c r="H87" s="141">
        <f t="shared" si="6"/>
        <v>18.818333333333332</v>
      </c>
      <c r="I87" s="141">
        <f t="shared" si="6"/>
        <v>18.818333333333332</v>
      </c>
      <c r="J87" s="142">
        <f t="shared" si="6"/>
        <v>18.818333333333332</v>
      </c>
    </row>
    <row r="88" spans="1:10">
      <c r="A88" s="453"/>
      <c r="B88" s="141">
        <v>0</v>
      </c>
      <c r="C88" s="141">
        <f>+$B$85/15</f>
        <v>18.818333333333332</v>
      </c>
      <c r="D88" s="141">
        <f t="shared" si="6"/>
        <v>18.818333333333332</v>
      </c>
      <c r="E88" s="141">
        <f t="shared" si="6"/>
        <v>18.818333333333332</v>
      </c>
      <c r="F88" s="141">
        <f t="shared" si="6"/>
        <v>18.818333333333332</v>
      </c>
      <c r="G88" s="141">
        <f t="shared" si="6"/>
        <v>18.818333333333332</v>
      </c>
      <c r="H88" s="141">
        <f t="shared" si="6"/>
        <v>18.818333333333332</v>
      </c>
      <c r="I88" s="141">
        <f t="shared" si="6"/>
        <v>18.818333333333332</v>
      </c>
      <c r="J88" s="142">
        <f t="shared" si="6"/>
        <v>18.818333333333332</v>
      </c>
    </row>
    <row r="89" spans="1:10">
      <c r="A89" s="302" t="s">
        <v>135</v>
      </c>
      <c r="B89" s="141">
        <f t="shared" ref="B89:J89" si="7">SUM(B87:B88)</f>
        <v>0</v>
      </c>
      <c r="C89" s="141">
        <f t="shared" si="7"/>
        <v>37.636666666666663</v>
      </c>
      <c r="D89" s="141">
        <f t="shared" si="7"/>
        <v>37.636666666666663</v>
      </c>
      <c r="E89" s="141">
        <f t="shared" si="7"/>
        <v>37.636666666666663</v>
      </c>
      <c r="F89" s="141">
        <f t="shared" si="7"/>
        <v>37.636666666666663</v>
      </c>
      <c r="G89" s="141">
        <f t="shared" si="7"/>
        <v>37.636666666666663</v>
      </c>
      <c r="H89" s="141">
        <f t="shared" si="7"/>
        <v>37.636666666666663</v>
      </c>
      <c r="I89" s="141">
        <f t="shared" si="7"/>
        <v>37.636666666666663</v>
      </c>
      <c r="J89" s="142">
        <f t="shared" si="7"/>
        <v>37.636666666666663</v>
      </c>
    </row>
    <row r="90" spans="1:10">
      <c r="A90" s="453" t="s">
        <v>136</v>
      </c>
      <c r="B90" s="141">
        <f>+B85*$B$82/2</f>
        <v>14.11375</v>
      </c>
      <c r="C90" s="141">
        <f t="shared" ref="C90:J91" si="8">+C85*$B$82/2</f>
        <v>14.11375</v>
      </c>
      <c r="D90" s="141">
        <f t="shared" si="8"/>
        <v>12.231916666666667</v>
      </c>
      <c r="E90" s="141">
        <f t="shared" si="8"/>
        <v>10.350083333333334</v>
      </c>
      <c r="F90" s="141">
        <f t="shared" si="8"/>
        <v>8.4682500000000012</v>
      </c>
      <c r="G90" s="141">
        <f t="shared" si="8"/>
        <v>6.5864166666666684</v>
      </c>
      <c r="H90" s="141">
        <f t="shared" si="8"/>
        <v>4.7045833333333347</v>
      </c>
      <c r="I90" s="141">
        <f t="shared" si="8"/>
        <v>2.8227500000000023</v>
      </c>
      <c r="J90" s="142">
        <f t="shared" si="8"/>
        <v>0.94091666666666907</v>
      </c>
    </row>
    <row r="91" spans="1:10">
      <c r="A91" s="453"/>
      <c r="B91" s="141">
        <f>+B90</f>
        <v>14.11375</v>
      </c>
      <c r="C91" s="141">
        <f>+C86*$B$82/2</f>
        <v>13.172833333333333</v>
      </c>
      <c r="D91" s="141">
        <f t="shared" si="8"/>
        <v>11.291</v>
      </c>
      <c r="E91" s="141">
        <f t="shared" si="8"/>
        <v>9.4091666666666676</v>
      </c>
      <c r="F91" s="141">
        <f t="shared" si="8"/>
        <v>7.5273333333333348</v>
      </c>
      <c r="G91" s="141">
        <f t="shared" si="8"/>
        <v>5.645500000000002</v>
      </c>
      <c r="H91" s="141">
        <f t="shared" si="8"/>
        <v>3.7636666666666687</v>
      </c>
      <c r="I91" s="141">
        <f t="shared" si="8"/>
        <v>1.8818333333333357</v>
      </c>
      <c r="J91" s="142">
        <f t="shared" si="8"/>
        <v>2.4868995751603509E-15</v>
      </c>
    </row>
    <row r="92" spans="1:10">
      <c r="A92" s="292" t="s">
        <v>137</v>
      </c>
      <c r="B92" s="293">
        <f>+B90+B91</f>
        <v>28.227499999999999</v>
      </c>
      <c r="C92" s="293">
        <f>+C90+C91</f>
        <v>27.286583333333333</v>
      </c>
      <c r="D92" s="293">
        <f>+D90+D91</f>
        <v>23.522916666666667</v>
      </c>
      <c r="E92" s="293">
        <f>+E90+E91</f>
        <v>19.759250000000002</v>
      </c>
      <c r="F92" s="293">
        <f>+F90+F91</f>
        <v>15.995583333333336</v>
      </c>
      <c r="G92" s="293">
        <f>+G90+12</f>
        <v>18.586416666666668</v>
      </c>
      <c r="H92" s="293">
        <f>+H90+12</f>
        <v>16.704583333333336</v>
      </c>
      <c r="I92" s="293">
        <f>+I90+12</f>
        <v>14.822750000000003</v>
      </c>
      <c r="J92" s="280">
        <f>+J90+12</f>
        <v>12.94091666666667</v>
      </c>
    </row>
  </sheetData>
  <mergeCells count="22">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 ref="A87:A88"/>
    <mergeCell ref="A90:A91"/>
    <mergeCell ref="A53:C53"/>
    <mergeCell ref="A54:C54"/>
    <mergeCell ref="A58:C58"/>
    <mergeCell ref="A81:J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43DE-1E73-4E9A-827D-AD32D80B3E64}">
  <sheetPr codeName="Sheet8"/>
  <dimension ref="A1:D20"/>
  <sheetViews>
    <sheetView showGridLines="0" zoomScale="93" zoomScaleNormal="93" workbookViewId="0">
      <selection activeCell="D15" sqref="D15"/>
    </sheetView>
  </sheetViews>
  <sheetFormatPr defaultColWidth="9.140625" defaultRowHeight="15"/>
  <cols>
    <col min="1" max="1" width="18.140625" style="197" customWidth="1"/>
    <col min="2" max="2" width="54" style="197" bestFit="1" customWidth="1"/>
    <col min="3" max="3" width="28.7109375" style="197" bestFit="1" customWidth="1"/>
    <col min="4" max="4" width="15.28515625" style="197" bestFit="1" customWidth="1"/>
    <col min="5" max="5" width="11.85546875" style="197" bestFit="1" customWidth="1"/>
    <col min="6" max="7" width="12" style="197" bestFit="1" customWidth="1"/>
    <col min="8" max="16384" width="9.140625" style="197"/>
  </cols>
  <sheetData>
    <row r="1" spans="1:4" ht="19.5" customHeight="1">
      <c r="A1" s="464" t="s">
        <v>290</v>
      </c>
      <c r="B1" s="465"/>
      <c r="C1" s="465"/>
      <c r="D1" s="466"/>
    </row>
    <row r="2" spans="1:4" ht="18.75" customHeight="1">
      <c r="A2" s="165"/>
      <c r="B2" s="166"/>
      <c r="C2" s="167"/>
      <c r="D2" s="168" t="s">
        <v>70</v>
      </c>
    </row>
    <row r="3" spans="1:4" ht="15" customHeight="1">
      <c r="A3" s="10" t="s">
        <v>38</v>
      </c>
      <c r="B3" s="11" t="s">
        <v>39</v>
      </c>
      <c r="C3" s="11" t="s">
        <v>56</v>
      </c>
      <c r="D3" s="33">
        <f>D4+D12</f>
        <v>550.54999999999995</v>
      </c>
    </row>
    <row r="4" spans="1:4" ht="15" customHeight="1">
      <c r="A4" s="8" t="s">
        <v>40</v>
      </c>
      <c r="B4" s="5" t="s">
        <v>41</v>
      </c>
      <c r="C4" s="5"/>
      <c r="D4" s="22">
        <f>SUM(D5:D11)</f>
        <v>407.55</v>
      </c>
    </row>
    <row r="5" spans="1:4" ht="15" customHeight="1">
      <c r="A5" s="9">
        <v>1</v>
      </c>
      <c r="B5" s="6" t="s">
        <v>73</v>
      </c>
      <c r="C5" s="7"/>
      <c r="D5" s="15">
        <v>275</v>
      </c>
    </row>
    <row r="6" spans="1:4" ht="15" customHeight="1">
      <c r="A6" s="9">
        <v>2</v>
      </c>
      <c r="B6" s="6" t="s">
        <v>42</v>
      </c>
      <c r="C6" s="390"/>
      <c r="D6" s="409">
        <v>55</v>
      </c>
    </row>
    <row r="7" spans="1:4" ht="15" customHeight="1">
      <c r="A7" s="9">
        <v>3</v>
      </c>
      <c r="B7" s="6" t="s">
        <v>43</v>
      </c>
      <c r="C7" s="390"/>
      <c r="D7" s="409">
        <v>49.5</v>
      </c>
    </row>
    <row r="8" spans="1:4" ht="15" customHeight="1">
      <c r="A8" s="9">
        <v>4</v>
      </c>
      <c r="B8" s="6" t="s">
        <v>44</v>
      </c>
      <c r="C8" s="390"/>
      <c r="D8" s="409">
        <v>5.5</v>
      </c>
    </row>
    <row r="9" spans="1:4" ht="15" customHeight="1">
      <c r="A9" s="9">
        <v>5</v>
      </c>
      <c r="B9" s="6" t="s">
        <v>45</v>
      </c>
      <c r="C9" s="390"/>
      <c r="D9" s="409">
        <v>2.75</v>
      </c>
    </row>
    <row r="10" spans="1:4" ht="15" customHeight="1">
      <c r="A10" s="9">
        <v>6</v>
      </c>
      <c r="B10" s="6" t="s">
        <v>46</v>
      </c>
      <c r="C10" s="390"/>
      <c r="D10" s="409">
        <v>6.05</v>
      </c>
    </row>
    <row r="11" spans="1:4" ht="15" customHeight="1">
      <c r="A11" s="9">
        <v>7</v>
      </c>
      <c r="B11" s="6" t="s">
        <v>47</v>
      </c>
      <c r="C11" s="390"/>
      <c r="D11" s="409">
        <v>13.75</v>
      </c>
    </row>
    <row r="12" spans="1:4">
      <c r="A12" s="9" t="s">
        <v>48</v>
      </c>
      <c r="B12" s="5" t="s">
        <v>49</v>
      </c>
      <c r="C12" s="5"/>
      <c r="D12" s="22">
        <v>143</v>
      </c>
    </row>
    <row r="13" spans="1:4" ht="15" customHeight="1">
      <c r="A13" s="8" t="s">
        <v>50</v>
      </c>
      <c r="B13" s="5" t="s">
        <v>51</v>
      </c>
      <c r="C13" s="5"/>
      <c r="D13" s="22">
        <v>14</v>
      </c>
    </row>
    <row r="14" spans="1:4" ht="15" customHeight="1">
      <c r="A14" s="9"/>
      <c r="B14" s="6"/>
      <c r="C14" s="7"/>
      <c r="D14" s="16"/>
    </row>
    <row r="15" spans="1:4">
      <c r="A15" s="169"/>
      <c r="B15" s="170" t="s">
        <v>52</v>
      </c>
      <c r="C15" s="170" t="s">
        <v>200</v>
      </c>
      <c r="D15" s="365">
        <f>D3+D13</f>
        <v>564.54999999999995</v>
      </c>
    </row>
    <row r="16" spans="1:4" ht="25.5">
      <c r="A16" s="380"/>
      <c r="B16" s="297" t="s">
        <v>97</v>
      </c>
      <c r="C16" s="297" t="s">
        <v>99</v>
      </c>
      <c r="D16" s="379" t="s">
        <v>98</v>
      </c>
    </row>
    <row r="17" spans="1:4">
      <c r="A17" s="467" t="s">
        <v>305</v>
      </c>
      <c r="B17" s="381" t="s">
        <v>91</v>
      </c>
      <c r="C17" s="382">
        <f>D17*C$19</f>
        <v>187</v>
      </c>
      <c r="D17" s="383">
        <v>0.68</v>
      </c>
    </row>
    <row r="18" spans="1:4">
      <c r="A18" s="467"/>
      <c r="B18" s="381" t="s">
        <v>92</v>
      </c>
      <c r="C18" s="382">
        <f>D18*C$19</f>
        <v>88</v>
      </c>
      <c r="D18" s="383">
        <v>0.32</v>
      </c>
    </row>
    <row r="19" spans="1:4">
      <c r="A19" s="468"/>
      <c r="B19" s="146"/>
      <c r="C19" s="384">
        <f>D5</f>
        <v>275</v>
      </c>
      <c r="D19" s="385"/>
    </row>
    <row r="20" spans="1:4" ht="41.25" customHeight="1">
      <c r="A20" s="463"/>
      <c r="B20" s="463"/>
      <c r="C20" s="463"/>
      <c r="D20" s="463"/>
    </row>
  </sheetData>
  <mergeCells count="3">
    <mergeCell ref="A20:D20"/>
    <mergeCell ref="A1:D1"/>
    <mergeCell ref="A17:A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682C-53D5-4142-8C1E-789A57CBD2CE}">
  <sheetPr codeName="Sheet7"/>
  <dimension ref="A1:AL29"/>
  <sheetViews>
    <sheetView showGridLines="0" topLeftCell="A7" zoomScale="90" zoomScaleNormal="90" workbookViewId="0">
      <selection activeCell="E11" sqref="E11"/>
    </sheetView>
  </sheetViews>
  <sheetFormatPr defaultColWidth="9.140625" defaultRowHeight="15"/>
  <cols>
    <col min="1" max="1" width="95.140625" style="197" customWidth="1"/>
    <col min="2" max="2" width="23.85546875" style="197" customWidth="1"/>
    <col min="3" max="3" width="24.140625" style="197" customWidth="1"/>
    <col min="4" max="4" width="14.7109375" style="401" hidden="1" customWidth="1"/>
    <col min="5" max="5" width="13.140625" style="197" customWidth="1"/>
    <col min="6" max="6" width="15" style="197" bestFit="1" customWidth="1"/>
    <col min="7" max="7" width="13.28515625" style="197" bestFit="1" customWidth="1"/>
    <col min="8" max="8" width="12.140625" style="197" bestFit="1" customWidth="1"/>
    <col min="9" max="24" width="8.28515625" style="197" bestFit="1" customWidth="1"/>
    <col min="25" max="25" width="15.7109375" style="197" customWidth="1"/>
    <col min="26" max="26" width="15.140625" style="197" customWidth="1"/>
    <col min="27" max="36" width="9.140625" style="197" customWidth="1"/>
    <col min="37" max="16384" width="9.140625" style="197"/>
  </cols>
  <sheetData>
    <row r="1" spans="1:38">
      <c r="A1" s="175" t="s">
        <v>303</v>
      </c>
      <c r="B1" s="176"/>
      <c r="C1" s="176"/>
      <c r="D1" s="391"/>
      <c r="E1" s="177" t="s">
        <v>70</v>
      </c>
      <c r="F1" s="177">
        <v>2028</v>
      </c>
      <c r="G1" s="177">
        <v>2029</v>
      </c>
      <c r="H1" s="177">
        <v>2030</v>
      </c>
      <c r="I1" s="177">
        <v>2031</v>
      </c>
      <c r="J1" s="177">
        <v>2032</v>
      </c>
      <c r="K1" s="177">
        <v>2033</v>
      </c>
      <c r="L1" s="177">
        <v>2034</v>
      </c>
      <c r="M1" s="177">
        <v>2035</v>
      </c>
      <c r="N1" s="177">
        <v>2036</v>
      </c>
      <c r="O1" s="177">
        <v>2037</v>
      </c>
      <c r="P1" s="177">
        <v>2038</v>
      </c>
      <c r="Q1" s="177">
        <v>2039</v>
      </c>
      <c r="R1" s="177">
        <v>2040</v>
      </c>
      <c r="S1" s="177">
        <v>2041</v>
      </c>
      <c r="T1" s="177">
        <v>2042</v>
      </c>
      <c r="U1" s="177">
        <v>2043</v>
      </c>
      <c r="V1" s="177">
        <v>2044</v>
      </c>
      <c r="W1" s="177">
        <v>2045</v>
      </c>
      <c r="X1" s="177">
        <v>2046</v>
      </c>
    </row>
    <row r="2" spans="1:38" ht="16.5" customHeight="1">
      <c r="A2" s="182" t="s">
        <v>2</v>
      </c>
      <c r="B2" s="178" t="s">
        <v>53</v>
      </c>
      <c r="C2" s="178" t="s">
        <v>54</v>
      </c>
      <c r="D2" s="392"/>
      <c r="E2" s="179">
        <f>E3+E6+E8+E11+E5</f>
        <v>106.59722082381518</v>
      </c>
      <c r="F2" s="3"/>
      <c r="G2" s="3"/>
      <c r="H2" s="3"/>
      <c r="I2" s="3"/>
      <c r="J2" s="3"/>
      <c r="K2" s="3"/>
      <c r="L2" s="3"/>
      <c r="M2" s="3"/>
      <c r="N2" s="3"/>
      <c r="O2" s="3"/>
      <c r="P2" s="3"/>
      <c r="Q2" s="3"/>
      <c r="R2" s="3"/>
      <c r="S2" s="3"/>
      <c r="T2" s="3"/>
      <c r="U2" s="3"/>
      <c r="V2" s="3"/>
      <c r="W2" s="3"/>
      <c r="X2" s="3"/>
    </row>
    <row r="3" spans="1:38">
      <c r="A3" s="180" t="s">
        <v>3</v>
      </c>
      <c r="B3" s="184" t="s">
        <v>55</v>
      </c>
      <c r="C3" s="184" t="s">
        <v>75</v>
      </c>
      <c r="D3" s="393"/>
      <c r="E3" s="181">
        <f>SUM(E4)</f>
        <v>84.071468749999994</v>
      </c>
      <c r="F3" s="181">
        <f>E3+E3*1.41%</f>
        <v>85.256876459374993</v>
      </c>
      <c r="G3" s="181">
        <f>F3+F3*1.54%</f>
        <v>86.569832356849375</v>
      </c>
      <c r="H3" s="181">
        <f>G3+G3*1.47%</f>
        <v>87.842408892495058</v>
      </c>
      <c r="I3" s="181">
        <f>H3+H3*1.21%</f>
        <v>88.905302040094242</v>
      </c>
      <c r="J3" s="181">
        <f>I3+I3*1.34%</f>
        <v>90.096633087431499</v>
      </c>
      <c r="K3" s="181">
        <f>J3+J3*1.31%</f>
        <v>91.276898980876851</v>
      </c>
      <c r="L3" s="181">
        <f>K3+K3*1.35%</f>
        <v>92.509137117118684</v>
      </c>
      <c r="M3" s="181">
        <f>L3+L3*1.5%</f>
        <v>93.896774173875457</v>
      </c>
      <c r="N3" s="181">
        <f>M3+M3*1.04%</f>
        <v>94.873300625283761</v>
      </c>
      <c r="O3" s="181">
        <f>N3+N3*1.12%</f>
        <v>95.935881592286933</v>
      </c>
      <c r="P3" s="181">
        <f>O3+O3*1.15%</f>
        <v>97.039144230598225</v>
      </c>
      <c r="Q3" s="181">
        <f>P3+P3*1.05%</f>
        <v>98.058055245019503</v>
      </c>
      <c r="R3" s="181">
        <f>Q3+Q3*1.03%</f>
        <v>99.068053214043204</v>
      </c>
      <c r="S3" s="181">
        <f>R3+R3*1.02%</f>
        <v>100.07854735682645</v>
      </c>
      <c r="T3" s="181">
        <f>S3+S3*1.15%</f>
        <v>101.22945065142996</v>
      </c>
      <c r="U3" s="181">
        <f>T3+T3*1.18%</f>
        <v>102.42395816911683</v>
      </c>
      <c r="V3" s="181">
        <f>U3+U3*1.25%</f>
        <v>103.70425764623079</v>
      </c>
      <c r="W3" s="181">
        <f>V3+V3*1.15%</f>
        <v>104.89685660916244</v>
      </c>
      <c r="X3" s="181">
        <f>W3+W3*1.17%</f>
        <v>106.12414983148965</v>
      </c>
    </row>
    <row r="4" spans="1:38">
      <c r="A4" s="248" t="s">
        <v>194</v>
      </c>
      <c r="B4" s="249">
        <f>'Reference Values'!D3</f>
        <v>28749.999999999996</v>
      </c>
      <c r="C4" s="249">
        <f>'Reference Values'!C13</f>
        <v>29242.25</v>
      </c>
      <c r="D4" s="394"/>
      <c r="E4" s="251">
        <f>(B4*C4)/10^7</f>
        <v>84.071468749999994</v>
      </c>
      <c r="F4" s="83"/>
      <c r="G4" s="3"/>
      <c r="H4" s="3"/>
      <c r="I4" s="3"/>
      <c r="J4" s="3"/>
      <c r="K4" s="3"/>
      <c r="L4" s="83"/>
      <c r="M4" s="3"/>
      <c r="N4" s="3"/>
      <c r="O4" s="3"/>
      <c r="P4" s="3"/>
      <c r="Q4" s="3"/>
      <c r="R4" s="3"/>
      <c r="S4" s="3"/>
      <c r="T4" s="3"/>
      <c r="U4" s="3"/>
      <c r="V4" s="3"/>
      <c r="W4" s="3"/>
      <c r="X4" s="3"/>
    </row>
    <row r="5" spans="1:38">
      <c r="A5" s="87" t="s">
        <v>4</v>
      </c>
      <c r="B5" s="4"/>
      <c r="C5" s="4"/>
      <c r="D5" s="395"/>
      <c r="E5" s="88">
        <f>'Reference Values'!C31/10^7</f>
        <v>1.8859999999999999</v>
      </c>
      <c r="F5" s="285">
        <f>E5+E5*1.55%</f>
        <v>1.915233</v>
      </c>
      <c r="G5" s="285">
        <f>F5+F5*1.57%</f>
        <v>1.9453021581000001</v>
      </c>
      <c r="H5" s="285">
        <f>G5+G5*1.43%</f>
        <v>1.97311997896083</v>
      </c>
      <c r="I5" s="285">
        <f>H5+H5*1.4%</f>
        <v>2.0007436586662815</v>
      </c>
      <c r="J5" s="285">
        <f>I5+I5*1.34%</f>
        <v>2.0275536236924094</v>
      </c>
      <c r="K5" s="285">
        <f t="shared" ref="K5:X5" si="0">J5+J5*1.34%</f>
        <v>2.0547228422498875</v>
      </c>
      <c r="L5" s="285">
        <f t="shared" si="0"/>
        <v>2.0822561283360361</v>
      </c>
      <c r="M5" s="285">
        <f t="shared" si="0"/>
        <v>2.1101583604557392</v>
      </c>
      <c r="N5" s="285">
        <f t="shared" si="0"/>
        <v>2.1384344824858461</v>
      </c>
      <c r="O5" s="285">
        <f t="shared" si="0"/>
        <v>2.1670895045511562</v>
      </c>
      <c r="P5" s="285">
        <f t="shared" si="0"/>
        <v>2.1961285039121416</v>
      </c>
      <c r="Q5" s="285">
        <f t="shared" si="0"/>
        <v>2.2255566258645643</v>
      </c>
      <c r="R5" s="285">
        <f t="shared" si="0"/>
        <v>2.2553790846511492</v>
      </c>
      <c r="S5" s="285">
        <f t="shared" si="0"/>
        <v>2.2856011643854748</v>
      </c>
      <c r="T5" s="285">
        <f t="shared" si="0"/>
        <v>2.3162282199882402</v>
      </c>
      <c r="U5" s="285">
        <f t="shared" si="0"/>
        <v>2.3472656781360826</v>
      </c>
      <c r="V5" s="285">
        <f t="shared" si="0"/>
        <v>2.3787190382231063</v>
      </c>
      <c r="W5" s="285">
        <f t="shared" si="0"/>
        <v>2.4105938733352961</v>
      </c>
      <c r="X5" s="285">
        <f t="shared" si="0"/>
        <v>2.4428958312379891</v>
      </c>
    </row>
    <row r="6" spans="1:38">
      <c r="A6" s="386" t="s">
        <v>5</v>
      </c>
      <c r="B6" s="250"/>
      <c r="C6" s="250"/>
      <c r="D6" s="394"/>
      <c r="E6" s="251">
        <f>'Reference Values'!B71</f>
        <v>10.23</v>
      </c>
      <c r="F6" s="83"/>
      <c r="G6"/>
      <c r="H6" s="3"/>
      <c r="I6" s="3"/>
      <c r="J6"/>
      <c r="K6"/>
      <c r="L6" s="83"/>
      <c r="M6"/>
      <c r="N6"/>
      <c r="O6"/>
      <c r="P6"/>
      <c r="Q6"/>
      <c r="R6"/>
      <c r="S6"/>
      <c r="T6"/>
      <c r="U6"/>
      <c r="V6"/>
      <c r="W6"/>
      <c r="X6"/>
    </row>
    <row r="7" spans="1:38" ht="16.5" customHeight="1">
      <c r="A7" s="387" t="s">
        <v>6</v>
      </c>
      <c r="B7" s="4"/>
      <c r="C7" s="4"/>
      <c r="D7" s="395"/>
      <c r="E7" s="88">
        <f>E6</f>
        <v>10.23</v>
      </c>
      <c r="F7" s="90"/>
      <c r="G7"/>
      <c r="H7" s="3"/>
      <c r="I7" s="82"/>
      <c r="J7"/>
      <c r="K7"/>
      <c r="L7" s="2"/>
      <c r="M7"/>
      <c r="N7"/>
      <c r="O7"/>
      <c r="P7"/>
      <c r="Q7"/>
      <c r="R7"/>
      <c r="S7"/>
      <c r="T7"/>
      <c r="U7"/>
      <c r="V7"/>
      <c r="W7"/>
      <c r="X7"/>
    </row>
    <row r="8" spans="1:38">
      <c r="A8" s="252" t="s">
        <v>7</v>
      </c>
      <c r="B8" s="250"/>
      <c r="C8" s="250"/>
      <c r="D8" s="394"/>
      <c r="E8" s="251">
        <f>E10+E9</f>
        <v>4.2879870738151924</v>
      </c>
      <c r="F8" s="90"/>
      <c r="G8"/>
      <c r="H8" s="3"/>
      <c r="I8" s="3"/>
      <c r="J8"/>
      <c r="K8"/>
      <c r="L8" s="83"/>
      <c r="M8"/>
      <c r="N8"/>
      <c r="O8"/>
      <c r="P8"/>
      <c r="Q8"/>
      <c r="R8"/>
      <c r="S8"/>
      <c r="T8"/>
      <c r="U8"/>
      <c r="V8"/>
      <c r="W8"/>
      <c r="X8"/>
    </row>
    <row r="9" spans="1:38" ht="16.5" customHeight="1">
      <c r="A9" s="87" t="s">
        <v>8</v>
      </c>
      <c r="B9" s="4"/>
      <c r="C9" s="4"/>
      <c r="D9" s="396">
        <v>0.01</v>
      </c>
      <c r="E9" s="88">
        <f>D9*'Reference Values'!C57</f>
        <v>0.44195279999999998</v>
      </c>
      <c r="F9" s="161"/>
      <c r="G9"/>
      <c r="H9" s="3"/>
      <c r="I9" s="82"/>
      <c r="J9"/>
      <c r="K9"/>
      <c r="L9" s="2"/>
      <c r="M9"/>
      <c r="N9"/>
      <c r="O9"/>
      <c r="P9"/>
      <c r="Q9"/>
      <c r="R9"/>
      <c r="S9"/>
      <c r="T9"/>
      <c r="U9"/>
      <c r="V9"/>
      <c r="W9"/>
      <c r="X9"/>
      <c r="Y9" s="198"/>
    </row>
    <row r="10" spans="1:38">
      <c r="A10" s="87" t="s">
        <v>9</v>
      </c>
      <c r="B10" s="4"/>
      <c r="C10" s="4"/>
      <c r="D10" s="395"/>
      <c r="E10" s="88">
        <f>'Reference Values'!C22/10^7</f>
        <v>3.8460342738151923</v>
      </c>
      <c r="F10" s="90"/>
      <c r="G10"/>
      <c r="H10" s="3"/>
      <c r="I10" s="3"/>
      <c r="J10"/>
      <c r="K10"/>
      <c r="L10" s="2"/>
      <c r="M10"/>
      <c r="N10"/>
      <c r="O10"/>
      <c r="P10"/>
      <c r="Q10"/>
      <c r="R10"/>
      <c r="S10"/>
      <c r="T10"/>
      <c r="U10"/>
      <c r="V10"/>
      <c r="W10"/>
      <c r="X10"/>
      <c r="Z10" s="199"/>
    </row>
    <row r="11" spans="1:38">
      <c r="A11" s="252" t="s">
        <v>10</v>
      </c>
      <c r="B11" s="250"/>
      <c r="C11" s="250"/>
      <c r="D11" s="394"/>
      <c r="E11" s="251">
        <f>E12+E13</f>
        <v>6.121764999999999</v>
      </c>
      <c r="F11" s="2"/>
      <c r="G11" s="82"/>
      <c r="H11" s="3"/>
      <c r="I11" s="3"/>
      <c r="J11"/>
      <c r="K11"/>
      <c r="L11" s="83"/>
      <c r="M11"/>
      <c r="N11"/>
      <c r="O11"/>
      <c r="P11"/>
      <c r="Q11"/>
      <c r="R11"/>
      <c r="S11"/>
      <c r="T11"/>
      <c r="U11"/>
      <c r="V11"/>
      <c r="W11"/>
      <c r="X11"/>
    </row>
    <row r="12" spans="1:38" ht="15.75" customHeight="1">
      <c r="A12" s="387" t="s">
        <v>276</v>
      </c>
      <c r="B12" s="4"/>
      <c r="C12" s="4"/>
      <c r="D12" s="397">
        <v>0.01</v>
      </c>
      <c r="E12" s="140">
        <f>D12*Capex!D15</f>
        <v>5.6454999999999993</v>
      </c>
      <c r="F12" s="90"/>
      <c r="G12"/>
      <c r="H12" s="163"/>
      <c r="I12" s="3"/>
      <c r="J12"/>
      <c r="K12"/>
      <c r="L12" s="2"/>
      <c r="M12"/>
      <c r="N12"/>
      <c r="O12"/>
      <c r="P12"/>
      <c r="Q12"/>
      <c r="R12"/>
      <c r="S12"/>
      <c r="T12"/>
      <c r="U12"/>
      <c r="V12"/>
      <c r="W12"/>
      <c r="X12"/>
      <c r="Y12" s="199"/>
    </row>
    <row r="13" spans="1:38" ht="14.25" customHeight="1">
      <c r="A13" s="388" t="s">
        <v>275</v>
      </c>
      <c r="B13" s="81"/>
      <c r="C13" s="81"/>
      <c r="D13" s="398">
        <v>0.03</v>
      </c>
      <c r="E13" s="89">
        <f>D13*(E12+E6)</f>
        <v>0.47626499999999994</v>
      </c>
      <c r="F13" s="2"/>
      <c r="G13"/>
      <c r="H13" s="3"/>
      <c r="I13" s="3"/>
      <c r="J13"/>
      <c r="K13"/>
      <c r="L13" s="2"/>
      <c r="M13"/>
      <c r="N13"/>
      <c r="O13"/>
      <c r="P13"/>
      <c r="Q13"/>
      <c r="R13"/>
      <c r="S13"/>
      <c r="T13"/>
      <c r="U13"/>
      <c r="V13"/>
      <c r="W13"/>
      <c r="X13"/>
    </row>
    <row r="14" spans="1:38">
      <c r="A14" s="252" t="s">
        <v>11</v>
      </c>
      <c r="B14" s="250"/>
      <c r="C14" s="250"/>
      <c r="D14" s="399"/>
      <c r="E14" s="251">
        <f>E16+E15</f>
        <v>3.0437263999999997</v>
      </c>
      <c r="F14" s="2"/>
      <c r="G14"/>
      <c r="H14" s="3"/>
      <c r="I14" s="3"/>
      <c r="J14"/>
      <c r="K14"/>
      <c r="L14" s="90"/>
      <c r="M14"/>
      <c r="N14"/>
      <c r="O14"/>
      <c r="P14"/>
      <c r="Q14"/>
      <c r="R14"/>
      <c r="S14"/>
      <c r="T14"/>
      <c r="U14"/>
      <c r="V14"/>
      <c r="W14"/>
      <c r="X14"/>
    </row>
    <row r="15" spans="1:38" ht="15" customHeight="1">
      <c r="A15" s="87" t="s">
        <v>277</v>
      </c>
      <c r="B15" s="4"/>
      <c r="C15" s="4"/>
      <c r="D15" s="397">
        <v>5.0000000000000001E-3</v>
      </c>
      <c r="E15" s="88">
        <f>'Reference Values'!C57*D15</f>
        <v>0.22097639999999999</v>
      </c>
      <c r="F15" s="2"/>
      <c r="G15"/>
      <c r="H15" s="3"/>
      <c r="I15" s="3"/>
      <c r="J15"/>
      <c r="K15"/>
      <c r="L15" s="2"/>
      <c r="M15"/>
      <c r="N15"/>
      <c r="O15"/>
      <c r="P15"/>
      <c r="Q15"/>
      <c r="R15"/>
      <c r="S15"/>
      <c r="T15"/>
      <c r="U15"/>
      <c r="V15"/>
      <c r="W15"/>
      <c r="X15"/>
      <c r="AL15" s="198"/>
    </row>
    <row r="16" spans="1:38" ht="15.75" customHeight="1">
      <c r="A16" s="387" t="s">
        <v>171</v>
      </c>
      <c r="B16" s="4"/>
      <c r="C16" s="4"/>
      <c r="D16" s="397">
        <v>5.0000000000000001E-3</v>
      </c>
      <c r="E16" s="88">
        <f>D16*Capex!D15</f>
        <v>2.8227499999999996</v>
      </c>
      <c r="F16" s="90"/>
      <c r="G16"/>
      <c r="H16" s="3"/>
      <c r="I16" s="3"/>
      <c r="J16"/>
      <c r="K16"/>
      <c r="L16" s="2"/>
      <c r="M16"/>
      <c r="N16"/>
      <c r="O16"/>
      <c r="P16"/>
      <c r="Q16"/>
      <c r="R16"/>
      <c r="S16"/>
      <c r="T16"/>
      <c r="U16"/>
      <c r="V16"/>
      <c r="W16"/>
      <c r="X16"/>
    </row>
    <row r="17" spans="1:24" ht="17.25" customHeight="1">
      <c r="A17" s="245" t="s">
        <v>12</v>
      </c>
      <c r="B17" s="246"/>
      <c r="C17" s="246"/>
      <c r="D17" s="400"/>
      <c r="E17" s="247">
        <f>E14+E2</f>
        <v>109.64094722381517</v>
      </c>
      <c r="F17" s="2"/>
      <c r="G17"/>
      <c r="H17" s="162"/>
      <c r="I17" s="3"/>
      <c r="J17"/>
      <c r="K17"/>
      <c r="L17" s="2"/>
      <c r="M17"/>
      <c r="N17"/>
      <c r="O17"/>
      <c r="P17"/>
      <c r="Q17"/>
      <c r="R17"/>
      <c r="S17"/>
      <c r="T17"/>
      <c r="U17"/>
      <c r="V17"/>
      <c r="W17"/>
      <c r="X17"/>
    </row>
    <row r="18" spans="1:24">
      <c r="A18" s="175" t="s">
        <v>304</v>
      </c>
      <c r="B18" s="176"/>
      <c r="C18" s="176"/>
      <c r="D18" s="391"/>
      <c r="E18" s="177" t="s">
        <v>70</v>
      </c>
      <c r="F18" s="177">
        <v>2028</v>
      </c>
      <c r="G18" s="177">
        <v>2029</v>
      </c>
      <c r="H18" s="177">
        <v>2030</v>
      </c>
      <c r="I18" s="177">
        <v>2031</v>
      </c>
      <c r="J18" s="177">
        <v>2032</v>
      </c>
      <c r="K18" s="177">
        <v>2033</v>
      </c>
      <c r="L18" s="177">
        <v>2034</v>
      </c>
      <c r="M18" s="177">
        <v>2035</v>
      </c>
      <c r="N18" s="177">
        <v>2036</v>
      </c>
      <c r="O18" s="177">
        <v>2037</v>
      </c>
      <c r="P18" s="177">
        <v>2038</v>
      </c>
      <c r="Q18" s="177">
        <v>2039</v>
      </c>
      <c r="R18" s="177">
        <v>2040</v>
      </c>
      <c r="S18" s="177">
        <v>2041</v>
      </c>
      <c r="T18" s="177">
        <v>2042</v>
      </c>
      <c r="U18" s="177">
        <v>2043</v>
      </c>
      <c r="V18" s="177">
        <v>2044</v>
      </c>
      <c r="W18" s="177">
        <v>2045</v>
      </c>
      <c r="X18" s="177">
        <v>2046</v>
      </c>
    </row>
    <row r="19" spans="1:24">
      <c r="A19" s="295" t="s">
        <v>2</v>
      </c>
      <c r="B19" s="178" t="s">
        <v>53</v>
      </c>
      <c r="C19" s="178" t="s">
        <v>54</v>
      </c>
      <c r="D19" s="392"/>
      <c r="E19" s="179">
        <f>E20+E24+E23</f>
        <v>148.17648816779678</v>
      </c>
      <c r="F19" s="3"/>
      <c r="G19" s="3"/>
      <c r="H19" s="3"/>
      <c r="I19" s="3"/>
      <c r="J19" s="3"/>
      <c r="K19" s="3"/>
      <c r="L19" s="3"/>
      <c r="M19" s="3"/>
      <c r="N19" s="3"/>
      <c r="O19" s="3"/>
      <c r="P19" s="3"/>
      <c r="Q19" s="3"/>
      <c r="R19" s="3"/>
      <c r="S19" s="3"/>
      <c r="T19" s="3"/>
      <c r="U19" s="3"/>
      <c r="V19" s="3"/>
      <c r="W19" s="3"/>
      <c r="X19" s="3"/>
    </row>
    <row r="20" spans="1:24" ht="28.5" customHeight="1">
      <c r="A20" s="180" t="s">
        <v>3</v>
      </c>
      <c r="B20" s="296" t="s">
        <v>55</v>
      </c>
      <c r="C20" s="296" t="s">
        <v>75</v>
      </c>
      <c r="D20" s="393"/>
      <c r="E20" s="181">
        <f>SUM(E21:E22)</f>
        <v>144.18778007618994</v>
      </c>
      <c r="F20" s="181">
        <f>E20+E20*1.41%</f>
        <v>146.22082777526421</v>
      </c>
      <c r="G20" s="181">
        <f>F20+F20*1.54%</f>
        <v>148.47262852300329</v>
      </c>
      <c r="H20" s="181">
        <f>G20+G20*1.47%</f>
        <v>150.65517616229144</v>
      </c>
      <c r="I20" s="181">
        <f>H20+H20*1.21%</f>
        <v>152.47810379385515</v>
      </c>
      <c r="J20" s="181">
        <f>I20+I20*1.34%</f>
        <v>154.52131038469281</v>
      </c>
      <c r="K20" s="181">
        <f>J20+J20*1.31%</f>
        <v>156.54553955073229</v>
      </c>
      <c r="L20" s="181">
        <f>K20+K20*1.35%</f>
        <v>158.65890433466717</v>
      </c>
      <c r="M20" s="181">
        <f>L20+L20*1.5%</f>
        <v>161.03878789968718</v>
      </c>
      <c r="N20" s="181">
        <f>M20+M20*1.04%</f>
        <v>162.71359129384393</v>
      </c>
      <c r="O20" s="181">
        <f>N20+N20*1.12%</f>
        <v>164.53598351633499</v>
      </c>
      <c r="P20" s="181">
        <f>O20+O20*1.15%</f>
        <v>166.42814732677286</v>
      </c>
      <c r="Q20" s="181">
        <f>P20+P20*1.05%</f>
        <v>168.17564287370396</v>
      </c>
      <c r="R20" s="181">
        <f>Q20+Q20*1.03%</f>
        <v>169.9078519953031</v>
      </c>
      <c r="S20" s="181">
        <f>R20+R20*1.02%</f>
        <v>171.6409120856552</v>
      </c>
      <c r="T20" s="181">
        <f>S20+S20*1.15%</f>
        <v>173.61478257464023</v>
      </c>
      <c r="U20" s="181">
        <f>T20+T20*1.18%</f>
        <v>175.66343700902098</v>
      </c>
      <c r="V20" s="181">
        <f>U20+U20*1.25%</f>
        <v>177.85922997163374</v>
      </c>
      <c r="W20" s="181">
        <f>V20+V20*1.15%</f>
        <v>179.90461111630754</v>
      </c>
      <c r="X20" s="181">
        <f>W20+W20*1.17%</f>
        <v>182.00949506636834</v>
      </c>
    </row>
    <row r="21" spans="1:24" ht="16.5" customHeight="1">
      <c r="A21" s="248" t="s">
        <v>194</v>
      </c>
      <c r="B21" s="249">
        <f>'Reference Values'!D6</f>
        <v>21300</v>
      </c>
      <c r="C21" s="249">
        <f>'Reference Values'!C13</f>
        <v>29242.25</v>
      </c>
      <c r="D21" s="394"/>
      <c r="E21" s="251">
        <f>(B21*C21)/10^7</f>
        <v>62.285992499999999</v>
      </c>
      <c r="F21" s="83"/>
      <c r="G21" s="3"/>
      <c r="H21" s="3"/>
      <c r="I21" s="3"/>
      <c r="J21" s="3"/>
      <c r="K21" s="3"/>
      <c r="L21" s="83"/>
      <c r="M21" s="3"/>
      <c r="N21" s="3"/>
      <c r="O21" s="3"/>
      <c r="P21" s="3"/>
      <c r="Q21" s="3"/>
      <c r="R21" s="3"/>
      <c r="S21" s="3"/>
      <c r="T21" s="3"/>
      <c r="U21" s="3"/>
      <c r="V21" s="3"/>
      <c r="W21" s="3"/>
      <c r="X21" s="3"/>
    </row>
    <row r="22" spans="1:24" ht="15.75" customHeight="1">
      <c r="A22" s="248" t="s">
        <v>302</v>
      </c>
      <c r="B22" s="249">
        <f>'Reference Values'!D5</f>
        <v>74700</v>
      </c>
      <c r="C22" s="249">
        <f>(E17*10000000)/100000</f>
        <v>10964.094722381518</v>
      </c>
      <c r="D22" s="394"/>
      <c r="E22" s="251">
        <f>(B22*C22)/10^7</f>
        <v>81.901787576189946</v>
      </c>
      <c r="F22" s="83"/>
      <c r="G22" s="3"/>
      <c r="H22" s="3"/>
      <c r="I22" s="3"/>
      <c r="J22" s="3"/>
      <c r="K22" s="3"/>
      <c r="L22" s="83"/>
      <c r="M22" s="3"/>
      <c r="N22" s="3"/>
      <c r="O22" s="3"/>
      <c r="P22" s="3"/>
      <c r="Q22" s="3"/>
      <c r="R22" s="3"/>
      <c r="S22" s="3"/>
      <c r="T22" s="3"/>
      <c r="U22" s="3"/>
      <c r="V22" s="3"/>
      <c r="W22" s="3"/>
      <c r="X22" s="3"/>
    </row>
    <row r="23" spans="1:24">
      <c r="A23" s="87" t="s">
        <v>4</v>
      </c>
      <c r="B23" s="4"/>
      <c r="C23" s="4"/>
      <c r="D23" s="395"/>
      <c r="E23" s="88">
        <v>0</v>
      </c>
      <c r="F23" s="285">
        <f>E23+E23*1.55%</f>
        <v>0</v>
      </c>
      <c r="G23" s="285">
        <f>F23+F23*1.57%</f>
        <v>0</v>
      </c>
      <c r="H23" s="285">
        <f>G23+G23*1.43%</f>
        <v>0</v>
      </c>
      <c r="I23" s="285">
        <f>H23+H23*1.4%</f>
        <v>0</v>
      </c>
      <c r="J23" s="285">
        <f>I23+I23*1.34%</f>
        <v>0</v>
      </c>
      <c r="K23" s="285">
        <f t="shared" ref="K23" si="1">J23+J23*1.34%</f>
        <v>0</v>
      </c>
      <c r="L23" s="285">
        <f t="shared" ref="L23" si="2">K23+K23*1.34%</f>
        <v>0</v>
      </c>
      <c r="M23" s="285">
        <f t="shared" ref="M23" si="3">L23+L23*1.34%</f>
        <v>0</v>
      </c>
      <c r="N23" s="285">
        <f t="shared" ref="N23" si="4">M23+M23*1.34%</f>
        <v>0</v>
      </c>
      <c r="O23" s="285">
        <f t="shared" ref="O23" si="5">N23+N23*1.34%</f>
        <v>0</v>
      </c>
      <c r="P23" s="285">
        <f t="shared" ref="P23" si="6">O23+O23*1.34%</f>
        <v>0</v>
      </c>
      <c r="Q23" s="285">
        <f t="shared" ref="Q23" si="7">P23+P23*1.34%</f>
        <v>0</v>
      </c>
      <c r="R23" s="285">
        <f t="shared" ref="R23" si="8">Q23+Q23*1.34%</f>
        <v>0</v>
      </c>
      <c r="S23" s="285">
        <f t="shared" ref="S23" si="9">R23+R23*1.34%</f>
        <v>0</v>
      </c>
      <c r="T23" s="285">
        <f t="shared" ref="T23" si="10">S23+S23*1.34%</f>
        <v>0</v>
      </c>
      <c r="U23" s="285">
        <f t="shared" ref="U23" si="11">T23+T23*1.34%</f>
        <v>0</v>
      </c>
      <c r="V23" s="285">
        <f t="shared" ref="V23" si="12">U23+U23*1.34%</f>
        <v>0</v>
      </c>
      <c r="W23" s="285">
        <f t="shared" ref="W23" si="13">V23+V23*1.34%</f>
        <v>0</v>
      </c>
      <c r="X23" s="285">
        <f t="shared" ref="X23" si="14">W23+W23*1.34%</f>
        <v>0</v>
      </c>
    </row>
    <row r="24" spans="1:24">
      <c r="A24" s="252" t="s">
        <v>7</v>
      </c>
      <c r="B24" s="250"/>
      <c r="C24" s="250"/>
      <c r="D24" s="394"/>
      <c r="E24" s="251">
        <f>E25+E26</f>
        <v>3.9887080916068411</v>
      </c>
      <c r="F24" s="2"/>
      <c r="G24" s="3"/>
      <c r="H24" s="3"/>
      <c r="I24" s="3"/>
      <c r="J24" s="3"/>
      <c r="K24" s="3"/>
      <c r="L24" s="83"/>
      <c r="M24" s="3"/>
      <c r="N24" s="3"/>
      <c r="O24" s="3"/>
      <c r="P24" s="3"/>
      <c r="Q24" s="3"/>
      <c r="R24" s="3"/>
      <c r="S24" s="3"/>
      <c r="T24" s="3"/>
      <c r="U24" s="3"/>
      <c r="V24" s="3"/>
      <c r="W24" s="3"/>
      <c r="X24" s="3"/>
    </row>
    <row r="25" spans="1:24">
      <c r="A25" s="87" t="s">
        <v>8</v>
      </c>
      <c r="B25" s="4"/>
      <c r="C25" s="4"/>
      <c r="D25" s="396">
        <v>0.01</v>
      </c>
      <c r="E25" s="88">
        <f>D25*'Reference Values'!C60</f>
        <v>3.8323</v>
      </c>
      <c r="F25" s="161"/>
      <c r="G25" s="3"/>
      <c r="H25" s="3"/>
      <c r="I25" s="82"/>
      <c r="J25" s="3"/>
      <c r="K25" s="3"/>
      <c r="L25" s="2"/>
      <c r="M25" s="3"/>
      <c r="N25" s="3"/>
      <c r="O25" s="3"/>
      <c r="P25" s="3"/>
      <c r="Q25" s="3"/>
      <c r="R25" s="3"/>
      <c r="S25" s="3"/>
      <c r="T25" s="3"/>
      <c r="U25" s="3"/>
      <c r="V25" s="3"/>
      <c r="W25" s="3"/>
      <c r="X25" s="3"/>
    </row>
    <row r="26" spans="1:24">
      <c r="A26" s="87" t="s">
        <v>9</v>
      </c>
      <c r="B26" s="4"/>
      <c r="C26" s="4"/>
      <c r="D26" s="395"/>
      <c r="E26" s="88">
        <f>'Reference Values'!C30/10^7</f>
        <v>0.15640809160684097</v>
      </c>
      <c r="F26" s="2"/>
      <c r="G26" s="3"/>
      <c r="H26" s="3"/>
      <c r="I26" s="3"/>
      <c r="J26" s="3"/>
      <c r="K26" s="3"/>
      <c r="L26" s="2"/>
      <c r="M26" s="3"/>
      <c r="N26" s="3"/>
      <c r="O26" s="3"/>
      <c r="P26" s="3"/>
      <c r="Q26" s="3"/>
      <c r="R26" s="3"/>
      <c r="S26" s="3"/>
      <c r="T26" s="3"/>
      <c r="U26" s="3"/>
      <c r="V26" s="3"/>
      <c r="W26" s="3"/>
      <c r="X26" s="3"/>
    </row>
    <row r="27" spans="1:24">
      <c r="A27" s="252" t="s">
        <v>11</v>
      </c>
      <c r="B27" s="250"/>
      <c r="C27" s="250"/>
      <c r="D27" s="399"/>
      <c r="E27" s="251">
        <f>E28</f>
        <v>7.6646000000000001</v>
      </c>
      <c r="F27" s="2"/>
      <c r="G27" s="3"/>
      <c r="H27" s="3"/>
      <c r="I27" s="3"/>
      <c r="J27" s="3"/>
      <c r="K27" s="3"/>
      <c r="L27" s="90"/>
      <c r="M27" s="3"/>
      <c r="N27" s="3"/>
      <c r="O27" s="3"/>
      <c r="P27" s="3"/>
      <c r="Q27" s="3"/>
      <c r="R27" s="3"/>
      <c r="S27" s="3"/>
      <c r="T27" s="3"/>
      <c r="U27" s="3"/>
      <c r="V27" s="3"/>
      <c r="W27" s="3"/>
      <c r="X27" s="3"/>
    </row>
    <row r="28" spans="1:24">
      <c r="A28" s="87" t="s">
        <v>277</v>
      </c>
      <c r="B28" s="4"/>
      <c r="C28" s="4"/>
      <c r="D28" s="397">
        <v>0.02</v>
      </c>
      <c r="E28" s="88">
        <f>'Reference Values'!C61*D28</f>
        <v>7.6646000000000001</v>
      </c>
      <c r="F28" s="2"/>
      <c r="G28" s="3"/>
      <c r="H28" s="3"/>
      <c r="I28" s="3"/>
      <c r="J28" s="3"/>
      <c r="K28" s="3"/>
      <c r="L28" s="2"/>
      <c r="M28" s="3"/>
      <c r="N28" s="3"/>
      <c r="O28" s="3"/>
      <c r="P28" s="3"/>
      <c r="Q28" s="3"/>
      <c r="R28" s="3"/>
      <c r="S28" s="3"/>
      <c r="T28" s="3"/>
      <c r="U28" s="3"/>
      <c r="V28" s="3"/>
      <c r="W28" s="3"/>
      <c r="X28" s="3"/>
    </row>
    <row r="29" spans="1:24">
      <c r="A29" s="245" t="s">
        <v>12</v>
      </c>
      <c r="B29" s="246"/>
      <c r="C29" s="246"/>
      <c r="D29" s="400"/>
      <c r="E29" s="247">
        <f>E27+E19</f>
        <v>155.84108816779678</v>
      </c>
      <c r="F29" s="2"/>
      <c r="G29" s="3"/>
      <c r="H29" s="162"/>
      <c r="I29" s="3"/>
      <c r="J29" s="3"/>
      <c r="K29" s="3"/>
      <c r="L29" s="2"/>
      <c r="M29" s="3"/>
      <c r="N29" s="3"/>
      <c r="O29" s="3"/>
      <c r="P29" s="3"/>
      <c r="Q29" s="3"/>
      <c r="R29" s="3"/>
      <c r="S29" s="3"/>
      <c r="T29" s="3"/>
      <c r="U29" s="3"/>
      <c r="V29" s="3"/>
      <c r="W29" s="3"/>
      <c r="X29" s="3"/>
    </row>
  </sheetData>
  <phoneticPr fontId="3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325F-BCCC-47C6-8D18-0634DEA35A88}">
  <sheetPr codeName="Sheet9"/>
  <dimension ref="A1:Z56"/>
  <sheetViews>
    <sheetView showGridLines="0" tabSelected="1" zoomScale="90" zoomScaleNormal="90" workbookViewId="0">
      <pane ySplit="8" topLeftCell="A9" activePane="bottomLeft" state="frozen"/>
      <selection activeCell="E28" sqref="E28"/>
      <selection pane="bottomLeft" activeCell="F19" sqref="F19"/>
    </sheetView>
  </sheetViews>
  <sheetFormatPr defaultColWidth="8.7109375" defaultRowHeight="12.75"/>
  <cols>
    <col min="1" max="1" width="8.85546875" style="200" bestFit="1" customWidth="1"/>
    <col min="2" max="2" width="60" style="201" bestFit="1" customWidth="1"/>
    <col min="3" max="3" width="20" style="201" bestFit="1" customWidth="1"/>
    <col min="4" max="4" width="8.140625" style="201" customWidth="1"/>
    <col min="5" max="5" width="20" style="201" bestFit="1" customWidth="1"/>
    <col min="6" max="6" width="11.140625" style="201" customWidth="1"/>
    <col min="7" max="7" width="18" style="203" bestFit="1" customWidth="1"/>
    <col min="8" max="8" width="17.140625" style="203" customWidth="1"/>
    <col min="9" max="9" width="18.5703125" style="203" bestFit="1" customWidth="1"/>
    <col min="10" max="10" width="18.7109375" style="203" bestFit="1" customWidth="1"/>
    <col min="11" max="11" width="18.5703125" style="203" bestFit="1" customWidth="1"/>
    <col min="12" max="16" width="18.7109375" style="203" bestFit="1" customWidth="1"/>
    <col min="17" max="17" width="15" style="203" customWidth="1"/>
    <col min="18" max="18" width="16.28515625" style="203" customWidth="1"/>
    <col min="19" max="19" width="16.42578125" style="203" customWidth="1"/>
    <col min="20" max="20" width="18" style="203" customWidth="1"/>
    <col min="21" max="21" width="18.7109375" style="203" customWidth="1"/>
    <col min="22" max="22" width="19.140625" style="203" customWidth="1"/>
    <col min="23" max="23" width="20.42578125" style="203" customWidth="1"/>
    <col min="24" max="24" width="19" style="203" customWidth="1"/>
    <col min="25" max="25" width="19.28515625" style="203" customWidth="1"/>
    <col min="26" max="16384" width="8.7109375" style="201"/>
  </cols>
  <sheetData>
    <row r="1" spans="1:25" ht="21" customHeight="1">
      <c r="A1" s="439" t="s">
        <v>290</v>
      </c>
      <c r="B1" s="440"/>
      <c r="C1" s="440"/>
      <c r="D1" s="440"/>
      <c r="E1" s="440"/>
      <c r="F1" s="149"/>
      <c r="G1" s="149"/>
      <c r="H1" s="149"/>
      <c r="I1" s="149"/>
      <c r="J1" s="149"/>
      <c r="K1" s="149"/>
      <c r="L1" s="149"/>
      <c r="M1" s="149"/>
      <c r="N1" s="149"/>
      <c r="O1" s="149"/>
      <c r="P1" s="149"/>
      <c r="Q1" s="149"/>
      <c r="R1" s="149"/>
      <c r="S1" s="149"/>
      <c r="T1" s="149"/>
      <c r="U1" s="149"/>
      <c r="V1" s="149"/>
      <c r="W1" s="149"/>
      <c r="X1" s="149"/>
      <c r="Y1" s="149"/>
    </row>
    <row r="2" spans="1:25" s="205" customFormat="1" ht="15" customHeight="1">
      <c r="A2" s="439" t="s">
        <v>185</v>
      </c>
      <c r="B2" s="440"/>
      <c r="C2" s="221">
        <v>1</v>
      </c>
      <c r="D2" s="221">
        <v>2</v>
      </c>
      <c r="E2" s="221">
        <v>3</v>
      </c>
      <c r="F2" s="221"/>
      <c r="G2" s="221">
        <v>5</v>
      </c>
      <c r="H2" s="221">
        <v>6</v>
      </c>
      <c r="I2" s="221">
        <v>7</v>
      </c>
      <c r="J2" s="221">
        <v>8</v>
      </c>
      <c r="K2" s="221">
        <v>9</v>
      </c>
      <c r="L2" s="221">
        <v>10</v>
      </c>
      <c r="M2" s="221">
        <v>11</v>
      </c>
      <c r="N2" s="221">
        <v>12</v>
      </c>
      <c r="O2" s="221">
        <v>13</v>
      </c>
      <c r="P2" s="221">
        <v>14</v>
      </c>
      <c r="Q2" s="221">
        <v>15</v>
      </c>
      <c r="R2" s="221">
        <v>16</v>
      </c>
      <c r="S2" s="221">
        <v>17</v>
      </c>
      <c r="T2" s="221">
        <v>18</v>
      </c>
      <c r="U2" s="221">
        <v>19</v>
      </c>
      <c r="V2" s="221">
        <v>20</v>
      </c>
      <c r="W2" s="221">
        <v>21</v>
      </c>
      <c r="X2" s="221">
        <v>22</v>
      </c>
      <c r="Y2" s="221">
        <v>23</v>
      </c>
    </row>
    <row r="3" spans="1:25" s="205" customFormat="1" ht="15" customHeight="1">
      <c r="A3" s="477" t="s">
        <v>90</v>
      </c>
      <c r="B3" s="478"/>
      <c r="C3" s="31"/>
      <c r="D3" s="31"/>
      <c r="E3" s="31"/>
      <c r="F3" s="31"/>
      <c r="G3" s="34">
        <v>0.5</v>
      </c>
      <c r="H3" s="34">
        <v>0.6</v>
      </c>
      <c r="I3" s="34">
        <v>0.7</v>
      </c>
      <c r="J3" s="34">
        <v>0.8</v>
      </c>
      <c r="K3" s="34">
        <v>0.8</v>
      </c>
      <c r="L3" s="34">
        <v>0.8</v>
      </c>
      <c r="M3" s="34">
        <v>0.8</v>
      </c>
      <c r="N3" s="34">
        <v>0.8</v>
      </c>
      <c r="O3" s="34">
        <v>0.8</v>
      </c>
      <c r="P3" s="34">
        <v>0.8</v>
      </c>
      <c r="Q3" s="34">
        <v>0.8</v>
      </c>
      <c r="R3" s="34">
        <v>0.8</v>
      </c>
      <c r="S3" s="34">
        <v>0.8</v>
      </c>
      <c r="T3" s="34">
        <v>0.8</v>
      </c>
      <c r="U3" s="34">
        <v>0.8</v>
      </c>
      <c r="V3" s="34">
        <v>0.8</v>
      </c>
      <c r="W3" s="34">
        <v>0.8</v>
      </c>
      <c r="X3" s="34">
        <v>0.8</v>
      </c>
      <c r="Y3" s="34">
        <v>0.8</v>
      </c>
    </row>
    <row r="4" spans="1:25" ht="15" customHeight="1">
      <c r="A4" s="475" t="s">
        <v>13</v>
      </c>
      <c r="B4" s="476"/>
      <c r="C4" s="213"/>
      <c r="D4" s="213"/>
      <c r="E4" s="213"/>
      <c r="F4" s="224"/>
      <c r="G4" s="469" t="s">
        <v>14</v>
      </c>
      <c r="H4" s="469"/>
      <c r="I4" s="469"/>
      <c r="J4" s="469"/>
      <c r="K4" s="469"/>
      <c r="L4" s="469"/>
      <c r="M4" s="469"/>
      <c r="N4" s="469"/>
      <c r="O4" s="469"/>
      <c r="P4" s="469"/>
      <c r="Q4" s="469" t="s">
        <v>14</v>
      </c>
      <c r="R4" s="469"/>
      <c r="S4" s="469"/>
      <c r="T4" s="469"/>
      <c r="U4" s="469"/>
      <c r="V4" s="469"/>
      <c r="W4" s="469"/>
      <c r="X4" s="469"/>
      <c r="Y4" s="469"/>
    </row>
    <row r="5" spans="1:25">
      <c r="A5" s="225"/>
      <c r="B5" s="470"/>
      <c r="C5" s="226">
        <v>2023</v>
      </c>
      <c r="D5" s="226">
        <v>2024</v>
      </c>
      <c r="E5" s="226">
        <v>2025</v>
      </c>
      <c r="F5" s="226" t="s">
        <v>79</v>
      </c>
      <c r="G5" s="226">
        <v>2026</v>
      </c>
      <c r="H5" s="226">
        <v>2027</v>
      </c>
      <c r="I5" s="226">
        <v>2028</v>
      </c>
      <c r="J5" s="226">
        <v>2029</v>
      </c>
      <c r="K5" s="226">
        <v>2030</v>
      </c>
      <c r="L5" s="226">
        <v>2031</v>
      </c>
      <c r="M5" s="226">
        <v>2032</v>
      </c>
      <c r="N5" s="226">
        <v>2033</v>
      </c>
      <c r="O5" s="226">
        <v>2034</v>
      </c>
      <c r="P5" s="226">
        <v>2035</v>
      </c>
      <c r="Q5" s="226">
        <v>2036</v>
      </c>
      <c r="R5" s="226">
        <v>2037</v>
      </c>
      <c r="S5" s="226">
        <v>2038</v>
      </c>
      <c r="T5" s="226">
        <v>2039</v>
      </c>
      <c r="U5" s="226">
        <v>2040</v>
      </c>
      <c r="V5" s="226">
        <v>2041</v>
      </c>
      <c r="W5" s="226">
        <v>2042</v>
      </c>
      <c r="X5" s="226">
        <v>2043</v>
      </c>
      <c r="Y5" s="226">
        <v>2044</v>
      </c>
    </row>
    <row r="6" spans="1:25">
      <c r="A6" s="227"/>
      <c r="B6" s="471"/>
      <c r="C6" s="228">
        <v>0.1</v>
      </c>
      <c r="D6" s="228">
        <v>0.4</v>
      </c>
      <c r="E6" s="228">
        <v>0.5</v>
      </c>
      <c r="F6" s="229"/>
      <c r="G6" s="222"/>
      <c r="H6" s="222"/>
      <c r="I6" s="222"/>
      <c r="J6" s="222"/>
      <c r="K6" s="222"/>
      <c r="L6" s="222"/>
      <c r="M6" s="223"/>
      <c r="N6" s="222"/>
      <c r="O6" s="223"/>
      <c r="P6" s="222"/>
      <c r="Q6" s="230"/>
      <c r="R6" s="230"/>
      <c r="S6" s="230"/>
      <c r="T6" s="230"/>
      <c r="U6" s="230"/>
      <c r="V6" s="230"/>
      <c r="W6" s="230"/>
      <c r="X6" s="230"/>
      <c r="Y6" s="230"/>
    </row>
    <row r="7" spans="1:25" ht="19.5" customHeight="1">
      <c r="A7" s="473" t="s">
        <v>96</v>
      </c>
      <c r="B7" s="474"/>
      <c r="C7" s="474"/>
      <c r="D7" s="474"/>
      <c r="E7" s="474"/>
      <c r="F7" s="474"/>
      <c r="G7" s="35"/>
      <c r="H7" s="35"/>
      <c r="I7" s="35"/>
      <c r="J7" s="35"/>
      <c r="K7" s="35"/>
      <c r="L7" s="35"/>
      <c r="M7" s="36"/>
      <c r="N7" s="35"/>
      <c r="O7" s="36"/>
      <c r="P7" s="35"/>
      <c r="Q7" s="37"/>
      <c r="R7" s="37"/>
      <c r="S7" s="37"/>
      <c r="T7" s="37"/>
      <c r="U7" s="37"/>
      <c r="V7" s="37"/>
      <c r="W7" s="37"/>
      <c r="X7" s="37"/>
      <c r="Y7" s="37"/>
    </row>
    <row r="8" spans="1:25" ht="21.75" customHeight="1">
      <c r="A8" s="38">
        <v>1</v>
      </c>
      <c r="B8" s="39" t="s">
        <v>94</v>
      </c>
      <c r="C8" s="40">
        <f>ROUND($F8*C$6,2)</f>
        <v>56.46</v>
      </c>
      <c r="D8" s="40">
        <f>ROUND($F8*D$6,2)</f>
        <v>225.82</v>
      </c>
      <c r="E8" s="40">
        <f>ROUND($F8*E$6,2)</f>
        <v>282.27999999999997</v>
      </c>
      <c r="F8" s="174">
        <f>Capex!D15</f>
        <v>564.54999999999995</v>
      </c>
      <c r="G8" s="41"/>
      <c r="H8" s="42"/>
      <c r="I8" s="41"/>
      <c r="J8" s="41"/>
      <c r="K8" s="41"/>
      <c r="L8" s="41"/>
      <c r="M8" s="43"/>
      <c r="N8" s="41"/>
      <c r="O8" s="41"/>
      <c r="P8" s="41"/>
      <c r="Q8" s="44"/>
      <c r="R8" s="44"/>
      <c r="S8" s="44"/>
      <c r="T8" s="44"/>
      <c r="U8" s="44"/>
      <c r="V8" s="44"/>
      <c r="W8" s="44"/>
      <c r="X8" s="44"/>
      <c r="Y8" s="44"/>
    </row>
    <row r="9" spans="1:25" s="205" customFormat="1" ht="25.5" customHeight="1">
      <c r="A9" s="45"/>
      <c r="B9" s="184" t="s">
        <v>95</v>
      </c>
      <c r="C9" s="231">
        <f>SUM(C8:C8)</f>
        <v>56.46</v>
      </c>
      <c r="D9" s="231">
        <f>SUM(D8:D8)</f>
        <v>225.82</v>
      </c>
      <c r="E9" s="231">
        <f>SUM(E8:E8)</f>
        <v>282.27999999999997</v>
      </c>
      <c r="F9" s="232">
        <f>-F8</f>
        <v>-564.54999999999995</v>
      </c>
      <c r="G9" s="46"/>
      <c r="H9" s="46"/>
      <c r="I9" s="46"/>
      <c r="J9" s="46"/>
      <c r="K9" s="46"/>
      <c r="L9" s="46"/>
      <c r="M9" s="47"/>
      <c r="N9" s="47"/>
      <c r="O9" s="47"/>
      <c r="P9" s="47"/>
      <c r="Q9" s="48"/>
      <c r="R9" s="48"/>
      <c r="S9" s="48"/>
      <c r="T9" s="48"/>
      <c r="U9" s="48"/>
      <c r="V9" s="48"/>
      <c r="W9" s="48"/>
      <c r="X9" s="48"/>
      <c r="Y9" s="48"/>
    </row>
    <row r="10" spans="1:25">
      <c r="A10" s="49">
        <v>2</v>
      </c>
      <c r="B10" s="50" t="s">
        <v>15</v>
      </c>
      <c r="C10" s="50"/>
      <c r="D10" s="50"/>
      <c r="E10" s="50"/>
      <c r="F10" s="51"/>
      <c r="G10" s="52">
        <f>G11+G12</f>
        <v>223.32970879999999</v>
      </c>
      <c r="H10" s="52">
        <f t="shared" ref="H10:Y10" si="0">H11+H12</f>
        <v>280.05545483519995</v>
      </c>
      <c r="I10" s="52">
        <f t="shared" si="0"/>
        <v>341.43427535324798</v>
      </c>
      <c r="J10" s="52">
        <f t="shared" si="0"/>
        <v>407.77007742187885</v>
      </c>
      <c r="K10" s="52">
        <f t="shared" si="0"/>
        <v>426.11973090586343</v>
      </c>
      <c r="L10" s="52">
        <f t="shared" si="0"/>
        <v>445.29511879662715</v>
      </c>
      <c r="M10" s="52">
        <f t="shared" si="0"/>
        <v>465.3333991424754</v>
      </c>
      <c r="N10" s="52">
        <f t="shared" si="0"/>
        <v>486.27340210388661</v>
      </c>
      <c r="O10" s="52">
        <f t="shared" si="0"/>
        <v>508.15570519856152</v>
      </c>
      <c r="P10" s="52">
        <f t="shared" si="0"/>
        <v>531.02271193249669</v>
      </c>
      <c r="Q10" s="52">
        <f t="shared" si="0"/>
        <v>554.91873396945903</v>
      </c>
      <c r="R10" s="52">
        <f t="shared" si="0"/>
        <v>579.89007699808462</v>
      </c>
      <c r="S10" s="52">
        <f t="shared" si="0"/>
        <v>605.98513046299831</v>
      </c>
      <c r="T10" s="52">
        <f t="shared" si="0"/>
        <v>633.25446133383321</v>
      </c>
      <c r="U10" s="52">
        <f t="shared" si="0"/>
        <v>661.75091209385573</v>
      </c>
      <c r="V10" s="52">
        <f t="shared" si="0"/>
        <v>691.52970313807896</v>
      </c>
      <c r="W10" s="52">
        <f t="shared" si="0"/>
        <v>722.64853977929261</v>
      </c>
      <c r="X10" s="52">
        <f t="shared" si="0"/>
        <v>755.16772406936047</v>
      </c>
      <c r="Y10" s="52">
        <f t="shared" si="0"/>
        <v>789.15027165248171</v>
      </c>
    </row>
    <row r="11" spans="1:25" s="205" customFormat="1">
      <c r="A11" s="53"/>
      <c r="B11" s="32" t="s">
        <v>195</v>
      </c>
      <c r="C11" s="32"/>
      <c r="D11" s="32"/>
      <c r="E11" s="32"/>
      <c r="F11" s="54">
        <v>1</v>
      </c>
      <c r="G11" s="55">
        <f>IF(G$2&lt;=$C$47,0,'Reference Values'!$C$56*G$3*(1+$C$46)^(G$2-$C$47-1))</f>
        <v>23.092033799999996</v>
      </c>
      <c r="H11" s="55">
        <f>IF(H$2&lt;=$C$47,0,'Reference Values'!$C$56*H$3*(1+$C$46)^(H$2-$C$47-1))</f>
        <v>28.957410385199992</v>
      </c>
      <c r="I11" s="55">
        <f>IF(I$2&lt;=$C$47,0,'Reference Values'!$C$56*I$3*(1+$C$46)^(I$2-$C$47-1))</f>
        <v>35.303909494622985</v>
      </c>
      <c r="J11" s="55">
        <f>IF(J$2&lt;=$C$47,0,'Reference Values'!$C$56*J$3*(1+$C$46)^(J$2-$C$47-1))</f>
        <v>42.162954767864015</v>
      </c>
      <c r="K11" s="55">
        <f>IF(K$2&lt;=$C$47,0,'Reference Values'!$C$56*K$3*(1+$C$46)^(K$2-$C$47-1))</f>
        <v>44.060287732417898</v>
      </c>
      <c r="L11" s="55">
        <f>IF(L$2&lt;=$C$47,0,'Reference Values'!$C$56*L$3*(1+$C$46)^(L$2-$C$47-1))</f>
        <v>46.043000680376693</v>
      </c>
      <c r="M11" s="55">
        <f>IF(M$2&lt;=$C$47,0,'Reference Values'!$C$56*M$3*(1+$C$46)^(M$2-$C$47-1))</f>
        <v>48.114935710993649</v>
      </c>
      <c r="N11" s="55">
        <f>IF(N$2&lt;=$C$47,0,'Reference Values'!$C$56*N$3*(1+$C$46)^(N$2-$C$47-1))</f>
        <v>50.280107817988345</v>
      </c>
      <c r="O11" s="55">
        <f>IF(O$2&lt;=$C$47,0,'Reference Values'!$C$56*O$3*(1+$C$46)^(O$2-$C$47-1))</f>
        <v>52.542712669797822</v>
      </c>
      <c r="P11" s="55">
        <f>IF(P$2&lt;=$C$47,0,'Reference Values'!$C$56*P$3*(1+$C$46)^(P$2-$C$47-1))</f>
        <v>54.907134739938712</v>
      </c>
      <c r="Q11" s="55">
        <f>IF(Q$2&lt;=$C$47,0,'Reference Values'!$C$56*Q$3*(1+$C$46)^(Q$2-$C$47-1))</f>
        <v>57.377955803235956</v>
      </c>
      <c r="R11" s="55">
        <f>IF(R$2&lt;=$C$47,0,'Reference Values'!$C$56*R$3*(1+$C$46)^(R$2-$C$47-1))</f>
        <v>59.95996381438156</v>
      </c>
      <c r="S11" s="55">
        <f>IF(S$2&lt;=$C$47,0,'Reference Values'!$C$56*S$3*(1+$C$46)^(S$2-$C$47-1))</f>
        <v>62.658162186028733</v>
      </c>
      <c r="T11" s="55">
        <f>IF(T$2&lt;=$C$47,0,'Reference Values'!$C$56*T$3*(1+$C$46)^(T$2-$C$47-1))</f>
        <v>65.477779484400003</v>
      </c>
      <c r="U11" s="55">
        <f>IF(U$2&lt;=$C$47,0,'Reference Values'!$C$56*U$3*(1+$C$46)^(U$2-$C$47-1))</f>
        <v>68.42427956119802</v>
      </c>
      <c r="V11" s="55">
        <f>IF(V$2&lt;=$C$47,0,'Reference Values'!$C$56*V$3*(1+$C$46)^(V$2-$C$47-1))</f>
        <v>71.503372141451891</v>
      </c>
      <c r="W11" s="55">
        <f>IF(W$2&lt;=$C$47,0,'Reference Values'!$C$56*W$3*(1+$C$46)^(W$2-$C$47-1))</f>
        <v>74.721023887817239</v>
      </c>
      <c r="X11" s="55">
        <f>IF(X$2&lt;=$C$47,0,'Reference Values'!$C$56*X$3*(1+$C$46)^(X$2-$C$47-1))</f>
        <v>78.083469962768987</v>
      </c>
      <c r="Y11" s="55">
        <f>IF(Y$2&lt;=$C$47,0,'Reference Values'!$C$56*Y$3*(1+$C$46)^(Y$2-$C$47-1))</f>
        <v>81.59722611109359</v>
      </c>
    </row>
    <row r="12" spans="1:25" s="205" customFormat="1">
      <c r="A12" s="53"/>
      <c r="B12" s="32" t="s">
        <v>274</v>
      </c>
      <c r="C12" s="32"/>
      <c r="D12" s="32"/>
      <c r="E12" s="32"/>
      <c r="F12" s="54"/>
      <c r="G12" s="55">
        <f>IF(G$2&lt;=$C$47,0,'Reference Values'!$C$61*G$3*(1+$C$46)^(G$2-$C$47-1))</f>
        <v>200.237675</v>
      </c>
      <c r="H12" s="55">
        <f>IF(H$2&lt;=$C$47,0,'Reference Values'!$C$61*H$3*(1+$C$46)^(H$2-$C$47-1))</f>
        <v>251.09804444999997</v>
      </c>
      <c r="I12" s="55">
        <f>IF(I$2&lt;=$C$47,0,'Reference Values'!$C$61*I$3*(1+$C$46)^(I$2-$C$47-1))</f>
        <v>306.130365858625</v>
      </c>
      <c r="J12" s="55">
        <f>IF(J$2&lt;=$C$47,0,'Reference Values'!$C$61*J$3*(1+$C$46)^(J$2-$C$47-1))</f>
        <v>365.60712265401486</v>
      </c>
      <c r="K12" s="55">
        <f>IF(K$2&lt;=$C$47,0,'Reference Values'!$C$61*K$3*(1+$C$46)^(K$2-$C$47-1))</f>
        <v>382.05944317344552</v>
      </c>
      <c r="L12" s="55">
        <f>IF(L$2&lt;=$C$47,0,'Reference Values'!$C$61*L$3*(1+$C$46)^(L$2-$C$47-1))</f>
        <v>399.25211811625047</v>
      </c>
      <c r="M12" s="55">
        <f>IF(M$2&lt;=$C$47,0,'Reference Values'!$C$61*M$3*(1+$C$46)^(M$2-$C$47-1))</f>
        <v>417.21846343148178</v>
      </c>
      <c r="N12" s="55">
        <f>IF(N$2&lt;=$C$47,0,'Reference Values'!$C$61*N$3*(1+$C$46)^(N$2-$C$47-1))</f>
        <v>435.99329428589829</v>
      </c>
      <c r="O12" s="55">
        <f>IF(O$2&lt;=$C$47,0,'Reference Values'!$C$61*O$3*(1+$C$46)^(O$2-$C$47-1))</f>
        <v>455.6129925287637</v>
      </c>
      <c r="P12" s="55">
        <f>IF(P$2&lt;=$C$47,0,'Reference Values'!$C$61*P$3*(1+$C$46)^(P$2-$C$47-1))</f>
        <v>476.11557719255796</v>
      </c>
      <c r="Q12" s="55">
        <f>IF(Q$2&lt;=$C$47,0,'Reference Values'!$C$61*Q$3*(1+$C$46)^(Q$2-$C$47-1))</f>
        <v>497.54077816622311</v>
      </c>
      <c r="R12" s="55">
        <f>IF(R$2&lt;=$C$47,0,'Reference Values'!$C$61*R$3*(1+$C$46)^(R$2-$C$47-1))</f>
        <v>519.93011318370304</v>
      </c>
      <c r="S12" s="55">
        <f>IF(S$2&lt;=$C$47,0,'Reference Values'!$C$61*S$3*(1+$C$46)^(S$2-$C$47-1))</f>
        <v>543.32696827696964</v>
      </c>
      <c r="T12" s="55">
        <f>IF(T$2&lt;=$C$47,0,'Reference Values'!$C$61*T$3*(1+$C$46)^(T$2-$C$47-1))</f>
        <v>567.7766818494332</v>
      </c>
      <c r="U12" s="55">
        <f>IF(U$2&lt;=$C$47,0,'Reference Values'!$C$61*U$3*(1+$C$46)^(U$2-$C$47-1))</f>
        <v>593.32663253265775</v>
      </c>
      <c r="V12" s="55">
        <f>IF(V$2&lt;=$C$47,0,'Reference Values'!$C$61*V$3*(1+$C$46)^(V$2-$C$47-1))</f>
        <v>620.02633099662705</v>
      </c>
      <c r="W12" s="55">
        <f>IF(W$2&lt;=$C$47,0,'Reference Values'!$C$61*W$3*(1+$C$46)^(W$2-$C$47-1))</f>
        <v>647.92751589147531</v>
      </c>
      <c r="X12" s="55">
        <f>IF(X$2&lt;=$C$47,0,'Reference Values'!$C$61*X$3*(1+$C$46)^(X$2-$C$47-1))</f>
        <v>677.08425410659152</v>
      </c>
      <c r="Y12" s="55">
        <f>IF(Y$2&lt;=$C$47,0,'Reference Values'!$C$61*Y$3*(1+$C$46)^(Y$2-$C$47-1))</f>
        <v>707.55304554138809</v>
      </c>
    </row>
    <row r="13" spans="1:25">
      <c r="A13" s="53"/>
      <c r="B13" s="56"/>
      <c r="C13" s="56"/>
      <c r="D13" s="56"/>
      <c r="E13" s="56"/>
      <c r="F13" s="57"/>
      <c r="G13" s="58"/>
      <c r="H13" s="58"/>
      <c r="I13" s="58"/>
      <c r="J13" s="58"/>
      <c r="K13" s="58"/>
      <c r="L13" s="58"/>
      <c r="M13" s="58"/>
      <c r="N13" s="58"/>
      <c r="O13" s="58"/>
      <c r="P13" s="58"/>
      <c r="Q13" s="58"/>
      <c r="R13" s="58"/>
      <c r="S13" s="58"/>
      <c r="T13" s="58"/>
      <c r="U13" s="58"/>
      <c r="V13" s="58"/>
      <c r="W13" s="58"/>
      <c r="X13" s="58"/>
      <c r="Y13" s="58"/>
    </row>
    <row r="14" spans="1:25">
      <c r="A14" s="49">
        <v>3</v>
      </c>
      <c r="B14" s="50" t="s">
        <v>66</v>
      </c>
      <c r="C14" s="50"/>
      <c r="D14" s="50"/>
      <c r="E14" s="50"/>
      <c r="F14" s="65"/>
      <c r="G14" s="41"/>
      <c r="H14" s="41"/>
      <c r="I14" s="41"/>
      <c r="J14" s="41"/>
      <c r="K14" s="41"/>
      <c r="L14" s="41"/>
      <c r="M14" s="41"/>
      <c r="N14" s="41"/>
      <c r="O14" s="41"/>
      <c r="P14" s="41"/>
      <c r="Q14" s="44"/>
      <c r="R14" s="44"/>
      <c r="S14" s="44"/>
      <c r="T14" s="44"/>
      <c r="U14" s="44"/>
      <c r="V14" s="44"/>
      <c r="W14" s="44"/>
      <c r="X14" s="44"/>
      <c r="Y14" s="44"/>
    </row>
    <row r="15" spans="1:25">
      <c r="A15" s="53"/>
      <c r="B15" s="59" t="s">
        <v>16</v>
      </c>
      <c r="C15" s="59"/>
      <c r="D15" s="59"/>
      <c r="E15" s="59"/>
      <c r="F15" s="66">
        <f t="shared" ref="F15:F20" si="1">I15/$I$21</f>
        <v>0.81762747814450532</v>
      </c>
      <c r="G15" s="55">
        <f>IF(G$2&lt;=$C$47,0,(Opex!E3+Opex!E20)*G$3*(1+$C$46)^(G$2-$C$47-1))</f>
        <v>119.26545751168423</v>
      </c>
      <c r="H15" s="55">
        <f>IF(H$2&lt;=$C$47,0,(Opex!F3+Opex!F20)*H$3*(1+$C$46)^(H$2-$C$47-1))</f>
        <v>151.66766398009909</v>
      </c>
      <c r="I15" s="55">
        <f>IF(I$2&lt;=$C$47,0,(Opex!G3+Opex!G20)*I$3*(1+$C$46)^(I$2-$C$47-1))</f>
        <v>187.75574600490788</v>
      </c>
      <c r="J15" s="55">
        <f>IF(J$2&lt;=$C$47,0,(Opex!H3+Opex!H20)*J$3*(1+$C$46)^(J$2-$C$47-1))</f>
        <v>227.53024510558063</v>
      </c>
      <c r="K15" s="55">
        <f>IF(K$2&lt;=$C$47,0,(Opex!I3+Opex!I20)*K$3*(1+$C$46)^(K$2-$C$47-1))</f>
        <v>240.64611231956926</v>
      </c>
      <c r="L15" s="55">
        <f>IF(L$2&lt;=$C$47,0,(Opex!J3+Opex!J20)*L$3*(1+$C$46)^(L$2-$C$47-1))</f>
        <v>254.84495488476074</v>
      </c>
      <c r="M15" s="55">
        <f>IF(M$2&lt;=$C$47,0,(Opex!K3+Opex!K20)*M$3*(1+$C$46)^(M$2-$C$47-1))</f>
        <v>269.80167786446992</v>
      </c>
      <c r="N15" s="55">
        <f>IF(N$2&lt;=$C$47,0,(Opex!L3+Opex!L20)*N$3*(1+$C$46)^(N$2-$C$47-1))</f>
        <v>285.74898053884397</v>
      </c>
      <c r="O15" s="55">
        <f>IF(O$2&lt;=$C$47,0,(Opex!M3+Opex!M20)*O$3*(1+$C$46)^(O$2-$C$47-1))</f>
        <v>303.08679993303832</v>
      </c>
      <c r="P15" s="55">
        <f>IF(P$2&lt;=$C$47,0,(Opex!N3+Opex!N20)*P$3*(1+$C$46)^(P$2-$C$47-1))</f>
        <v>320.01965327169728</v>
      </c>
      <c r="Q15" s="55">
        <f>IF(Q$2&lt;=$C$47,0,(Opex!O3+Opex!O20)*Q$3*(1+$C$46)^(Q$2-$C$47-1))</f>
        <v>338.16604769081562</v>
      </c>
      <c r="R15" s="55">
        <f>IF(R$2&lt;=$C$47,0,(Opex!P3+Opex!P20)*R$3*(1+$C$46)^(R$2-$C$47-1))</f>
        <v>357.44743031502657</v>
      </c>
      <c r="S15" s="55">
        <f>IF(S$2&lt;=$C$47,0,(Opex!Q3+Opex!Q20)*S$3*(1+$C$46)^(S$2-$C$47-1))</f>
        <v>377.4546566083344</v>
      </c>
      <c r="T15" s="55">
        <f>IF(T$2&lt;=$C$47,0,(Opex!R3+Opex!R20)*T$3*(1+$C$46)^(T$2-$C$47-1))</f>
        <v>398.50284935211312</v>
      </c>
      <c r="U15" s="55">
        <f>IF(U$2&lt;=$C$47,0,(Opex!S3+Opex!S20)*U$3*(1+$C$46)^(U$2-$C$47-1))</f>
        <v>420.68311944420248</v>
      </c>
      <c r="V15" s="55">
        <f>IF(V$2&lt;=$C$47,0,(Opex!T3+Opex!T20)*V$3*(1+$C$46)^(V$2-$C$47-1))</f>
        <v>444.66941920711207</v>
      </c>
      <c r="W15" s="55">
        <f>IF(W$2&lt;=$C$47,0,(Opex!U3+Opex!U20)*W$3*(1+$C$46)^(W$2-$C$47-1))</f>
        <v>470.16276167967499</v>
      </c>
      <c r="X15" s="55">
        <f>IF(X$2&lt;=$C$47,0,(Opex!V3+Opex!V20)*X$3*(1+$C$46)^(X$2-$C$47-1))</f>
        <v>497.46158702970109</v>
      </c>
      <c r="Y15" s="55">
        <f>IF(Y$2&lt;=$C$47,0,(Opex!W3+Opex!W20)*Y$3*(1+$C$46)^(Y$2-$C$47-1))</f>
        <v>525.82560306816708</v>
      </c>
    </row>
    <row r="16" spans="1:25">
      <c r="A16" s="53"/>
      <c r="B16" s="59" t="s">
        <v>157</v>
      </c>
      <c r="C16" s="59"/>
      <c r="D16" s="59"/>
      <c r="E16" s="59"/>
      <c r="F16" s="66">
        <f t="shared" si="1"/>
        <v>6.7670007019259544E-3</v>
      </c>
      <c r="G16" s="55">
        <f>IF(G$2&lt;=$C$47,0,(Opex!E5+Opex!E23)*G$3*(1+$C$46)^(G$2-$C$47-1))</f>
        <v>0.98543499999999984</v>
      </c>
      <c r="H16" s="55">
        <f>IF(H$2&lt;=$C$47,0,(Opex!F5+Opex!F23)*H$3*(1+$C$46)^(H$2-$C$47-1))</f>
        <v>1.2548893900949998</v>
      </c>
      <c r="I16" s="55">
        <f>IF(I$2&lt;=$C$47,0,(Opex!G5+Opex!G23)*I$3*(1+$C$46)^(I$2-$C$47-1))</f>
        <v>1.5539390479991797</v>
      </c>
      <c r="J16" s="55">
        <f>IF(J$2&lt;=$C$47,0,(Opex!H5+Opex!H23)*J$3*(1+$C$46)^(J$2-$C$47-1))</f>
        <v>1.882385820940478</v>
      </c>
      <c r="K16" s="55">
        <f>IF(K$2&lt;=$C$47,0,(Opex!I5+Opex!I23)*K$3*(1+$C$46)^(K$2-$C$47-1))</f>
        <v>1.9946324874431587</v>
      </c>
      <c r="L16" s="55">
        <f>IF(L$2&lt;=$C$47,0,(Opex!J5+Opex!J23)*L$3*(1+$C$46)^(L$2-$C$47-1))</f>
        <v>2.1123217880997665</v>
      </c>
      <c r="M16" s="55">
        <f>IF(M$2&lt;=$C$47,0,(Opex!K5+Opex!K23)*M$3*(1+$C$46)^(M$2-$C$47-1))</f>
        <v>2.236955110563017</v>
      </c>
      <c r="N16" s="55">
        <f>IF(N$2&lt;=$C$47,0,(Opex!L5+Opex!L23)*N$3*(1+$C$46)^(N$2-$C$47-1))</f>
        <v>2.3689421729515661</v>
      </c>
      <c r="O16" s="55">
        <f>IF(O$2&lt;=$C$47,0,(Opex!M5+Opex!M23)*O$3*(1+$C$46)^(O$2-$C$47-1))</f>
        <v>2.5087168679822276</v>
      </c>
      <c r="P16" s="55">
        <f>IF(P$2&lt;=$C$47,0,(Opex!N5+Opex!N23)*P$3*(1+$C$46)^(P$2-$C$47-1))</f>
        <v>2.6567386893437823</v>
      </c>
      <c r="Q16" s="55">
        <f>IF(Q$2&lt;=$C$47,0,(Opex!O5+Opex!O23)*Q$3*(1+$C$46)^(Q$2-$C$47-1))</f>
        <v>2.8134942422311333</v>
      </c>
      <c r="R16" s="55">
        <f>IF(R$2&lt;=$C$47,0,(Opex!P5+Opex!P23)*R$3*(1+$C$46)^(R$2-$C$47-1))</f>
        <v>2.9794988430054961</v>
      </c>
      <c r="S16" s="55">
        <f>IF(S$2&lt;=$C$47,0,(Opex!Q5+Opex!Q23)*S$3*(1+$C$46)^(S$2-$C$47-1))</f>
        <v>3.155298213239349</v>
      </c>
      <c r="T16" s="55">
        <f>IF(T$2&lt;=$C$47,0,(Opex!R5+Opex!R23)*T$3*(1+$C$46)^(T$2-$C$47-1))</f>
        <v>3.3414702737151094</v>
      </c>
      <c r="U16" s="55">
        <f>IF(U$2&lt;=$C$47,0,(Opex!S5+Opex!S23)*U$3*(1+$C$46)^(U$2-$C$47-1))</f>
        <v>3.5386270442751226</v>
      </c>
      <c r="V16" s="55">
        <f>IF(V$2&lt;=$C$47,0,(Opex!T5+Opex!T23)*V$3*(1+$C$46)^(V$2-$C$47-1))</f>
        <v>3.7474166557684865</v>
      </c>
      <c r="W16" s="55">
        <f>IF(W$2&lt;=$C$47,0,(Opex!U5+Opex!U23)*W$3*(1+$C$46)^(W$2-$C$47-1))</f>
        <v>3.9685254807087942</v>
      </c>
      <c r="X16" s="55">
        <f>IF(X$2&lt;=$C$47,0,(Opex!V5+Opex!V23)*X$3*(1+$C$46)^(X$2-$C$47-1))</f>
        <v>4.202680389647055</v>
      </c>
      <c r="Y16" s="55">
        <f>IF(Y$2&lt;=$C$47,0,(Opex!W5+Opex!W23)*Y$3*(1+$C$46)^(Y$2-$C$47-1))</f>
        <v>4.4506511406774001</v>
      </c>
    </row>
    <row r="17" spans="1:25">
      <c r="A17" s="53"/>
      <c r="B17" s="59" t="s">
        <v>17</v>
      </c>
      <c r="C17" s="59"/>
      <c r="D17" s="59"/>
      <c r="E17" s="59"/>
      <c r="F17" s="66">
        <f t="shared" si="1"/>
        <v>5.0837799811680517E-2</v>
      </c>
      <c r="G17" s="55">
        <f>IF(G$2&lt;=$C$47,0,Opex!$E$6*(1+$C$46)^(G$2-$C$47-1))</f>
        <v>10.69035</v>
      </c>
      <c r="H17" s="55">
        <f>IF(H$2&lt;=$C$47,0,Opex!$E$6*(1+$C$46)^(H$2-$C$47-1))</f>
        <v>11.171415749999998</v>
      </c>
      <c r="I17" s="55">
        <f>IF(I$2&lt;=$C$47,0,Opex!$E$6*(1+$C$46)^(I$2-$C$47-1))</f>
        <v>11.674129458749999</v>
      </c>
      <c r="J17" s="55">
        <f>IF(J$2&lt;=$C$47,0,Opex!$E$6*(1+$C$46)^(J$2-$C$47-1))</f>
        <v>12.199465284393746</v>
      </c>
      <c r="K17" s="55">
        <f>IF(K$2&lt;=$C$47,0,Opex!$E$6*(1+$C$46)^(K$2-$C$47-1))</f>
        <v>12.748441222191463</v>
      </c>
      <c r="L17" s="55">
        <f>IF(L$2&lt;=$C$47,0,Opex!$E$6*(1+$C$46)^(L$2-$C$47-1))</f>
        <v>13.322121077190076</v>
      </c>
      <c r="M17" s="55">
        <f>IF(M$2&lt;=$C$47,0,Opex!$E$6*(1+$C$46)^(M$2-$C$47-1))</f>
        <v>13.92161652566363</v>
      </c>
      <c r="N17" s="55">
        <f>IF(N$2&lt;=$C$47,0,Opex!$E$6*(1+$C$46)^(N$2-$C$47-1))</f>
        <v>14.54808926931849</v>
      </c>
      <c r="O17" s="55">
        <f>IF(O$2&lt;=$C$47,0,Opex!$E$6*(1+$C$46)^(O$2-$C$47-1))</f>
        <v>15.202753286437821</v>
      </c>
      <c r="P17" s="55">
        <f>IF(P$2&lt;=$C$47,0,Opex!$E$6*(1+$C$46)^(P$2-$C$47-1))</f>
        <v>15.88687718432752</v>
      </c>
      <c r="Q17" s="55">
        <f>IF(Q$2&lt;=$C$47,0,Opex!$E$6*(1+$C$46)^(Q$2-$C$47-1))</f>
        <v>16.601786657622259</v>
      </c>
      <c r="R17" s="55">
        <f>IF(R$2&lt;=$C$47,0,Opex!$E$6*(1+$C$46)^(R$2-$C$47-1))</f>
        <v>17.348867057215255</v>
      </c>
      <c r="S17" s="55">
        <f>IF(S$2&lt;=$C$47,0,Opex!$E$6*(1+$C$46)^(S$2-$C$47-1))</f>
        <v>18.129566074789945</v>
      </c>
      <c r="T17" s="55">
        <f>IF(T$2&lt;=$C$47,0,Opex!$E$6*(1+$C$46)^(T$2-$C$47-1))</f>
        <v>18.945396548155486</v>
      </c>
      <c r="U17" s="55">
        <f>IF(U$2&lt;=$C$47,0,Opex!$E$6*(1+$C$46)^(U$2-$C$47-1))</f>
        <v>19.797939392822485</v>
      </c>
      <c r="V17" s="55">
        <f>IF(V$2&lt;=$C$47,0,Opex!$E$6*(1+$C$46)^(V$2-$C$47-1))</f>
        <v>20.688846665499486</v>
      </c>
      <c r="W17" s="55">
        <f>IF(W$2&lt;=$C$47,0,Opex!$E$6*(1+$C$46)^(W$2-$C$47-1))</f>
        <v>21.619844765446967</v>
      </c>
      <c r="X17" s="55">
        <f>IF(X$2&lt;=$C$47,0,Opex!$E$6*(1+$C$46)^(X$2-$C$47-1))</f>
        <v>22.592737779892076</v>
      </c>
      <c r="Y17" s="55">
        <f>IF(Y$2&lt;=$C$47,0,Opex!$E$6*(1+$C$46)^(Y$2-$C$47-1))</f>
        <v>23.609410979987217</v>
      </c>
    </row>
    <row r="18" spans="1:25">
      <c r="A18" s="53"/>
      <c r="B18" s="59" t="s">
        <v>7</v>
      </c>
      <c r="C18" s="59"/>
      <c r="D18" s="59"/>
      <c r="E18" s="59"/>
      <c r="F18" s="66">
        <f t="shared" si="1"/>
        <v>4.1130886795897291E-2</v>
      </c>
      <c r="G18" s="55">
        <f>IF(G$2&lt;=$C$47,0,(Opex!$E$8+Opex!$E$24)*(1+$C$46)^(G$2-$C$47-1))</f>
        <v>8.6491464478660252</v>
      </c>
      <c r="H18" s="55">
        <f>IF(H$2&lt;=$C$47,0,(Opex!$E$8+Opex!$E$24)*(1+$C$46)^(H$2-$C$47-1))</f>
        <v>9.0383580380199948</v>
      </c>
      <c r="I18" s="55">
        <f>IF(I$2&lt;=$C$47,0,(Opex!$E$8+Opex!$E$24)*(1+$C$46)^(I$2-$C$47-1))</f>
        <v>9.4450841497308939</v>
      </c>
      <c r="J18" s="55">
        <f>IF(J$2&lt;=$C$47,0,(Opex!$E$8+Opex!$E$24)*(1+$C$46)^(J$2-$C$47-1))</f>
        <v>9.8701129364687823</v>
      </c>
      <c r="K18" s="55">
        <f>IF(K$2&lt;=$C$47,0,(Opex!$E$8+Opex!$E$24)*(1+$C$46)^(K$2-$C$47-1))</f>
        <v>10.314268018609877</v>
      </c>
      <c r="L18" s="55">
        <f>IF(L$2&lt;=$C$47,0,(Opex!$E$8+Opex!$E$24)*(1+$C$46)^(L$2-$C$47-1))</f>
        <v>10.778410079447319</v>
      </c>
      <c r="M18" s="55">
        <f>IF(M$2&lt;=$C$47,0,(Opex!$E$8+Opex!$E$24)*(1+$C$46)^(M$2-$C$47-1))</f>
        <v>11.26343853302245</v>
      </c>
      <c r="N18" s="55">
        <f>IF(N$2&lt;=$C$47,0,(Opex!$E$8+Opex!$E$24)*(1+$C$46)^(N$2-$C$47-1))</f>
        <v>11.770293267008455</v>
      </c>
      <c r="O18" s="55">
        <f>IF(O$2&lt;=$C$47,0,(Opex!$E$8+Opex!$E$24)*(1+$C$46)^(O$2-$C$47-1))</f>
        <v>12.299956464023836</v>
      </c>
      <c r="P18" s="55">
        <f>IF(P$2&lt;=$C$47,0,(Opex!$E$8+Opex!$E$24)*(1+$C$46)^(P$2-$C$47-1))</f>
        <v>12.853454504904906</v>
      </c>
      <c r="Q18" s="55">
        <f>IF(Q$2&lt;=$C$47,0,(Opex!$E$8+Opex!$E$24)*(1+$C$46)^(Q$2-$C$47-1))</f>
        <v>13.431859957625626</v>
      </c>
      <c r="R18" s="55">
        <f>IF(R$2&lt;=$C$47,0,(Opex!$E$8+Opex!$E$24)*(1+$C$46)^(R$2-$C$47-1))</f>
        <v>14.036293655718776</v>
      </c>
      <c r="S18" s="55">
        <f>IF(S$2&lt;=$C$47,0,(Opex!$E$8+Opex!$E$24)*(1+$C$46)^(S$2-$C$47-1))</f>
        <v>14.667926870226122</v>
      </c>
      <c r="T18" s="55">
        <f>IF(T$2&lt;=$C$47,0,(Opex!$E$8+Opex!$E$24)*(1+$C$46)^(T$2-$C$47-1))</f>
        <v>15.327983579386293</v>
      </c>
      <c r="U18" s="55">
        <f>IF(U$2&lt;=$C$47,0,(Opex!$E$8+Opex!$E$24)*(1+$C$46)^(U$2-$C$47-1))</f>
        <v>16.017742840458681</v>
      </c>
      <c r="V18" s="55">
        <f>IF(V$2&lt;=$C$47,0,(Opex!$E$8+Opex!$E$24)*(1+$C$46)^(V$2-$C$47-1))</f>
        <v>16.738541268279313</v>
      </c>
      <c r="W18" s="55">
        <f>IF(W$2&lt;=$C$47,0,(Opex!$E$8+Opex!$E$24)*(1+$C$46)^(W$2-$C$47-1))</f>
        <v>17.491775625351881</v>
      </c>
      <c r="X18" s="55">
        <f>IF(X$2&lt;=$C$47,0,(Opex!$E$8+Opex!$E$24)*(1+$C$46)^(X$2-$C$47-1))</f>
        <v>18.278905528492714</v>
      </c>
      <c r="Y18" s="55">
        <f>IF(Y$2&lt;=$C$47,0,(Opex!$E$8+Opex!$E$24)*(1+$C$46)^(Y$2-$C$47-1))</f>
        <v>19.101456277274885</v>
      </c>
    </row>
    <row r="19" spans="1:25" s="205" customFormat="1">
      <c r="A19" s="53"/>
      <c r="B19" s="59" t="s">
        <v>10</v>
      </c>
      <c r="C19" s="59"/>
      <c r="D19" s="59"/>
      <c r="E19" s="59"/>
      <c r="F19" s="66">
        <f t="shared" si="1"/>
        <v>3.0422000348401985E-2</v>
      </c>
      <c r="G19" s="55">
        <f>IF(G$2&lt;=$C$47,0,Opex!$E$11*(1+$C$46)^(G$2-$C$47-1))</f>
        <v>6.3972444249999985</v>
      </c>
      <c r="H19" s="55">
        <f>IF(H$2&lt;=$C$47,0,Opex!$E$11*(1+$C$46)^(H$2-$C$47-1))</f>
        <v>6.6851204241249977</v>
      </c>
      <c r="I19" s="55">
        <f>IF(I$2&lt;=$C$47,0,Opex!$E$11*(1+$C$46)^(I$2-$C$47-1))</f>
        <v>6.985950843210623</v>
      </c>
      <c r="J19" s="55">
        <f>IF(J$2&lt;=$C$47,0,Opex!$E$11*(1+$C$46)^(J$2-$C$47-1))</f>
        <v>7.3003186311550987</v>
      </c>
      <c r="K19" s="55">
        <f>IF(K$2&lt;=$C$47,0,Opex!$E$11*(1+$C$46)^(K$2-$C$47-1))</f>
        <v>7.6288329695570782</v>
      </c>
      <c r="L19" s="55">
        <f>IF(L$2&lt;=$C$47,0,Opex!$E$11*(1+$C$46)^(L$2-$C$47-1))</f>
        <v>7.9721304531871446</v>
      </c>
      <c r="M19" s="55">
        <f>IF(M$2&lt;=$C$47,0,Opex!$E$11*(1+$C$46)^(M$2-$C$47-1))</f>
        <v>8.3308763235805667</v>
      </c>
      <c r="N19" s="55">
        <f>IF(N$2&lt;=$C$47,0,Opex!$E$11*(1+$C$46)^(N$2-$C$47-1))</f>
        <v>8.7057657581416894</v>
      </c>
      <c r="O19" s="55">
        <f>IF(O$2&lt;=$C$47,0,Opex!$E$11*(1+$C$46)^(O$2-$C$47-1))</f>
        <v>9.097525217258065</v>
      </c>
      <c r="P19" s="55">
        <f>IF(P$2&lt;=$C$47,0,Opex!$E$11*(1+$C$46)^(P$2-$C$47-1))</f>
        <v>9.5069138520346765</v>
      </c>
      <c r="Q19" s="55">
        <f>IF(Q$2&lt;=$C$47,0,Opex!$E$11*(1+$C$46)^(Q$2-$C$47-1))</f>
        <v>9.9347249753762377</v>
      </c>
      <c r="R19" s="55">
        <f>IF(R$2&lt;=$C$47,0,Opex!$E$11*(1+$C$46)^(R$2-$C$47-1))</f>
        <v>10.381787599268165</v>
      </c>
      <c r="S19" s="55">
        <f>IF(S$2&lt;=$C$47,0,Opex!$E$11*(1+$C$46)^(S$2-$C$47-1))</f>
        <v>10.848968041235233</v>
      </c>
      <c r="T19" s="55">
        <f>IF(T$2&lt;=$C$47,0,Opex!$E$11*(1+$C$46)^(T$2-$C$47-1))</f>
        <v>11.337171603090816</v>
      </c>
      <c r="U19" s="55">
        <f>IF(U$2&lt;=$C$47,0,Opex!$E$11*(1+$C$46)^(U$2-$C$47-1))</f>
        <v>11.847344325229903</v>
      </c>
      <c r="V19" s="55">
        <f>IF(V$2&lt;=$C$47,0,Opex!$E$11*(1+$C$46)^(V$2-$C$47-1))</f>
        <v>12.380474819865244</v>
      </c>
      <c r="W19" s="55">
        <f>IF(W$2&lt;=$C$47,0,Opex!$E$11*(1+$C$46)^(W$2-$C$47-1))</f>
        <v>12.93759618675918</v>
      </c>
      <c r="X19" s="55">
        <f>IF(X$2&lt;=$C$47,0,Opex!$E$11*(1+$C$46)^(X$2-$C$47-1))</f>
        <v>13.519788015163341</v>
      </c>
      <c r="Y19" s="55">
        <f>IF(Y$2&lt;=$C$47,0,Opex!$E$11*(1+$C$46)^(Y$2-$C$47-1))</f>
        <v>14.12817847584569</v>
      </c>
    </row>
    <row r="20" spans="1:25">
      <c r="A20" s="53"/>
      <c r="B20" s="59" t="s">
        <v>11</v>
      </c>
      <c r="C20" s="59"/>
      <c r="D20" s="59"/>
      <c r="E20" s="59"/>
      <c r="F20" s="66">
        <f t="shared" si="1"/>
        <v>5.3214834197588809E-2</v>
      </c>
      <c r="G20" s="55">
        <f>IF(G$2&lt;=$C$47,0,(Opex!$E$14+Opex!$E$27)*(1+$C$46)^(G$2-$C$47-1))</f>
        <v>11.190201088</v>
      </c>
      <c r="H20" s="55">
        <f>IF(H$2&lt;=$C$47,0,(Opex!$E$14+Opex!$E$27)*(1+$C$46)^(H$2-$C$47-1))</f>
        <v>11.693760136959998</v>
      </c>
      <c r="I20" s="55">
        <f>IF(I$2&lt;=$C$47,0,(Opex!$E$14+Opex!$E$27)*(1+$C$46)^(I$2-$C$47-1))</f>
        <v>12.2199793431232</v>
      </c>
      <c r="J20" s="55">
        <f>IF(J$2&lt;=$C$47,0,(Opex!$E$14+Opex!$E$27)*(1+$C$46)^(J$2-$C$47-1))</f>
        <v>12.76987841356374</v>
      </c>
      <c r="K20" s="55">
        <f>IF(K$2&lt;=$C$47,0,(Opex!$E$14+Opex!$E$27)*(1+$C$46)^(K$2-$C$47-1))</f>
        <v>13.344522942174107</v>
      </c>
      <c r="L20" s="55">
        <f>IF(L$2&lt;=$C$47,0,(Opex!$E$14+Opex!$E$27)*(1+$C$46)^(L$2-$C$47-1))</f>
        <v>13.945026474571939</v>
      </c>
      <c r="M20" s="55">
        <f>IF(M$2&lt;=$C$47,0,(Opex!$E$14+Opex!$E$27)*(1+$C$46)^(M$2-$C$47-1))</f>
        <v>14.572552665927677</v>
      </c>
      <c r="N20" s="55">
        <f>IF(N$2&lt;=$C$47,0,(Opex!$E$14+Opex!$E$27)*(1+$C$46)^(N$2-$C$47-1))</f>
        <v>15.228317535894417</v>
      </c>
      <c r="O20" s="55">
        <f>IF(O$2&lt;=$C$47,0,(Opex!$E$14+Opex!$E$27)*(1+$C$46)^(O$2-$C$47-1))</f>
        <v>15.913591825009666</v>
      </c>
      <c r="P20" s="55">
        <f>IF(P$2&lt;=$C$47,0,(Opex!$E$14+Opex!$E$27)*(1+$C$46)^(P$2-$C$47-1))</f>
        <v>16.629703457135097</v>
      </c>
      <c r="Q20" s="55">
        <f>IF(Q$2&lt;=$C$47,0,(Opex!$E$14+Opex!$E$27)*(1+$C$46)^(Q$2-$C$47-1))</f>
        <v>17.378040112706177</v>
      </c>
      <c r="R20" s="55">
        <f>IF(R$2&lt;=$C$47,0,(Opex!$E$14+Opex!$E$27)*(1+$C$46)^(R$2-$C$47-1))</f>
        <v>18.160051917777952</v>
      </c>
      <c r="S20" s="55">
        <f>IF(S$2&lt;=$C$47,0,(Opex!$E$14+Opex!$E$27)*(1+$C$46)^(S$2-$C$47-1))</f>
        <v>18.977254254077959</v>
      </c>
      <c r="T20" s="55">
        <f>IF(T$2&lt;=$C$47,0,(Opex!$E$14+Opex!$E$27)*(1+$C$46)^(T$2-$C$47-1))</f>
        <v>19.831230695511465</v>
      </c>
      <c r="U20" s="55">
        <f>IF(U$2&lt;=$C$47,0,(Opex!$E$14+Opex!$E$27)*(1+$C$46)^(U$2-$C$47-1))</f>
        <v>20.72363607680948</v>
      </c>
      <c r="V20" s="55">
        <f>IF(V$2&lt;=$C$47,0,(Opex!$E$14+Opex!$E$27)*(1+$C$46)^(V$2-$C$47-1))</f>
        <v>21.656199700265898</v>
      </c>
      <c r="W20" s="55">
        <f>IF(W$2&lt;=$C$47,0,(Opex!$E$14+Opex!$E$27)*(1+$C$46)^(W$2-$C$47-1))</f>
        <v>22.630728686777864</v>
      </c>
      <c r="X20" s="55">
        <f>IF(X$2&lt;=$C$47,0,(Opex!$E$14+Opex!$E$27)*(1+$C$46)^(X$2-$C$47-1))</f>
        <v>23.649111477682865</v>
      </c>
      <c r="Y20" s="55">
        <f>IF(Y$2&lt;=$C$47,0,(Opex!$E$14+Opex!$E$27)*(1+$C$46)^(Y$2-$C$47-1))</f>
        <v>24.71332149417859</v>
      </c>
    </row>
    <row r="21" spans="1:25" s="205" customFormat="1">
      <c r="A21" s="45"/>
      <c r="B21" s="67" t="s">
        <v>18</v>
      </c>
      <c r="C21" s="67"/>
      <c r="D21" s="67"/>
      <c r="E21" s="67"/>
      <c r="F21" s="68"/>
      <c r="G21" s="47">
        <f t="shared" ref="G21:P21" si="2">SUM(G15:G20)</f>
        <v>157.17783447255027</v>
      </c>
      <c r="H21" s="47">
        <f t="shared" si="2"/>
        <v>191.51120771929908</v>
      </c>
      <c r="I21" s="47">
        <f t="shared" si="2"/>
        <v>229.63482884772179</v>
      </c>
      <c r="J21" s="47">
        <f t="shared" si="2"/>
        <v>271.55240619210247</v>
      </c>
      <c r="K21" s="47">
        <f t="shared" si="2"/>
        <v>286.67680995954493</v>
      </c>
      <c r="L21" s="47">
        <f t="shared" si="2"/>
        <v>302.97496475725706</v>
      </c>
      <c r="M21" s="47">
        <f t="shared" si="2"/>
        <v>320.1271170232273</v>
      </c>
      <c r="N21" s="47">
        <f t="shared" si="2"/>
        <v>338.37038854215859</v>
      </c>
      <c r="O21" s="47">
        <f t="shared" si="2"/>
        <v>358.10934359374994</v>
      </c>
      <c r="P21" s="47">
        <f t="shared" si="2"/>
        <v>377.55334095944335</v>
      </c>
      <c r="Q21" s="47">
        <f t="shared" ref="Q21:Y21" si="3">SUM(Q15:Q20)</f>
        <v>398.32595363637705</v>
      </c>
      <c r="R21" s="47">
        <f t="shared" si="3"/>
        <v>420.3539293880122</v>
      </c>
      <c r="S21" s="47">
        <f t="shared" si="3"/>
        <v>443.23367006190296</v>
      </c>
      <c r="T21" s="47">
        <f t="shared" si="3"/>
        <v>467.28610205197231</v>
      </c>
      <c r="U21" s="47">
        <f t="shared" si="3"/>
        <v>492.60840912379825</v>
      </c>
      <c r="V21" s="47">
        <f t="shared" si="3"/>
        <v>519.88089831679054</v>
      </c>
      <c r="W21" s="47">
        <f t="shared" si="3"/>
        <v>548.81123242471961</v>
      </c>
      <c r="X21" s="47">
        <f t="shared" si="3"/>
        <v>579.70481022057913</v>
      </c>
      <c r="Y21" s="47">
        <f t="shared" si="3"/>
        <v>611.82862143613102</v>
      </c>
    </row>
    <row r="22" spans="1:25">
      <c r="A22" s="53"/>
      <c r="B22" s="59"/>
      <c r="C22" s="59"/>
      <c r="D22" s="59"/>
      <c r="E22" s="59"/>
      <c r="F22" s="57"/>
      <c r="G22" s="55"/>
      <c r="H22" s="55"/>
      <c r="I22" s="55"/>
      <c r="J22" s="55"/>
      <c r="K22" s="55"/>
      <c r="L22" s="55"/>
      <c r="M22" s="55"/>
      <c r="N22" s="55"/>
      <c r="O22" s="55"/>
      <c r="P22" s="55"/>
      <c r="Q22" s="26"/>
      <c r="R22" s="26"/>
      <c r="S22" s="26"/>
      <c r="T22" s="26"/>
      <c r="U22" s="26"/>
      <c r="V22" s="26"/>
      <c r="W22" s="26"/>
      <c r="X22" s="26"/>
      <c r="Y22" s="26"/>
    </row>
    <row r="23" spans="1:25">
      <c r="A23" s="61">
        <v>4</v>
      </c>
      <c r="B23" s="62" t="s">
        <v>175</v>
      </c>
      <c r="C23" s="62"/>
      <c r="D23" s="62"/>
      <c r="E23" s="62"/>
      <c r="F23" s="63"/>
      <c r="G23" s="64">
        <f t="shared" ref="G23:Y23" si="4">G10-G21</f>
        <v>66.151874327449718</v>
      </c>
      <c r="H23" s="64">
        <f t="shared" si="4"/>
        <v>88.544247115900873</v>
      </c>
      <c r="I23" s="64">
        <f t="shared" si="4"/>
        <v>111.79944650552619</v>
      </c>
      <c r="J23" s="64">
        <f t="shared" si="4"/>
        <v>136.21767122977639</v>
      </c>
      <c r="K23" s="64">
        <f t="shared" si="4"/>
        <v>139.44292094631851</v>
      </c>
      <c r="L23" s="64">
        <f t="shared" si="4"/>
        <v>142.3201540393701</v>
      </c>
      <c r="M23" s="64">
        <f t="shared" si="4"/>
        <v>145.2062821192481</v>
      </c>
      <c r="N23" s="64">
        <f t="shared" si="4"/>
        <v>147.90301356172802</v>
      </c>
      <c r="O23" s="64">
        <f t="shared" si="4"/>
        <v>150.04636160481158</v>
      </c>
      <c r="P23" s="64">
        <f t="shared" si="4"/>
        <v>153.46937097305334</v>
      </c>
      <c r="Q23" s="64">
        <f t="shared" si="4"/>
        <v>156.59278033308198</v>
      </c>
      <c r="R23" s="64">
        <f t="shared" si="4"/>
        <v>159.53614761007242</v>
      </c>
      <c r="S23" s="64">
        <f t="shared" si="4"/>
        <v>162.75146040109536</v>
      </c>
      <c r="T23" s="64">
        <f t="shared" si="4"/>
        <v>165.9683592818609</v>
      </c>
      <c r="U23" s="64">
        <f t="shared" si="4"/>
        <v>169.14250297005748</v>
      </c>
      <c r="V23" s="64">
        <f t="shared" si="4"/>
        <v>171.64880482128842</v>
      </c>
      <c r="W23" s="64">
        <f t="shared" si="4"/>
        <v>173.837307354573</v>
      </c>
      <c r="X23" s="64">
        <f t="shared" si="4"/>
        <v>175.46291384878134</v>
      </c>
      <c r="Y23" s="64">
        <f t="shared" si="4"/>
        <v>177.32165021635069</v>
      </c>
    </row>
    <row r="24" spans="1:25">
      <c r="A24" s="53"/>
      <c r="B24" s="59" t="s">
        <v>173</v>
      </c>
      <c r="C24" s="59"/>
      <c r="D24" s="59"/>
      <c r="E24" s="59"/>
      <c r="F24" s="57"/>
      <c r="G24" s="84">
        <f t="shared" ref="G24:Y24" si="5">G23/G10</f>
        <v>0.29620722958400114</v>
      </c>
      <c r="H24" s="84">
        <f t="shared" si="5"/>
        <v>0.31616683620037034</v>
      </c>
      <c r="I24" s="84">
        <f t="shared" si="5"/>
        <v>0.32744060739027581</v>
      </c>
      <c r="J24" s="84">
        <f t="shared" si="5"/>
        <v>0.33405509323050597</v>
      </c>
      <c r="K24" s="84">
        <f t="shared" si="5"/>
        <v>0.32723882710121127</v>
      </c>
      <c r="L24" s="84">
        <f t="shared" si="5"/>
        <v>0.31960861018189107</v>
      </c>
      <c r="M24" s="84">
        <f t="shared" si="5"/>
        <v>0.31204784007947162</v>
      </c>
      <c r="N24" s="84">
        <f t="shared" si="5"/>
        <v>0.30415608363899427</v>
      </c>
      <c r="O24" s="84">
        <f t="shared" si="5"/>
        <v>0.29527634949248688</v>
      </c>
      <c r="P24" s="84">
        <f t="shared" si="5"/>
        <v>0.28900716960777051</v>
      </c>
      <c r="Q24" s="84">
        <f t="shared" si="5"/>
        <v>0.28219047357247873</v>
      </c>
      <c r="R24" s="84">
        <f t="shared" si="5"/>
        <v>0.27511446382380389</v>
      </c>
      <c r="S24" s="84">
        <f t="shared" si="5"/>
        <v>0.26857335637385416</v>
      </c>
      <c r="T24" s="84">
        <f t="shared" si="5"/>
        <v>0.26208794318208084</v>
      </c>
      <c r="U24" s="84">
        <f t="shared" si="5"/>
        <v>0.25559844327961895</v>
      </c>
      <c r="V24" s="84">
        <f t="shared" si="5"/>
        <v>0.2482160983720102</v>
      </c>
      <c r="W24" s="84">
        <f t="shared" si="5"/>
        <v>0.24055581349083671</v>
      </c>
      <c r="X24" s="84">
        <f t="shared" si="5"/>
        <v>0.23234959368134417</v>
      </c>
      <c r="Y24" s="84">
        <f t="shared" si="5"/>
        <v>0.22469947307378976</v>
      </c>
    </row>
    <row r="25" spans="1:25">
      <c r="A25" s="53"/>
      <c r="B25" s="59" t="s">
        <v>172</v>
      </c>
      <c r="C25" s="59"/>
      <c r="D25" s="59"/>
      <c r="E25" s="59"/>
      <c r="F25" s="57"/>
      <c r="G25" s="85">
        <f>G23/(G3*200000)*10^7</f>
        <v>6615.1874327449723</v>
      </c>
      <c r="H25" s="85">
        <f t="shared" ref="H25:Y25" si="6">H23/(H3*200000)*10^7</f>
        <v>7378.6872596584062</v>
      </c>
      <c r="I25" s="85">
        <f t="shared" si="6"/>
        <v>7985.6747503947281</v>
      </c>
      <c r="J25" s="85">
        <f t="shared" si="6"/>
        <v>8513.6044518610233</v>
      </c>
      <c r="K25" s="85">
        <f t="shared" si="6"/>
        <v>8715.1825591449069</v>
      </c>
      <c r="L25" s="85">
        <f t="shared" si="6"/>
        <v>8895.0096274606312</v>
      </c>
      <c r="M25" s="85">
        <f t="shared" si="6"/>
        <v>9075.3926324530057</v>
      </c>
      <c r="N25" s="85">
        <f t="shared" si="6"/>
        <v>9243.938347608002</v>
      </c>
      <c r="O25" s="85">
        <f t="shared" si="6"/>
        <v>9377.8976003007228</v>
      </c>
      <c r="P25" s="85">
        <f t="shared" si="6"/>
        <v>9591.8356858158331</v>
      </c>
      <c r="Q25" s="85">
        <f t="shared" si="6"/>
        <v>9787.0487708176242</v>
      </c>
      <c r="R25" s="85">
        <f t="shared" si="6"/>
        <v>9971.0092256295266</v>
      </c>
      <c r="S25" s="85">
        <f t="shared" si="6"/>
        <v>10171.966275068458</v>
      </c>
      <c r="T25" s="85">
        <f t="shared" si="6"/>
        <v>10373.022455116306</v>
      </c>
      <c r="U25" s="85">
        <f t="shared" si="6"/>
        <v>10571.406435628593</v>
      </c>
      <c r="V25" s="85">
        <f t="shared" si="6"/>
        <v>10728.050301330526</v>
      </c>
      <c r="W25" s="85">
        <f t="shared" si="6"/>
        <v>10864.831709660812</v>
      </c>
      <c r="X25" s="85">
        <f t="shared" si="6"/>
        <v>10966.432115548834</v>
      </c>
      <c r="Y25" s="85">
        <f t="shared" si="6"/>
        <v>11082.603138521919</v>
      </c>
    </row>
    <row r="26" spans="1:25">
      <c r="A26" s="49"/>
      <c r="B26" s="50" t="s">
        <v>20</v>
      </c>
      <c r="C26" s="40">
        <f>-C8</f>
        <v>-56.46</v>
      </c>
      <c r="D26" s="40">
        <f>-D8</f>
        <v>-225.82</v>
      </c>
      <c r="E26" s="40">
        <f>-E8</f>
        <v>-282.27999999999997</v>
      </c>
      <c r="F26" s="51"/>
      <c r="G26" s="52">
        <f>G23+SUM(C26:E26)</f>
        <v>-498.40812567255023</v>
      </c>
      <c r="H26" s="52">
        <f t="shared" ref="H26:Y26" si="7">H23</f>
        <v>88.544247115900873</v>
      </c>
      <c r="I26" s="52">
        <f t="shared" si="7"/>
        <v>111.79944650552619</v>
      </c>
      <c r="J26" s="52">
        <f t="shared" si="7"/>
        <v>136.21767122977639</v>
      </c>
      <c r="K26" s="52">
        <f t="shared" si="7"/>
        <v>139.44292094631851</v>
      </c>
      <c r="L26" s="52">
        <f t="shared" si="7"/>
        <v>142.3201540393701</v>
      </c>
      <c r="M26" s="52">
        <f t="shared" si="7"/>
        <v>145.2062821192481</v>
      </c>
      <c r="N26" s="52">
        <f t="shared" si="7"/>
        <v>147.90301356172802</v>
      </c>
      <c r="O26" s="52">
        <f t="shared" si="7"/>
        <v>150.04636160481158</v>
      </c>
      <c r="P26" s="52">
        <f t="shared" si="7"/>
        <v>153.46937097305334</v>
      </c>
      <c r="Q26" s="52">
        <f t="shared" si="7"/>
        <v>156.59278033308198</v>
      </c>
      <c r="R26" s="52">
        <f t="shared" si="7"/>
        <v>159.53614761007242</v>
      </c>
      <c r="S26" s="52">
        <f t="shared" si="7"/>
        <v>162.75146040109536</v>
      </c>
      <c r="T26" s="52">
        <f t="shared" si="7"/>
        <v>165.9683592818609</v>
      </c>
      <c r="U26" s="52">
        <f t="shared" si="7"/>
        <v>169.14250297005748</v>
      </c>
      <c r="V26" s="52">
        <f t="shared" si="7"/>
        <v>171.64880482128842</v>
      </c>
      <c r="W26" s="52">
        <f t="shared" si="7"/>
        <v>173.837307354573</v>
      </c>
      <c r="X26" s="52">
        <f t="shared" si="7"/>
        <v>175.46291384878134</v>
      </c>
      <c r="Y26" s="52">
        <f t="shared" si="7"/>
        <v>177.32165021635069</v>
      </c>
    </row>
    <row r="27" spans="1:25">
      <c r="A27" s="53"/>
      <c r="B27" s="59"/>
      <c r="C27" s="59"/>
      <c r="D27" s="59"/>
      <c r="E27" s="59"/>
      <c r="F27" s="57"/>
      <c r="G27" s="55"/>
      <c r="H27" s="55"/>
      <c r="I27" s="55"/>
      <c r="J27" s="55"/>
      <c r="K27" s="55"/>
      <c r="L27" s="55"/>
      <c r="M27" s="55"/>
      <c r="N27" s="55"/>
      <c r="O27" s="55"/>
      <c r="P27" s="55"/>
      <c r="Q27" s="55"/>
      <c r="R27" s="55"/>
      <c r="S27" s="55"/>
      <c r="T27" s="55"/>
      <c r="U27" s="55"/>
      <c r="V27" s="55"/>
      <c r="W27" s="55"/>
      <c r="X27" s="55"/>
      <c r="Y27" s="55"/>
    </row>
    <row r="28" spans="1:25">
      <c r="A28" s="53"/>
      <c r="B28" s="59" t="s">
        <v>21</v>
      </c>
      <c r="C28" s="59"/>
      <c r="D28" s="59"/>
      <c r="E28" s="59"/>
      <c r="F28" s="57">
        <v>1</v>
      </c>
      <c r="G28" s="55">
        <f>F28/(1+0.1)</f>
        <v>0.90909090909090906</v>
      </c>
      <c r="H28" s="55">
        <f>G28/(1+0.1)</f>
        <v>0.82644628099173545</v>
      </c>
      <c r="I28" s="55">
        <f t="shared" ref="I28:Y28" si="8">H28/(1+0.1)</f>
        <v>0.75131480090157765</v>
      </c>
      <c r="J28" s="55">
        <f t="shared" si="8"/>
        <v>0.68301345536507052</v>
      </c>
      <c r="K28" s="55">
        <f t="shared" si="8"/>
        <v>0.62092132305915493</v>
      </c>
      <c r="L28" s="55">
        <f t="shared" si="8"/>
        <v>0.56447393005377711</v>
      </c>
      <c r="M28" s="55">
        <f t="shared" si="8"/>
        <v>0.51315811823070645</v>
      </c>
      <c r="N28" s="55">
        <f t="shared" si="8"/>
        <v>0.46650738020973309</v>
      </c>
      <c r="O28" s="55">
        <f t="shared" si="8"/>
        <v>0.42409761837248461</v>
      </c>
      <c r="P28" s="55">
        <f t="shared" si="8"/>
        <v>0.38554328942953142</v>
      </c>
      <c r="Q28" s="55">
        <f t="shared" si="8"/>
        <v>0.35049389948139215</v>
      </c>
      <c r="R28" s="55">
        <f t="shared" si="8"/>
        <v>0.31863081771035645</v>
      </c>
      <c r="S28" s="55">
        <f t="shared" si="8"/>
        <v>0.28966437973668768</v>
      </c>
      <c r="T28" s="55">
        <f t="shared" si="8"/>
        <v>0.26333125430607968</v>
      </c>
      <c r="U28" s="55">
        <f t="shared" si="8"/>
        <v>0.23939204936916333</v>
      </c>
      <c r="V28" s="55">
        <f t="shared" si="8"/>
        <v>0.21762913579014848</v>
      </c>
      <c r="W28" s="55">
        <f t="shared" si="8"/>
        <v>0.19784466890013497</v>
      </c>
      <c r="X28" s="55">
        <f t="shared" si="8"/>
        <v>0.17985878990921358</v>
      </c>
      <c r="Y28" s="55">
        <f t="shared" si="8"/>
        <v>0.16350799082655779</v>
      </c>
    </row>
    <row r="29" spans="1:25">
      <c r="A29" s="53"/>
      <c r="B29" s="59" t="s">
        <v>22</v>
      </c>
      <c r="C29" s="40"/>
      <c r="D29" s="40"/>
      <c r="E29" s="40"/>
      <c r="F29" s="69"/>
      <c r="G29" s="58">
        <f>G26*G28</f>
        <v>-453.09829606595474</v>
      </c>
      <c r="H29" s="58">
        <f t="shared" ref="H29:Y29" si="9">H26*H28</f>
        <v>73.177063732149477</v>
      </c>
      <c r="I29" s="58">
        <f t="shared" si="9"/>
        <v>83.996578892205989</v>
      </c>
      <c r="J29" s="58">
        <f t="shared" si="9"/>
        <v>93.038502308432726</v>
      </c>
      <c r="K29" s="58">
        <f t="shared" si="9"/>
        <v>86.583082965221237</v>
      </c>
      <c r="L29" s="58">
        <f t="shared" si="9"/>
        <v>80.336016676462179</v>
      </c>
      <c r="M29" s="58">
        <f t="shared" si="9"/>
        <v>74.513782487590433</v>
      </c>
      <c r="N29" s="58">
        <f t="shared" si="9"/>
        <v>68.997847381806366</v>
      </c>
      <c r="O29" s="58">
        <f t="shared" si="9"/>
        <v>63.634304602057206</v>
      </c>
      <c r="P29" s="58">
        <f t="shared" si="9"/>
        <v>59.169086111632033</v>
      </c>
      <c r="Q29" s="58">
        <f t="shared" si="9"/>
        <v>54.884814209574955</v>
      </c>
      <c r="R29" s="58">
        <f t="shared" si="9"/>
        <v>50.833133167357502</v>
      </c>
      <c r="S29" s="58">
        <f t="shared" si="9"/>
        <v>47.143300828323376</v>
      </c>
      <c r="T29" s="58">
        <f t="shared" si="9"/>
        <v>43.704656224814514</v>
      </c>
      <c r="U29" s="58">
        <f t="shared" si="9"/>
        <v>40.491370421431853</v>
      </c>
      <c r="V29" s="58">
        <f t="shared" si="9"/>
        <v>37.355781052668867</v>
      </c>
      <c r="W29" s="58">
        <f t="shared" si="9"/>
        <v>34.392784516056494</v>
      </c>
      <c r="X29" s="58">
        <f t="shared" si="9"/>
        <v>31.558547358786406</v>
      </c>
      <c r="Y29" s="58">
        <f t="shared" si="9"/>
        <v>28.993506756925157</v>
      </c>
    </row>
    <row r="30" spans="1:25">
      <c r="A30" s="53"/>
      <c r="B30" s="59" t="s">
        <v>23</v>
      </c>
      <c r="C30" s="59"/>
      <c r="D30" s="59"/>
      <c r="E30" s="59"/>
      <c r="F30" s="69"/>
      <c r="G30" s="58">
        <f>G26</f>
        <v>-498.40812567255023</v>
      </c>
      <c r="H30" s="58">
        <f t="shared" ref="H30:Y30" si="10">H26</f>
        <v>88.544247115900873</v>
      </c>
      <c r="I30" s="58">
        <f t="shared" si="10"/>
        <v>111.79944650552619</v>
      </c>
      <c r="J30" s="58">
        <f t="shared" si="10"/>
        <v>136.21767122977639</v>
      </c>
      <c r="K30" s="58">
        <f t="shared" si="10"/>
        <v>139.44292094631851</v>
      </c>
      <c r="L30" s="58">
        <f t="shared" si="10"/>
        <v>142.3201540393701</v>
      </c>
      <c r="M30" s="58">
        <f t="shared" si="10"/>
        <v>145.2062821192481</v>
      </c>
      <c r="N30" s="58">
        <f t="shared" si="10"/>
        <v>147.90301356172802</v>
      </c>
      <c r="O30" s="58">
        <f t="shared" si="10"/>
        <v>150.04636160481158</v>
      </c>
      <c r="P30" s="58">
        <f t="shared" si="10"/>
        <v>153.46937097305334</v>
      </c>
      <c r="Q30" s="58">
        <f t="shared" si="10"/>
        <v>156.59278033308198</v>
      </c>
      <c r="R30" s="58">
        <f t="shared" si="10"/>
        <v>159.53614761007242</v>
      </c>
      <c r="S30" s="58">
        <f t="shared" si="10"/>
        <v>162.75146040109536</v>
      </c>
      <c r="T30" s="58">
        <f t="shared" si="10"/>
        <v>165.9683592818609</v>
      </c>
      <c r="U30" s="58">
        <f t="shared" si="10"/>
        <v>169.14250297005748</v>
      </c>
      <c r="V30" s="58">
        <f t="shared" si="10"/>
        <v>171.64880482128842</v>
      </c>
      <c r="W30" s="58">
        <f t="shared" si="10"/>
        <v>173.837307354573</v>
      </c>
      <c r="X30" s="58">
        <f t="shared" si="10"/>
        <v>175.46291384878134</v>
      </c>
      <c r="Y30" s="58">
        <f t="shared" si="10"/>
        <v>177.32165021635069</v>
      </c>
    </row>
    <row r="31" spans="1:25">
      <c r="A31" s="70"/>
      <c r="B31" s="60" t="s">
        <v>188</v>
      </c>
      <c r="C31" s="60"/>
      <c r="D31" s="60"/>
      <c r="E31" s="60"/>
      <c r="F31" s="71"/>
      <c r="G31" s="72">
        <f>G26</f>
        <v>-498.40812567255023</v>
      </c>
      <c r="H31" s="72">
        <f>G31+H26</f>
        <v>-409.86387855664935</v>
      </c>
      <c r="I31" s="72">
        <f t="shared" ref="I31:Y31" si="11">H31+I26</f>
        <v>-298.06443205112316</v>
      </c>
      <c r="J31" s="72">
        <f t="shared" si="11"/>
        <v>-161.84676082134678</v>
      </c>
      <c r="K31" s="72">
        <f t="shared" si="11"/>
        <v>-22.403839875028268</v>
      </c>
      <c r="L31" s="72">
        <f t="shared" si="11"/>
        <v>119.91631416434183</v>
      </c>
      <c r="M31" s="72">
        <f t="shared" si="11"/>
        <v>265.12259628358993</v>
      </c>
      <c r="N31" s="72">
        <f t="shared" si="11"/>
        <v>413.02560984531794</v>
      </c>
      <c r="O31" s="72">
        <f t="shared" si="11"/>
        <v>563.07197145012947</v>
      </c>
      <c r="P31" s="72">
        <f t="shared" si="11"/>
        <v>716.54134242318287</v>
      </c>
      <c r="Q31" s="72">
        <f t="shared" si="11"/>
        <v>873.13412275626479</v>
      </c>
      <c r="R31" s="72">
        <f t="shared" si="11"/>
        <v>1032.6702703663373</v>
      </c>
      <c r="S31" s="72">
        <f t="shared" si="11"/>
        <v>1195.4217307674326</v>
      </c>
      <c r="T31" s="72">
        <f t="shared" si="11"/>
        <v>1361.3900900492936</v>
      </c>
      <c r="U31" s="72">
        <f t="shared" si="11"/>
        <v>1530.532593019351</v>
      </c>
      <c r="V31" s="72">
        <f t="shared" si="11"/>
        <v>1702.1813978406394</v>
      </c>
      <c r="W31" s="72">
        <f t="shared" si="11"/>
        <v>1876.0187051952125</v>
      </c>
      <c r="X31" s="72">
        <f t="shared" si="11"/>
        <v>2051.4816190439938</v>
      </c>
      <c r="Y31" s="72">
        <f t="shared" si="11"/>
        <v>2228.8032692603447</v>
      </c>
    </row>
    <row r="32" spans="1:25">
      <c r="A32" s="53"/>
      <c r="B32" s="59"/>
      <c r="C32" s="59"/>
      <c r="D32" s="59"/>
      <c r="E32" s="59"/>
      <c r="F32" s="57"/>
      <c r="G32" s="58"/>
      <c r="H32" s="58"/>
      <c r="I32" s="58"/>
      <c r="J32" s="58"/>
      <c r="K32" s="58"/>
      <c r="L32" s="58"/>
      <c r="M32" s="58"/>
      <c r="N32" s="58"/>
      <c r="O32" s="58"/>
      <c r="P32" s="58"/>
      <c r="Q32" s="58"/>
      <c r="R32" s="58"/>
      <c r="S32" s="58"/>
      <c r="T32" s="58"/>
      <c r="U32" s="58"/>
      <c r="V32" s="58"/>
      <c r="W32" s="58"/>
      <c r="X32" s="58"/>
      <c r="Y32" s="58"/>
    </row>
    <row r="33" spans="1:26">
      <c r="A33" s="53"/>
      <c r="B33" s="59"/>
      <c r="C33" s="59"/>
      <c r="D33" s="59"/>
      <c r="E33" s="59"/>
      <c r="F33" s="57"/>
      <c r="G33" s="58"/>
      <c r="H33" s="58"/>
      <c r="I33" s="58"/>
      <c r="J33" s="58"/>
      <c r="K33" s="58"/>
      <c r="L33" s="58"/>
      <c r="M33" s="58"/>
      <c r="N33" s="58"/>
      <c r="O33" s="58"/>
      <c r="P33" s="58"/>
      <c r="Q33" s="58"/>
      <c r="R33" s="58"/>
      <c r="S33" s="58"/>
      <c r="T33" s="58"/>
      <c r="U33" s="58"/>
      <c r="V33" s="58"/>
      <c r="W33" s="58"/>
      <c r="X33" s="58"/>
      <c r="Y33" s="58"/>
    </row>
    <row r="34" spans="1:26">
      <c r="A34" s="53"/>
      <c r="B34" s="233" t="s">
        <v>24</v>
      </c>
      <c r="C34" s="234"/>
      <c r="D34" s="234"/>
      <c r="E34" s="234"/>
      <c r="F34" s="235">
        <f>NPV(0%,(G29:Y29))</f>
        <v>599.70586362754204</v>
      </c>
      <c r="G34" s="236"/>
      <c r="H34" s="55"/>
      <c r="I34" s="55"/>
      <c r="J34" s="55"/>
      <c r="K34" s="55"/>
      <c r="L34" s="55"/>
      <c r="M34" s="55"/>
      <c r="N34" s="55"/>
      <c r="O34" s="55"/>
      <c r="P34" s="55"/>
      <c r="Q34" s="55"/>
      <c r="R34" s="55"/>
      <c r="S34" s="55"/>
      <c r="T34" s="55"/>
      <c r="U34" s="55"/>
      <c r="V34" s="55"/>
      <c r="W34" s="55"/>
      <c r="X34" s="55"/>
      <c r="Y34" s="55"/>
    </row>
    <row r="35" spans="1:26">
      <c r="A35" s="53"/>
      <c r="B35" s="237" t="s">
        <v>25</v>
      </c>
      <c r="C35" s="238"/>
      <c r="D35" s="238"/>
      <c r="E35" s="238"/>
      <c r="F35" s="239">
        <f>IRR(C26:Y26,0.1)</f>
        <v>0.10008458192516012</v>
      </c>
      <c r="G35" s="240"/>
      <c r="H35" s="55"/>
      <c r="I35" s="55"/>
      <c r="J35" s="55"/>
      <c r="K35" s="55"/>
      <c r="L35" s="55"/>
      <c r="M35" s="55"/>
      <c r="N35" s="55"/>
      <c r="O35" s="55"/>
      <c r="P35" s="55"/>
      <c r="Q35" s="55"/>
      <c r="R35" s="55"/>
      <c r="S35" s="55"/>
      <c r="T35" s="55"/>
      <c r="U35" s="55"/>
      <c r="V35" s="55"/>
      <c r="W35" s="55"/>
      <c r="X35" s="55"/>
      <c r="Y35" s="55"/>
    </row>
    <row r="36" spans="1:26">
      <c r="A36" s="53"/>
      <c r="B36" s="183" t="s">
        <v>177</v>
      </c>
      <c r="C36" s="184"/>
      <c r="D36" s="184"/>
      <c r="E36" s="184"/>
      <c r="F36" s="241">
        <f>IF(SUM(G41:Y41)&lt;=25,SUM(G41:Y41)," N/A ")</f>
        <v>5.1574186033330927</v>
      </c>
      <c r="G36" s="242"/>
      <c r="H36" s="55"/>
      <c r="I36" s="55"/>
      <c r="J36" s="55"/>
      <c r="K36" s="55"/>
      <c r="L36" s="55"/>
      <c r="M36" s="55"/>
      <c r="N36" s="55"/>
      <c r="O36" s="55"/>
      <c r="P36" s="55"/>
      <c r="Q36" s="55"/>
      <c r="R36" s="55"/>
      <c r="S36" s="55"/>
      <c r="T36" s="55"/>
      <c r="U36" s="55"/>
      <c r="V36" s="55"/>
      <c r="W36" s="55"/>
      <c r="X36" s="55"/>
      <c r="Y36" s="55"/>
    </row>
    <row r="37" spans="1:26" ht="16.5" customHeight="1">
      <c r="A37" s="53"/>
      <c r="B37" s="243" t="s">
        <v>178</v>
      </c>
      <c r="C37" s="218"/>
      <c r="D37" s="218"/>
      <c r="E37" s="218"/>
      <c r="F37" s="241">
        <f>IF(SUM(G42:Y42)&lt;=25,SUM(G42:Y42)," N/A ")</f>
        <v>5.2788766583393771</v>
      </c>
      <c r="G37" s="244"/>
      <c r="H37" s="55"/>
      <c r="I37" s="55"/>
      <c r="J37" s="55"/>
      <c r="K37" s="55"/>
      <c r="L37" s="55"/>
      <c r="M37" s="55"/>
      <c r="N37" s="55"/>
      <c r="O37" s="55"/>
      <c r="P37" s="55"/>
      <c r="Q37" s="55"/>
      <c r="R37" s="55"/>
      <c r="S37" s="55"/>
      <c r="T37" s="55"/>
      <c r="U37" s="55"/>
      <c r="V37" s="55"/>
      <c r="W37" s="55"/>
      <c r="X37" s="55"/>
      <c r="Y37" s="55"/>
    </row>
    <row r="38" spans="1:26" ht="19.5" customHeight="1">
      <c r="A38" s="91"/>
      <c r="B38" s="12"/>
      <c r="C38" s="12"/>
      <c r="D38" s="12"/>
      <c r="E38" s="12"/>
      <c r="F38" s="12"/>
      <c r="G38" s="74">
        <v>1</v>
      </c>
      <c r="H38" s="100">
        <v>2</v>
      </c>
      <c r="I38" s="100">
        <v>3</v>
      </c>
      <c r="J38" s="100">
        <v>4</v>
      </c>
      <c r="K38" s="100">
        <v>5</v>
      </c>
      <c r="L38" s="100">
        <v>6</v>
      </c>
      <c r="M38" s="100">
        <v>7</v>
      </c>
      <c r="N38" s="100">
        <v>8</v>
      </c>
      <c r="O38" s="100">
        <v>9</v>
      </c>
      <c r="P38" s="100">
        <v>10</v>
      </c>
      <c r="Q38" s="100">
        <v>11</v>
      </c>
      <c r="R38" s="100">
        <v>12</v>
      </c>
      <c r="S38" s="100">
        <v>13</v>
      </c>
      <c r="T38" s="100">
        <v>14</v>
      </c>
      <c r="U38" s="100">
        <v>15</v>
      </c>
      <c r="V38" s="100">
        <v>16</v>
      </c>
      <c r="W38" s="100">
        <v>17</v>
      </c>
      <c r="X38" s="100">
        <v>18</v>
      </c>
      <c r="Y38" s="101">
        <v>19</v>
      </c>
    </row>
    <row r="39" spans="1:26" ht="14.25" customHeight="1">
      <c r="A39" s="73"/>
      <c r="B39" s="103" t="s">
        <v>179</v>
      </c>
      <c r="C39" s="12"/>
      <c r="D39" s="12"/>
      <c r="E39" s="12"/>
      <c r="F39" s="12"/>
      <c r="G39" s="74">
        <f t="shared" ref="G39:Y39" si="12">IF(G31&lt;0,1,IF(G30=0,0,-F31/G30))</f>
        <v>1</v>
      </c>
      <c r="H39" s="74">
        <f t="shared" si="12"/>
        <v>1</v>
      </c>
      <c r="I39" s="74">
        <f t="shared" si="12"/>
        <v>1</v>
      </c>
      <c r="J39" s="74">
        <f t="shared" si="12"/>
        <v>1</v>
      </c>
      <c r="K39" s="74">
        <f t="shared" si="12"/>
        <v>1</v>
      </c>
      <c r="L39" s="74">
        <f t="shared" si="12"/>
        <v>0.15741860333309282</v>
      </c>
      <c r="M39" s="74">
        <f t="shared" si="12"/>
        <v>-0.8258342023099432</v>
      </c>
      <c r="N39" s="74">
        <f t="shared" si="12"/>
        <v>-1.7925435722980707</v>
      </c>
      <c r="O39" s="74">
        <f t="shared" si="12"/>
        <v>-2.7526532828109129</v>
      </c>
      <c r="P39" s="74">
        <f t="shared" si="12"/>
        <v>-3.6689534066637668</v>
      </c>
      <c r="Q39" s="74">
        <f t="shared" si="12"/>
        <v>-4.5758261709068426</v>
      </c>
      <c r="R39" s="74">
        <f t="shared" si="12"/>
        <v>-5.4729547869635216</v>
      </c>
      <c r="S39" s="74">
        <f t="shared" si="12"/>
        <v>-6.3450752934649985</v>
      </c>
      <c r="T39" s="74">
        <f t="shared" si="12"/>
        <v>-7.2027086122920014</v>
      </c>
      <c r="U39" s="74">
        <f t="shared" si="12"/>
        <v>-8.0487758318812048</v>
      </c>
      <c r="V39" s="74">
        <f t="shared" si="12"/>
        <v>-8.9166516167290517</v>
      </c>
      <c r="W39" s="74">
        <f t="shared" si="12"/>
        <v>-9.7918072003308758</v>
      </c>
      <c r="X39" s="74">
        <f t="shared" si="12"/>
        <v>-10.6918246371539</v>
      </c>
      <c r="Y39" s="106">
        <f t="shared" si="12"/>
        <v>-11.569267579796232</v>
      </c>
    </row>
    <row r="40" spans="1:26">
      <c r="A40" s="102"/>
      <c r="B40" s="103" t="s">
        <v>180</v>
      </c>
      <c r="C40" s="12"/>
      <c r="D40" s="12"/>
      <c r="E40" s="12"/>
      <c r="F40" s="12"/>
      <c r="G40" s="74">
        <f>IF(G31&lt;0,1,IF(G29=0,0,-F31/G29))</f>
        <v>1</v>
      </c>
      <c r="H40" s="74">
        <f>IF(H31&lt;0,1,IF(H29=0,0,-G31/H29))</f>
        <v>1</v>
      </c>
      <c r="I40" s="74">
        <f t="shared" ref="I40:Y40" si="13">IF(I31&lt;0,1,IF(I29=0,0,-H31/I29))</f>
        <v>1</v>
      </c>
      <c r="J40" s="74">
        <f t="shared" si="13"/>
        <v>1</v>
      </c>
      <c r="K40" s="74">
        <f t="shared" si="13"/>
        <v>1</v>
      </c>
      <c r="L40" s="74">
        <f t="shared" si="13"/>
        <v>0.27887665833937741</v>
      </c>
      <c r="M40" s="74">
        <f t="shared" si="13"/>
        <v>-1.6093172318062468</v>
      </c>
      <c r="N40" s="74">
        <f t="shared" si="13"/>
        <v>-3.8424763430155728</v>
      </c>
      <c r="O40" s="74">
        <f t="shared" si="13"/>
        <v>-6.4906124523275679</v>
      </c>
      <c r="P40" s="74">
        <f t="shared" si="13"/>
        <v>-9.5163202349923619</v>
      </c>
      <c r="Q40" s="74">
        <f t="shared" si="13"/>
        <v>-13.055366092469679</v>
      </c>
      <c r="R40" s="74">
        <f t="shared" si="13"/>
        <v>-17.176476607917373</v>
      </c>
      <c r="S40" s="74">
        <f t="shared" si="13"/>
        <v>-21.90492078878609</v>
      </c>
      <c r="T40" s="74">
        <f t="shared" si="13"/>
        <v>-27.352273968664676</v>
      </c>
      <c r="U40" s="74">
        <f t="shared" si="13"/>
        <v>-33.621734109762741</v>
      </c>
      <c r="V40" s="74">
        <f t="shared" si="13"/>
        <v>-40.971773307628453</v>
      </c>
      <c r="W40" s="74">
        <f t="shared" si="13"/>
        <v>-49.49239853045237</v>
      </c>
      <c r="X40" s="74">
        <f t="shared" si="13"/>
        <v>-59.445660912934855</v>
      </c>
      <c r="Y40" s="106">
        <f t="shared" si="13"/>
        <v>-70.7565882334669</v>
      </c>
    </row>
    <row r="41" spans="1:26">
      <c r="A41" s="73"/>
      <c r="B41" s="103" t="s">
        <v>181</v>
      </c>
      <c r="C41" s="12"/>
      <c r="D41" s="12"/>
      <c r="E41" s="12"/>
      <c r="F41" s="12"/>
      <c r="G41" s="98">
        <f>IF(G39&gt;0,G39,0)</f>
        <v>1</v>
      </c>
      <c r="H41" s="98">
        <f t="shared" ref="H41:Y41" si="14">IF(H39&gt;0,H39,0)</f>
        <v>1</v>
      </c>
      <c r="I41" s="98">
        <f t="shared" si="14"/>
        <v>1</v>
      </c>
      <c r="J41" s="98">
        <f t="shared" si="14"/>
        <v>1</v>
      </c>
      <c r="K41" s="98">
        <f t="shared" si="14"/>
        <v>1</v>
      </c>
      <c r="L41" s="98">
        <f t="shared" si="14"/>
        <v>0.15741860333309282</v>
      </c>
      <c r="M41" s="98">
        <f t="shared" si="14"/>
        <v>0</v>
      </c>
      <c r="N41" s="98">
        <f t="shared" si="14"/>
        <v>0</v>
      </c>
      <c r="O41" s="98">
        <f t="shared" si="14"/>
        <v>0</v>
      </c>
      <c r="P41" s="98">
        <f t="shared" si="14"/>
        <v>0</v>
      </c>
      <c r="Q41" s="98">
        <f t="shared" si="14"/>
        <v>0</v>
      </c>
      <c r="R41" s="98">
        <f t="shared" si="14"/>
        <v>0</v>
      </c>
      <c r="S41" s="98">
        <f t="shared" si="14"/>
        <v>0</v>
      </c>
      <c r="T41" s="98">
        <f t="shared" si="14"/>
        <v>0</v>
      </c>
      <c r="U41" s="98">
        <f t="shared" si="14"/>
        <v>0</v>
      </c>
      <c r="V41" s="98">
        <f t="shared" si="14"/>
        <v>0</v>
      </c>
      <c r="W41" s="98">
        <f t="shared" si="14"/>
        <v>0</v>
      </c>
      <c r="X41" s="98">
        <f t="shared" si="14"/>
        <v>0</v>
      </c>
      <c r="Y41" s="99">
        <f t="shared" si="14"/>
        <v>0</v>
      </c>
      <c r="Z41" s="206"/>
    </row>
    <row r="42" spans="1:26">
      <c r="A42" s="73"/>
      <c r="B42" s="97" t="s">
        <v>182</v>
      </c>
      <c r="C42" s="75"/>
      <c r="D42" s="75"/>
      <c r="E42" s="75"/>
      <c r="F42" s="75"/>
      <c r="G42" s="104">
        <f>IF(G40&gt;0,G40,0)</f>
        <v>1</v>
      </c>
      <c r="H42" s="104">
        <f t="shared" ref="H42:Y42" si="15">IF(H40&gt;0,H40,0)</f>
        <v>1</v>
      </c>
      <c r="I42" s="104">
        <f t="shared" si="15"/>
        <v>1</v>
      </c>
      <c r="J42" s="104">
        <f t="shared" si="15"/>
        <v>1</v>
      </c>
      <c r="K42" s="104">
        <f t="shared" si="15"/>
        <v>1</v>
      </c>
      <c r="L42" s="104">
        <f t="shared" si="15"/>
        <v>0.27887665833937741</v>
      </c>
      <c r="M42" s="104">
        <f t="shared" si="15"/>
        <v>0</v>
      </c>
      <c r="N42" s="104">
        <f t="shared" si="15"/>
        <v>0</v>
      </c>
      <c r="O42" s="104">
        <f t="shared" si="15"/>
        <v>0</v>
      </c>
      <c r="P42" s="104">
        <f t="shared" si="15"/>
        <v>0</v>
      </c>
      <c r="Q42" s="104">
        <f t="shared" si="15"/>
        <v>0</v>
      </c>
      <c r="R42" s="104">
        <f t="shared" si="15"/>
        <v>0</v>
      </c>
      <c r="S42" s="104">
        <f t="shared" si="15"/>
        <v>0</v>
      </c>
      <c r="T42" s="104">
        <f t="shared" si="15"/>
        <v>0</v>
      </c>
      <c r="U42" s="104">
        <f t="shared" si="15"/>
        <v>0</v>
      </c>
      <c r="V42" s="104">
        <f t="shared" si="15"/>
        <v>0</v>
      </c>
      <c r="W42" s="104">
        <f t="shared" si="15"/>
        <v>0</v>
      </c>
      <c r="X42" s="104">
        <f t="shared" si="15"/>
        <v>0</v>
      </c>
      <c r="Y42" s="105">
        <f t="shared" si="15"/>
        <v>0</v>
      </c>
    </row>
    <row r="43" spans="1:26">
      <c r="A43" s="30"/>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6">
      <c r="A45" s="12"/>
      <c r="B45" s="12"/>
      <c r="C45" s="12"/>
      <c r="D45" s="12"/>
      <c r="E45" s="12"/>
      <c r="F45" s="12"/>
      <c r="G45" s="26"/>
      <c r="H45" s="79"/>
      <c r="I45" s="472"/>
      <c r="J45" s="472"/>
      <c r="K45" s="472"/>
      <c r="L45" s="472"/>
      <c r="M45" s="472"/>
      <c r="N45" s="26"/>
      <c r="O45" s="26"/>
      <c r="P45" s="26"/>
      <c r="Q45" s="26"/>
      <c r="R45" s="26"/>
      <c r="S45" s="26"/>
      <c r="T45" s="26"/>
      <c r="U45" s="26"/>
      <c r="V45" s="26"/>
      <c r="W45" s="26"/>
      <c r="X45" s="26"/>
      <c r="Y45" s="26"/>
    </row>
    <row r="46" spans="1:26">
      <c r="A46" s="12"/>
      <c r="B46" s="77" t="s">
        <v>176</v>
      </c>
      <c r="C46" s="78">
        <v>4.4999999999999998E-2</v>
      </c>
      <c r="D46" s="12"/>
      <c r="E46" s="12"/>
      <c r="F46" s="12"/>
      <c r="G46" s="26"/>
      <c r="H46" s="26"/>
      <c r="I46" s="26"/>
      <c r="J46" s="26"/>
      <c r="K46" s="26"/>
      <c r="L46" s="26"/>
      <c r="M46" s="26"/>
      <c r="N46" s="26"/>
      <c r="O46" s="26"/>
      <c r="P46" s="26"/>
      <c r="Q46" s="26"/>
      <c r="R46" s="26"/>
      <c r="S46" s="26"/>
      <c r="T46" s="26"/>
      <c r="U46" s="26"/>
      <c r="V46" s="26"/>
      <c r="W46" s="26"/>
      <c r="X46" s="26"/>
      <c r="Y46" s="26"/>
    </row>
    <row r="47" spans="1:26">
      <c r="A47" s="12"/>
      <c r="B47" s="77" t="s">
        <v>158</v>
      </c>
      <c r="C47" s="96">
        <v>3</v>
      </c>
      <c r="D47" s="12"/>
      <c r="E47" s="12"/>
      <c r="F47" s="12"/>
      <c r="G47" s="26"/>
      <c r="H47" s="26"/>
      <c r="I47" s="26"/>
      <c r="J47" s="26"/>
      <c r="K47" s="76"/>
      <c r="L47" s="76"/>
      <c r="M47" s="76"/>
      <c r="N47" s="76"/>
      <c r="O47" s="76"/>
      <c r="P47" s="76"/>
      <c r="Q47" s="26"/>
      <c r="R47" s="26"/>
      <c r="S47" s="26"/>
      <c r="T47" s="26"/>
      <c r="U47" s="26"/>
      <c r="V47" s="26"/>
      <c r="W47" s="26"/>
      <c r="X47" s="26"/>
      <c r="Y47" s="26"/>
    </row>
    <row r="48" spans="1:26">
      <c r="A48" s="12"/>
      <c r="B48" s="12"/>
      <c r="C48" s="12"/>
      <c r="D48" s="12"/>
      <c r="E48" s="12"/>
      <c r="F48" s="12"/>
      <c r="G48" s="26"/>
      <c r="H48" s="26"/>
      <c r="I48" s="26"/>
      <c r="J48" s="26"/>
      <c r="K48" s="26"/>
      <c r="L48" s="26"/>
      <c r="M48" s="26"/>
      <c r="N48" s="26"/>
      <c r="O48" s="26"/>
      <c r="P48" s="26"/>
      <c r="Q48" s="26"/>
      <c r="R48" s="26"/>
      <c r="S48" s="26"/>
      <c r="T48" s="26"/>
      <c r="U48" s="26"/>
      <c r="V48" s="26"/>
      <c r="W48" s="26"/>
      <c r="X48" s="26"/>
      <c r="Y48" s="26"/>
    </row>
    <row r="49" spans="1:25" hidden="1">
      <c r="A49" s="30"/>
      <c r="B49" s="92" t="s">
        <v>280</v>
      </c>
      <c r="C49" s="92"/>
      <c r="D49" s="92"/>
      <c r="E49" s="92"/>
      <c r="F49" s="92"/>
      <c r="G49" s="93">
        <f t="shared" ref="G49:Y49" si="16">G10/(350000*G3)*10^7</f>
        <v>12761.697645714285</v>
      </c>
      <c r="H49" s="93">
        <f t="shared" si="16"/>
        <v>13335.974039771427</v>
      </c>
      <c r="I49" s="93">
        <f t="shared" si="16"/>
        <v>13936.092871561143</v>
      </c>
      <c r="J49" s="93">
        <f t="shared" si="16"/>
        <v>14563.217050781386</v>
      </c>
      <c r="K49" s="93">
        <f t="shared" si="16"/>
        <v>15218.56181806655</v>
      </c>
      <c r="L49" s="93">
        <f t="shared" si="16"/>
        <v>15903.397099879541</v>
      </c>
      <c r="M49" s="93">
        <f t="shared" si="16"/>
        <v>16619.049969374122</v>
      </c>
      <c r="N49" s="93">
        <f t="shared" si="16"/>
        <v>17366.907217995951</v>
      </c>
      <c r="O49" s="93">
        <f t="shared" si="16"/>
        <v>18148.418042805766</v>
      </c>
      <c r="P49" s="93">
        <f t="shared" si="16"/>
        <v>18965.096854732026</v>
      </c>
      <c r="Q49" s="93">
        <f t="shared" si="16"/>
        <v>19818.526213194964</v>
      </c>
      <c r="R49" s="93">
        <f t="shared" si="16"/>
        <v>20710.35989278874</v>
      </c>
      <c r="S49" s="93">
        <f t="shared" si="16"/>
        <v>21642.326087964226</v>
      </c>
      <c r="T49" s="93">
        <f t="shared" si="16"/>
        <v>22616.230761922616</v>
      </c>
      <c r="U49" s="93">
        <f t="shared" si="16"/>
        <v>23633.961146209134</v>
      </c>
      <c r="V49" s="93">
        <f t="shared" si="16"/>
        <v>24697.489397788537</v>
      </c>
      <c r="W49" s="93">
        <f t="shared" si="16"/>
        <v>25808.876420689019</v>
      </c>
      <c r="X49" s="93">
        <f t="shared" si="16"/>
        <v>26970.275859620018</v>
      </c>
      <c r="Y49" s="94">
        <f t="shared" si="16"/>
        <v>28183.938273302916</v>
      </c>
    </row>
    <row r="50" spans="1:25" hidden="1">
      <c r="A50" s="30"/>
      <c r="B50" s="12" t="s">
        <v>281</v>
      </c>
      <c r="C50" s="12"/>
      <c r="D50" s="12"/>
      <c r="E50" s="12"/>
      <c r="F50" s="12"/>
      <c r="G50" s="21">
        <f>G21/((350000*G3))*10^7</f>
        <v>8981.5905412885859</v>
      </c>
      <c r="H50" s="21">
        <f>H21/((350000*H3))*10^7</f>
        <v>9119.5813199666227</v>
      </c>
      <c r="I50" s="21">
        <f>I21/((350000*I3))*10^7</f>
        <v>9372.8501570498702</v>
      </c>
      <c r="J50" s="21">
        <f t="shared" ref="J50:Y50" si="17">J21/((350000))*10^7</f>
        <v>7758.6401769172135</v>
      </c>
      <c r="K50" s="21">
        <f t="shared" si="17"/>
        <v>8190.7659988441401</v>
      </c>
      <c r="L50" s="21">
        <f t="shared" si="17"/>
        <v>8656.4275644930585</v>
      </c>
      <c r="M50" s="21">
        <f t="shared" si="17"/>
        <v>9146.4890578064933</v>
      </c>
      <c r="N50" s="21">
        <f t="shared" si="17"/>
        <v>9667.7253869188171</v>
      </c>
      <c r="O50" s="21">
        <f t="shared" si="17"/>
        <v>10231.695531249998</v>
      </c>
      <c r="P50" s="21">
        <f t="shared" si="17"/>
        <v>10787.238313126953</v>
      </c>
      <c r="Q50" s="21">
        <f t="shared" si="17"/>
        <v>11380.741532467915</v>
      </c>
      <c r="R50" s="21">
        <f t="shared" si="17"/>
        <v>12010.112268228919</v>
      </c>
      <c r="S50" s="21">
        <f t="shared" si="17"/>
        <v>12663.819144625799</v>
      </c>
      <c r="T50" s="21">
        <f t="shared" si="17"/>
        <v>13351.031487199209</v>
      </c>
      <c r="U50" s="21">
        <f t="shared" si="17"/>
        <v>14074.525974965663</v>
      </c>
      <c r="V50" s="21">
        <f t="shared" si="17"/>
        <v>14853.739951908301</v>
      </c>
      <c r="W50" s="21">
        <f t="shared" si="17"/>
        <v>15680.32092642056</v>
      </c>
      <c r="X50" s="21">
        <f t="shared" si="17"/>
        <v>16562.994577730831</v>
      </c>
      <c r="Y50" s="21">
        <f t="shared" si="17"/>
        <v>17480.817755318029</v>
      </c>
    </row>
    <row r="51" spans="1:25" hidden="1">
      <c r="A51" s="30"/>
      <c r="B51" s="75" t="s">
        <v>174</v>
      </c>
      <c r="C51" s="75"/>
      <c r="D51" s="75"/>
      <c r="E51" s="75"/>
      <c r="F51" s="75"/>
      <c r="G51" s="95">
        <f>G49-G50</f>
        <v>3780.1071044256987</v>
      </c>
      <c r="H51" s="95">
        <f t="shared" ref="H51:Y51" si="18">H49-H50</f>
        <v>4216.3927198048041</v>
      </c>
      <c r="I51" s="95">
        <f t="shared" si="18"/>
        <v>4563.2427145112724</v>
      </c>
      <c r="J51" s="95">
        <f t="shared" si="18"/>
        <v>6804.5768738641727</v>
      </c>
      <c r="K51" s="95">
        <f t="shared" si="18"/>
        <v>7027.7958192224096</v>
      </c>
      <c r="L51" s="95">
        <f t="shared" si="18"/>
        <v>7246.9695353864827</v>
      </c>
      <c r="M51" s="95">
        <f t="shared" si="18"/>
        <v>7472.5609115676289</v>
      </c>
      <c r="N51" s="95">
        <f t="shared" si="18"/>
        <v>7699.1818310771341</v>
      </c>
      <c r="O51" s="95">
        <f t="shared" si="18"/>
        <v>7916.7225115557685</v>
      </c>
      <c r="P51" s="95">
        <f t="shared" si="18"/>
        <v>8177.8585416050737</v>
      </c>
      <c r="Q51" s="95">
        <f t="shared" si="18"/>
        <v>8437.7846807270489</v>
      </c>
      <c r="R51" s="95">
        <f t="shared" si="18"/>
        <v>8700.2476245598209</v>
      </c>
      <c r="S51" s="95">
        <f t="shared" si="18"/>
        <v>8978.5069433384269</v>
      </c>
      <c r="T51" s="95">
        <f t="shared" si="18"/>
        <v>9265.1992747234071</v>
      </c>
      <c r="U51" s="95">
        <f t="shared" si="18"/>
        <v>9559.4351712434709</v>
      </c>
      <c r="V51" s="95">
        <f t="shared" si="18"/>
        <v>9843.7494458802357</v>
      </c>
      <c r="W51" s="95">
        <f t="shared" si="18"/>
        <v>10128.555494268459</v>
      </c>
      <c r="X51" s="95">
        <f t="shared" si="18"/>
        <v>10407.281281889187</v>
      </c>
      <c r="Y51" s="86">
        <f t="shared" si="18"/>
        <v>10703.120517984888</v>
      </c>
    </row>
    <row r="52" spans="1:25">
      <c r="A52" s="30"/>
      <c r="B52" s="12"/>
      <c r="C52" s="12"/>
      <c r="D52" s="12"/>
      <c r="E52" s="12"/>
      <c r="F52" s="12"/>
      <c r="G52" s="26"/>
      <c r="H52" s="76"/>
      <c r="I52" s="76"/>
      <c r="J52" s="76"/>
      <c r="K52" s="76"/>
      <c r="L52" s="76"/>
      <c r="M52" s="76"/>
      <c r="N52" s="26"/>
      <c r="O52" s="76"/>
      <c r="P52" s="26"/>
      <c r="Q52" s="26"/>
      <c r="R52" s="26"/>
      <c r="S52" s="26"/>
      <c r="T52" s="26"/>
      <c r="U52" s="26"/>
      <c r="V52" s="26"/>
      <c r="W52" s="26"/>
      <c r="X52" s="26"/>
      <c r="Y52" s="26"/>
    </row>
    <row r="54" spans="1:25">
      <c r="G54" s="202"/>
      <c r="H54" s="202"/>
      <c r="I54" s="202"/>
      <c r="J54" s="202"/>
      <c r="K54" s="202"/>
      <c r="L54" s="202"/>
    </row>
    <row r="55" spans="1:25">
      <c r="G55" s="204"/>
      <c r="H55" s="204"/>
      <c r="I55" s="204"/>
      <c r="J55" s="204"/>
      <c r="K55" s="204"/>
      <c r="L55" s="204"/>
    </row>
    <row r="56" spans="1:25">
      <c r="G56" s="204"/>
      <c r="H56" s="204"/>
      <c r="I56" s="204"/>
      <c r="J56" s="204"/>
      <c r="K56" s="204"/>
      <c r="L56" s="204"/>
    </row>
  </sheetData>
  <mergeCells count="9">
    <mergeCell ref="Q4:Y4"/>
    <mergeCell ref="A1:E1"/>
    <mergeCell ref="B5:B6"/>
    <mergeCell ref="I45:M45"/>
    <mergeCell ref="A7:F7"/>
    <mergeCell ref="A4:B4"/>
    <mergeCell ref="A2:B2"/>
    <mergeCell ref="A3:B3"/>
    <mergeCell ref="G4:P4"/>
  </mergeCells>
  <hyperlinks>
    <hyperlink ref="B34" r:id="rId1" display="NPV@12%" xr:uid="{4C50BE4B-43D2-4EB7-A9AC-72D47A5A55A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0F7E-C505-47EF-9AA5-B9A2D15AF5F9}">
  <dimension ref="A1:L42"/>
  <sheetViews>
    <sheetView showGridLines="0" topLeftCell="A8" zoomScaleNormal="100" zoomScaleSheetLayoutView="100" workbookViewId="0">
      <selection activeCell="C40" sqref="C40"/>
    </sheetView>
  </sheetViews>
  <sheetFormatPr defaultRowHeight="21" customHeight="1"/>
  <cols>
    <col min="1" max="1" width="33" style="260" customWidth="1"/>
    <col min="2" max="2" width="63.7109375" style="260" bestFit="1" customWidth="1"/>
    <col min="3" max="11" width="10.7109375" style="260" customWidth="1"/>
    <col min="12" max="256" width="9.140625" style="260"/>
    <col min="257" max="257" width="35.7109375" style="260" customWidth="1"/>
    <col min="258" max="267" width="10.7109375" style="260" customWidth="1"/>
    <col min="268" max="512" width="9.140625" style="260"/>
    <col min="513" max="513" width="35.7109375" style="260" customWidth="1"/>
    <col min="514" max="523" width="10.7109375" style="260" customWidth="1"/>
    <col min="524" max="768" width="9.140625" style="260"/>
    <col min="769" max="769" width="35.7109375" style="260" customWidth="1"/>
    <col min="770" max="779" width="10.7109375" style="260" customWidth="1"/>
    <col min="780" max="1024" width="9.140625" style="260"/>
    <col min="1025" max="1025" width="35.7109375" style="260" customWidth="1"/>
    <col min="1026" max="1035" width="10.7109375" style="260" customWidth="1"/>
    <col min="1036" max="1280" width="9.140625" style="260"/>
    <col min="1281" max="1281" width="35.7109375" style="260" customWidth="1"/>
    <col min="1282" max="1291" width="10.7109375" style="260" customWidth="1"/>
    <col min="1292" max="1536" width="9.140625" style="260"/>
    <col min="1537" max="1537" width="35.7109375" style="260" customWidth="1"/>
    <col min="1538" max="1547" width="10.7109375" style="260" customWidth="1"/>
    <col min="1548" max="1792" width="9.140625" style="260"/>
    <col min="1793" max="1793" width="35.7109375" style="260" customWidth="1"/>
    <col min="1794" max="1803" width="10.7109375" style="260" customWidth="1"/>
    <col min="1804" max="2048" width="9.140625" style="260"/>
    <col min="2049" max="2049" width="35.7109375" style="260" customWidth="1"/>
    <col min="2050" max="2059" width="10.7109375" style="260" customWidth="1"/>
    <col min="2060" max="2304" width="9.140625" style="260"/>
    <col min="2305" max="2305" width="35.7109375" style="260" customWidth="1"/>
    <col min="2306" max="2315" width="10.7109375" style="260" customWidth="1"/>
    <col min="2316" max="2560" width="9.140625" style="260"/>
    <col min="2561" max="2561" width="35.7109375" style="260" customWidth="1"/>
    <col min="2562" max="2571" width="10.7109375" style="260" customWidth="1"/>
    <col min="2572" max="2816" width="9.140625" style="260"/>
    <col min="2817" max="2817" width="35.7109375" style="260" customWidth="1"/>
    <col min="2818" max="2827" width="10.7109375" style="260" customWidth="1"/>
    <col min="2828" max="3072" width="9.140625" style="260"/>
    <col min="3073" max="3073" width="35.7109375" style="260" customWidth="1"/>
    <col min="3074" max="3083" width="10.7109375" style="260" customWidth="1"/>
    <col min="3084" max="3328" width="9.140625" style="260"/>
    <col min="3329" max="3329" width="35.7109375" style="260" customWidth="1"/>
    <col min="3330" max="3339" width="10.7109375" style="260" customWidth="1"/>
    <col min="3340" max="3584" width="9.140625" style="260"/>
    <col min="3585" max="3585" width="35.7109375" style="260" customWidth="1"/>
    <col min="3586" max="3595" width="10.7109375" style="260" customWidth="1"/>
    <col min="3596" max="3840" width="9.140625" style="260"/>
    <col min="3841" max="3841" width="35.7109375" style="260" customWidth="1"/>
    <col min="3842" max="3851" width="10.7109375" style="260" customWidth="1"/>
    <col min="3852" max="4096" width="9.140625" style="260"/>
    <col min="4097" max="4097" width="35.7109375" style="260" customWidth="1"/>
    <col min="4098" max="4107" width="10.7109375" style="260" customWidth="1"/>
    <col min="4108" max="4352" width="9.140625" style="260"/>
    <col min="4353" max="4353" width="35.7109375" style="260" customWidth="1"/>
    <col min="4354" max="4363" width="10.7109375" style="260" customWidth="1"/>
    <col min="4364" max="4608" width="9.140625" style="260"/>
    <col min="4609" max="4609" width="35.7109375" style="260" customWidth="1"/>
    <col min="4610" max="4619" width="10.7109375" style="260" customWidth="1"/>
    <col min="4620" max="4864" width="9.140625" style="260"/>
    <col min="4865" max="4865" width="35.7109375" style="260" customWidth="1"/>
    <col min="4866" max="4875" width="10.7109375" style="260" customWidth="1"/>
    <col min="4876" max="5120" width="9.140625" style="260"/>
    <col min="5121" max="5121" width="35.7109375" style="260" customWidth="1"/>
    <col min="5122" max="5131" width="10.7109375" style="260" customWidth="1"/>
    <col min="5132" max="5376" width="9.140625" style="260"/>
    <col min="5377" max="5377" width="35.7109375" style="260" customWidth="1"/>
    <col min="5378" max="5387" width="10.7109375" style="260" customWidth="1"/>
    <col min="5388" max="5632" width="9.140625" style="260"/>
    <col min="5633" max="5633" width="35.7109375" style="260" customWidth="1"/>
    <col min="5634" max="5643" width="10.7109375" style="260" customWidth="1"/>
    <col min="5644" max="5888" width="9.140625" style="260"/>
    <col min="5889" max="5889" width="35.7109375" style="260" customWidth="1"/>
    <col min="5890" max="5899" width="10.7109375" style="260" customWidth="1"/>
    <col min="5900" max="6144" width="9.140625" style="260"/>
    <col min="6145" max="6145" width="35.7109375" style="260" customWidth="1"/>
    <col min="6146" max="6155" width="10.7109375" style="260" customWidth="1"/>
    <col min="6156" max="6400" width="9.140625" style="260"/>
    <col min="6401" max="6401" width="35.7109375" style="260" customWidth="1"/>
    <col min="6402" max="6411" width="10.7109375" style="260" customWidth="1"/>
    <col min="6412" max="6656" width="9.140625" style="260"/>
    <col min="6657" max="6657" width="35.7109375" style="260" customWidth="1"/>
    <col min="6658" max="6667" width="10.7109375" style="260" customWidth="1"/>
    <col min="6668" max="6912" width="9.140625" style="260"/>
    <col min="6913" max="6913" width="35.7109375" style="260" customWidth="1"/>
    <col min="6914" max="6923" width="10.7109375" style="260" customWidth="1"/>
    <col min="6924" max="7168" width="9.140625" style="260"/>
    <col min="7169" max="7169" width="35.7109375" style="260" customWidth="1"/>
    <col min="7170" max="7179" width="10.7109375" style="260" customWidth="1"/>
    <col min="7180" max="7424" width="9.140625" style="260"/>
    <col min="7425" max="7425" width="35.7109375" style="260" customWidth="1"/>
    <col min="7426" max="7435" width="10.7109375" style="260" customWidth="1"/>
    <col min="7436" max="7680" width="9.140625" style="260"/>
    <col min="7681" max="7681" width="35.7109375" style="260" customWidth="1"/>
    <col min="7682" max="7691" width="10.7109375" style="260" customWidth="1"/>
    <col min="7692" max="7936" width="9.140625" style="260"/>
    <col min="7937" max="7937" width="35.7109375" style="260" customWidth="1"/>
    <col min="7938" max="7947" width="10.7109375" style="260" customWidth="1"/>
    <col min="7948" max="8192" width="9.140625" style="260"/>
    <col min="8193" max="8193" width="35.7109375" style="260" customWidth="1"/>
    <col min="8194" max="8203" width="10.7109375" style="260" customWidth="1"/>
    <col min="8204" max="8448" width="9.140625" style="260"/>
    <col min="8449" max="8449" width="35.7109375" style="260" customWidth="1"/>
    <col min="8450" max="8459" width="10.7109375" style="260" customWidth="1"/>
    <col min="8460" max="8704" width="9.140625" style="260"/>
    <col min="8705" max="8705" width="35.7109375" style="260" customWidth="1"/>
    <col min="8706" max="8715" width="10.7109375" style="260" customWidth="1"/>
    <col min="8716" max="8960" width="9.140625" style="260"/>
    <col min="8961" max="8961" width="35.7109375" style="260" customWidth="1"/>
    <col min="8962" max="8971" width="10.7109375" style="260" customWidth="1"/>
    <col min="8972" max="9216" width="9.140625" style="260"/>
    <col min="9217" max="9217" width="35.7109375" style="260" customWidth="1"/>
    <col min="9218" max="9227" width="10.7109375" style="260" customWidth="1"/>
    <col min="9228" max="9472" width="9.140625" style="260"/>
    <col min="9473" max="9473" width="35.7109375" style="260" customWidth="1"/>
    <col min="9474" max="9483" width="10.7109375" style="260" customWidth="1"/>
    <col min="9484" max="9728" width="9.140625" style="260"/>
    <col min="9729" max="9729" width="35.7109375" style="260" customWidth="1"/>
    <col min="9730" max="9739" width="10.7109375" style="260" customWidth="1"/>
    <col min="9740" max="9984" width="9.140625" style="260"/>
    <col min="9985" max="9985" width="35.7109375" style="260" customWidth="1"/>
    <col min="9986" max="9995" width="10.7109375" style="260" customWidth="1"/>
    <col min="9996" max="10240" width="9.140625" style="260"/>
    <col min="10241" max="10241" width="35.7109375" style="260" customWidth="1"/>
    <col min="10242" max="10251" width="10.7109375" style="260" customWidth="1"/>
    <col min="10252" max="10496" width="9.140625" style="260"/>
    <col min="10497" max="10497" width="35.7109375" style="260" customWidth="1"/>
    <col min="10498" max="10507" width="10.7109375" style="260" customWidth="1"/>
    <col min="10508" max="10752" width="9.140625" style="260"/>
    <col min="10753" max="10753" width="35.7109375" style="260" customWidth="1"/>
    <col min="10754" max="10763" width="10.7109375" style="260" customWidth="1"/>
    <col min="10764" max="11008" width="9.140625" style="260"/>
    <col min="11009" max="11009" width="35.7109375" style="260" customWidth="1"/>
    <col min="11010" max="11019" width="10.7109375" style="260" customWidth="1"/>
    <col min="11020" max="11264" width="9.140625" style="260"/>
    <col min="11265" max="11265" width="35.7109375" style="260" customWidth="1"/>
    <col min="11266" max="11275" width="10.7109375" style="260" customWidth="1"/>
    <col min="11276" max="11520" width="9.140625" style="260"/>
    <col min="11521" max="11521" width="35.7109375" style="260" customWidth="1"/>
    <col min="11522" max="11531" width="10.7109375" style="260" customWidth="1"/>
    <col min="11532" max="11776" width="9.140625" style="260"/>
    <col min="11777" max="11777" width="35.7109375" style="260" customWidth="1"/>
    <col min="11778" max="11787" width="10.7109375" style="260" customWidth="1"/>
    <col min="11788" max="12032" width="9.140625" style="260"/>
    <col min="12033" max="12033" width="35.7109375" style="260" customWidth="1"/>
    <col min="12034" max="12043" width="10.7109375" style="260" customWidth="1"/>
    <col min="12044" max="12288" width="9.140625" style="260"/>
    <col min="12289" max="12289" width="35.7109375" style="260" customWidth="1"/>
    <col min="12290" max="12299" width="10.7109375" style="260" customWidth="1"/>
    <col min="12300" max="12544" width="9.140625" style="260"/>
    <col min="12545" max="12545" width="35.7109375" style="260" customWidth="1"/>
    <col min="12546" max="12555" width="10.7109375" style="260" customWidth="1"/>
    <col min="12556" max="12800" width="9.140625" style="260"/>
    <col min="12801" max="12801" width="35.7109375" style="260" customWidth="1"/>
    <col min="12802" max="12811" width="10.7109375" style="260" customWidth="1"/>
    <col min="12812" max="13056" width="9.140625" style="260"/>
    <col min="13057" max="13057" width="35.7109375" style="260" customWidth="1"/>
    <col min="13058" max="13067" width="10.7109375" style="260" customWidth="1"/>
    <col min="13068" max="13312" width="9.140625" style="260"/>
    <col min="13313" max="13313" width="35.7109375" style="260" customWidth="1"/>
    <col min="13314" max="13323" width="10.7109375" style="260" customWidth="1"/>
    <col min="13324" max="13568" width="9.140625" style="260"/>
    <col min="13569" max="13569" width="35.7109375" style="260" customWidth="1"/>
    <col min="13570" max="13579" width="10.7109375" style="260" customWidth="1"/>
    <col min="13580" max="13824" width="9.140625" style="260"/>
    <col min="13825" max="13825" width="35.7109375" style="260" customWidth="1"/>
    <col min="13826" max="13835" width="10.7109375" style="260" customWidth="1"/>
    <col min="13836" max="14080" width="9.140625" style="260"/>
    <col min="14081" max="14081" width="35.7109375" style="260" customWidth="1"/>
    <col min="14082" max="14091" width="10.7109375" style="260" customWidth="1"/>
    <col min="14092" max="14336" width="9.140625" style="260"/>
    <col min="14337" max="14337" width="35.7109375" style="260" customWidth="1"/>
    <col min="14338" max="14347" width="10.7109375" style="260" customWidth="1"/>
    <col min="14348" max="14592" width="9.140625" style="260"/>
    <col min="14593" max="14593" width="35.7109375" style="260" customWidth="1"/>
    <col min="14594" max="14603" width="10.7109375" style="260" customWidth="1"/>
    <col min="14604" max="14848" width="9.140625" style="260"/>
    <col min="14849" max="14849" width="35.7109375" style="260" customWidth="1"/>
    <col min="14850" max="14859" width="10.7109375" style="260" customWidth="1"/>
    <col min="14860" max="15104" width="9.140625" style="260"/>
    <col min="15105" max="15105" width="35.7109375" style="260" customWidth="1"/>
    <col min="15106" max="15115" width="10.7109375" style="260" customWidth="1"/>
    <col min="15116" max="15360" width="9.140625" style="260"/>
    <col min="15361" max="15361" width="35.7109375" style="260" customWidth="1"/>
    <col min="15362" max="15371" width="10.7109375" style="260" customWidth="1"/>
    <col min="15372" max="15616" width="9.140625" style="260"/>
    <col min="15617" max="15617" width="35.7109375" style="260" customWidth="1"/>
    <col min="15618" max="15627" width="10.7109375" style="260" customWidth="1"/>
    <col min="15628" max="15872" width="9.140625" style="260"/>
    <col min="15873" max="15873" width="35.7109375" style="260" customWidth="1"/>
    <col min="15874" max="15883" width="10.7109375" style="260" customWidth="1"/>
    <col min="15884" max="16128" width="9.140625" style="260"/>
    <col min="16129" max="16129" width="35.7109375" style="260" customWidth="1"/>
    <col min="16130" max="16139" width="10.7109375" style="260" customWidth="1"/>
    <col min="16140" max="16384" width="9.140625" style="260"/>
  </cols>
  <sheetData>
    <row r="1" spans="1:12" ht="21" customHeight="1">
      <c r="A1" s="458" t="s">
        <v>299</v>
      </c>
      <c r="B1" s="459"/>
      <c r="C1" s="459"/>
      <c r="D1" s="459"/>
      <c r="E1" s="459"/>
      <c r="F1" s="459"/>
      <c r="G1" s="459"/>
      <c r="H1" s="459"/>
      <c r="I1" s="459"/>
      <c r="J1" s="459"/>
      <c r="K1" s="460"/>
    </row>
    <row r="2" spans="1:12" ht="21" customHeight="1">
      <c r="A2" s="119" t="s">
        <v>100</v>
      </c>
      <c r="B2" s="120">
        <f>'Cashflow '!G3</f>
        <v>0.5</v>
      </c>
      <c r="C2" s="120">
        <f>'Cashflow '!H3</f>
        <v>0.6</v>
      </c>
      <c r="D2" s="120">
        <f>'Cashflow '!I3</f>
        <v>0.7</v>
      </c>
      <c r="E2" s="120">
        <f>'Cashflow '!J3</f>
        <v>0.8</v>
      </c>
      <c r="F2" s="120">
        <f>'Cashflow '!K3</f>
        <v>0.8</v>
      </c>
      <c r="G2" s="120">
        <f>'Cashflow '!L3</f>
        <v>0.8</v>
      </c>
      <c r="H2" s="120">
        <f>'Cashflow '!M3</f>
        <v>0.8</v>
      </c>
      <c r="I2" s="120">
        <f>'Cashflow '!N3</f>
        <v>0.8</v>
      </c>
      <c r="J2" s="120">
        <f>'Cashflow '!O3</f>
        <v>0.8</v>
      </c>
      <c r="K2" s="410">
        <f>'Cashflow '!P3</f>
        <v>0.8</v>
      </c>
    </row>
    <row r="3" spans="1:12" ht="18.75" customHeight="1">
      <c r="A3" s="479" t="s">
        <v>101</v>
      </c>
      <c r="B3" s="480"/>
      <c r="C3" s="480"/>
      <c r="D3" s="480"/>
      <c r="E3" s="480"/>
      <c r="F3" s="480"/>
      <c r="G3" s="480"/>
      <c r="H3" s="480"/>
      <c r="I3" s="480"/>
      <c r="J3" s="480"/>
      <c r="K3" s="481"/>
      <c r="L3" s="261"/>
    </row>
    <row r="4" spans="1:12" ht="21" customHeight="1">
      <c r="A4" s="119"/>
      <c r="B4" s="121" t="s">
        <v>102</v>
      </c>
      <c r="C4" s="121" t="s">
        <v>103</v>
      </c>
      <c r="D4" s="121" t="s">
        <v>104</v>
      </c>
      <c r="E4" s="121" t="s">
        <v>105</v>
      </c>
      <c r="F4" s="121" t="s">
        <v>106</v>
      </c>
      <c r="G4" s="121" t="s">
        <v>107</v>
      </c>
      <c r="H4" s="121" t="s">
        <v>108</v>
      </c>
      <c r="I4" s="121" t="s">
        <v>109</v>
      </c>
      <c r="J4" s="121" t="s">
        <v>110</v>
      </c>
      <c r="K4" s="122" t="s">
        <v>111</v>
      </c>
      <c r="L4" s="261"/>
    </row>
    <row r="5" spans="1:12" s="254" customFormat="1" ht="21" customHeight="1">
      <c r="A5" s="119" t="s">
        <v>138</v>
      </c>
      <c r="B5" s="141">
        <f>'Cashflow '!G10</f>
        <v>223.32970879999999</v>
      </c>
      <c r="C5" s="141">
        <f>'Cashflow '!H10</f>
        <v>280.05545483519995</v>
      </c>
      <c r="D5" s="141">
        <f>'Cashflow '!I10</f>
        <v>341.43427535324798</v>
      </c>
      <c r="E5" s="141">
        <f>'Cashflow '!J10</f>
        <v>407.77007742187885</v>
      </c>
      <c r="F5" s="141">
        <f>'Cashflow '!K10</f>
        <v>426.11973090586343</v>
      </c>
      <c r="G5" s="141">
        <f>'Cashflow '!L10</f>
        <v>445.29511879662715</v>
      </c>
      <c r="H5" s="141">
        <f>'Cashflow '!M10</f>
        <v>465.3333991424754</v>
      </c>
      <c r="I5" s="141">
        <f>'Cashflow '!N10</f>
        <v>486.27340210388661</v>
      </c>
      <c r="J5" s="141">
        <f>'Cashflow '!O10</f>
        <v>508.15570519856152</v>
      </c>
      <c r="K5" s="142">
        <f>'Cashflow '!P10</f>
        <v>531.02271193249669</v>
      </c>
      <c r="L5" s="261"/>
    </row>
    <row r="6" spans="1:12" s="254" customFormat="1" ht="21" customHeight="1">
      <c r="A6" s="119" t="s">
        <v>186</v>
      </c>
      <c r="B6" s="141">
        <f>SUM(B7:B12)</f>
        <v>157.17783447255027</v>
      </c>
      <c r="C6" s="141">
        <f t="shared" ref="C6:K6" si="0">SUM(C7:C12)</f>
        <v>191.51120771929908</v>
      </c>
      <c r="D6" s="141">
        <f t="shared" si="0"/>
        <v>229.63482884772179</v>
      </c>
      <c r="E6" s="141">
        <f t="shared" si="0"/>
        <v>271.55240619210247</v>
      </c>
      <c r="F6" s="141">
        <f t="shared" si="0"/>
        <v>286.67680995954493</v>
      </c>
      <c r="G6" s="141">
        <f t="shared" si="0"/>
        <v>302.97496475725706</v>
      </c>
      <c r="H6" s="141">
        <f t="shared" si="0"/>
        <v>320.1271170232273</v>
      </c>
      <c r="I6" s="141">
        <f t="shared" si="0"/>
        <v>338.37038854215859</v>
      </c>
      <c r="J6" s="141">
        <f t="shared" si="0"/>
        <v>358.10934359374994</v>
      </c>
      <c r="K6" s="142">
        <f t="shared" si="0"/>
        <v>377.55334095944335</v>
      </c>
      <c r="L6" s="261"/>
    </row>
    <row r="7" spans="1:12" s="254" customFormat="1" ht="21" customHeight="1">
      <c r="A7" s="53" t="s">
        <v>16</v>
      </c>
      <c r="B7" s="141">
        <f>'Cashflow '!G15</f>
        <v>119.26545751168423</v>
      </c>
      <c r="C7" s="141">
        <f>'Cashflow '!H15</f>
        <v>151.66766398009909</v>
      </c>
      <c r="D7" s="141">
        <f>'Cashflow '!I15</f>
        <v>187.75574600490788</v>
      </c>
      <c r="E7" s="141">
        <f>'Cashflow '!J15</f>
        <v>227.53024510558063</v>
      </c>
      <c r="F7" s="141">
        <f>'Cashflow '!K15</f>
        <v>240.64611231956926</v>
      </c>
      <c r="G7" s="141">
        <f>'Cashflow '!L15</f>
        <v>254.84495488476074</v>
      </c>
      <c r="H7" s="141">
        <f>'Cashflow '!M15</f>
        <v>269.80167786446992</v>
      </c>
      <c r="I7" s="141">
        <f>'Cashflow '!N15</f>
        <v>285.74898053884397</v>
      </c>
      <c r="J7" s="141">
        <f>'Cashflow '!O15</f>
        <v>303.08679993303832</v>
      </c>
      <c r="K7" s="142">
        <f>'Cashflow '!P15</f>
        <v>320.01965327169728</v>
      </c>
      <c r="L7" s="261"/>
    </row>
    <row r="8" spans="1:12" s="254" customFormat="1" ht="21" customHeight="1">
      <c r="A8" s="53" t="s">
        <v>157</v>
      </c>
      <c r="B8" s="141">
        <f>'Cashflow '!G16</f>
        <v>0.98543499999999984</v>
      </c>
      <c r="C8" s="141">
        <f>'Cashflow '!H16</f>
        <v>1.2548893900949998</v>
      </c>
      <c r="D8" s="141">
        <f>'Cashflow '!I16</f>
        <v>1.5539390479991797</v>
      </c>
      <c r="E8" s="141">
        <f>'Cashflow '!J16</f>
        <v>1.882385820940478</v>
      </c>
      <c r="F8" s="141">
        <f>'Cashflow '!K16</f>
        <v>1.9946324874431587</v>
      </c>
      <c r="G8" s="141">
        <f>'Cashflow '!L16</f>
        <v>2.1123217880997665</v>
      </c>
      <c r="H8" s="141">
        <f>'Cashflow '!M16</f>
        <v>2.236955110563017</v>
      </c>
      <c r="I8" s="141">
        <f>'Cashflow '!N16</f>
        <v>2.3689421729515661</v>
      </c>
      <c r="J8" s="141">
        <f>'Cashflow '!O16</f>
        <v>2.5087168679822276</v>
      </c>
      <c r="K8" s="142">
        <f>'Cashflow '!P16</f>
        <v>2.6567386893437823</v>
      </c>
      <c r="L8" s="261"/>
    </row>
    <row r="9" spans="1:12" s="254" customFormat="1" ht="21" customHeight="1">
      <c r="A9" s="53" t="s">
        <v>17</v>
      </c>
      <c r="B9" s="141">
        <f>'Cashflow '!G17</f>
        <v>10.69035</v>
      </c>
      <c r="C9" s="141">
        <f>'Cashflow '!H17</f>
        <v>11.171415749999998</v>
      </c>
      <c r="D9" s="141">
        <f>'Cashflow '!I17</f>
        <v>11.674129458749999</v>
      </c>
      <c r="E9" s="141">
        <f>'Cashflow '!J17</f>
        <v>12.199465284393746</v>
      </c>
      <c r="F9" s="141">
        <f>'Cashflow '!K17</f>
        <v>12.748441222191463</v>
      </c>
      <c r="G9" s="141">
        <f>'Cashflow '!L17</f>
        <v>13.322121077190076</v>
      </c>
      <c r="H9" s="141">
        <f>'Cashflow '!M17</f>
        <v>13.92161652566363</v>
      </c>
      <c r="I9" s="141">
        <f>'Cashflow '!N17</f>
        <v>14.54808926931849</v>
      </c>
      <c r="J9" s="141">
        <f>'Cashflow '!O17</f>
        <v>15.202753286437821</v>
      </c>
      <c r="K9" s="142">
        <f>'Cashflow '!P17</f>
        <v>15.88687718432752</v>
      </c>
      <c r="L9" s="261"/>
    </row>
    <row r="10" spans="1:12" s="254" customFormat="1" ht="21" customHeight="1">
      <c r="A10" s="53" t="s">
        <v>7</v>
      </c>
      <c r="B10" s="141">
        <f>'Cashflow '!G18</f>
        <v>8.6491464478660252</v>
      </c>
      <c r="C10" s="141">
        <f>'Cashflow '!H18</f>
        <v>9.0383580380199948</v>
      </c>
      <c r="D10" s="141">
        <f>'Cashflow '!I18</f>
        <v>9.4450841497308939</v>
      </c>
      <c r="E10" s="141">
        <f>'Cashflow '!J18</f>
        <v>9.8701129364687823</v>
      </c>
      <c r="F10" s="141">
        <f>'Cashflow '!K18</f>
        <v>10.314268018609877</v>
      </c>
      <c r="G10" s="141">
        <f>'Cashflow '!L18</f>
        <v>10.778410079447319</v>
      </c>
      <c r="H10" s="141">
        <f>'Cashflow '!M18</f>
        <v>11.26343853302245</v>
      </c>
      <c r="I10" s="141">
        <f>'Cashflow '!N18</f>
        <v>11.770293267008455</v>
      </c>
      <c r="J10" s="141">
        <f>'Cashflow '!O18</f>
        <v>12.299956464023836</v>
      </c>
      <c r="K10" s="142">
        <f>'Cashflow '!P18</f>
        <v>12.853454504904906</v>
      </c>
      <c r="L10" s="261"/>
    </row>
    <row r="11" spans="1:12" s="254" customFormat="1" ht="21" customHeight="1">
      <c r="A11" s="53" t="s">
        <v>10</v>
      </c>
      <c r="B11" s="141">
        <f>'Cashflow '!G19</f>
        <v>6.3972444249999985</v>
      </c>
      <c r="C11" s="141">
        <f>'Cashflow '!H19</f>
        <v>6.6851204241249977</v>
      </c>
      <c r="D11" s="141">
        <f>'Cashflow '!I19</f>
        <v>6.985950843210623</v>
      </c>
      <c r="E11" s="141">
        <f>'Cashflow '!J19</f>
        <v>7.3003186311550987</v>
      </c>
      <c r="F11" s="141">
        <f>'Cashflow '!K19</f>
        <v>7.6288329695570782</v>
      </c>
      <c r="G11" s="141">
        <f>'Cashflow '!L19</f>
        <v>7.9721304531871446</v>
      </c>
      <c r="H11" s="141">
        <f>'Cashflow '!M19</f>
        <v>8.3308763235805667</v>
      </c>
      <c r="I11" s="141">
        <f>'Cashflow '!N19</f>
        <v>8.7057657581416894</v>
      </c>
      <c r="J11" s="141">
        <f>'Cashflow '!O19</f>
        <v>9.097525217258065</v>
      </c>
      <c r="K11" s="142">
        <f>'Cashflow '!P19</f>
        <v>9.5069138520346765</v>
      </c>
      <c r="L11" s="261"/>
    </row>
    <row r="12" spans="1:12" s="254" customFormat="1" ht="21" customHeight="1">
      <c r="A12" s="53" t="s">
        <v>11</v>
      </c>
      <c r="B12" s="141">
        <f>'Cashflow '!G20</f>
        <v>11.190201088</v>
      </c>
      <c r="C12" s="141">
        <f>'Cashflow '!H20</f>
        <v>11.693760136959998</v>
      </c>
      <c r="D12" s="141">
        <f>'Cashflow '!I20</f>
        <v>12.2199793431232</v>
      </c>
      <c r="E12" s="141">
        <f>'Cashflow '!J20</f>
        <v>12.76987841356374</v>
      </c>
      <c r="F12" s="141">
        <f>'Cashflow '!K20</f>
        <v>13.344522942174107</v>
      </c>
      <c r="G12" s="141">
        <f>'Cashflow '!L20</f>
        <v>13.945026474571939</v>
      </c>
      <c r="H12" s="141">
        <f>'Cashflow '!M20</f>
        <v>14.572552665927677</v>
      </c>
      <c r="I12" s="141">
        <f>'Cashflow '!N20</f>
        <v>15.228317535894417</v>
      </c>
      <c r="J12" s="141">
        <f>'Cashflow '!O20</f>
        <v>15.913591825009666</v>
      </c>
      <c r="K12" s="142">
        <f>'Cashflow '!P20</f>
        <v>16.629703457135097</v>
      </c>
      <c r="L12" s="261"/>
    </row>
    <row r="13" spans="1:12" ht="21" customHeight="1">
      <c r="A13" s="119" t="s">
        <v>187</v>
      </c>
      <c r="B13" s="141">
        <f t="shared" ref="B13:K13" si="1">B5-B6</f>
        <v>66.151874327449718</v>
      </c>
      <c r="C13" s="141">
        <f t="shared" si="1"/>
        <v>88.544247115900873</v>
      </c>
      <c r="D13" s="141">
        <f t="shared" si="1"/>
        <v>111.79944650552619</v>
      </c>
      <c r="E13" s="141">
        <f t="shared" si="1"/>
        <v>136.21767122977639</v>
      </c>
      <c r="F13" s="141">
        <f t="shared" si="1"/>
        <v>139.44292094631851</v>
      </c>
      <c r="G13" s="141">
        <f t="shared" si="1"/>
        <v>142.3201540393701</v>
      </c>
      <c r="H13" s="141">
        <f t="shared" si="1"/>
        <v>145.2062821192481</v>
      </c>
      <c r="I13" s="141">
        <f t="shared" si="1"/>
        <v>147.90301356172802</v>
      </c>
      <c r="J13" s="141">
        <f t="shared" si="1"/>
        <v>150.04636160481158</v>
      </c>
      <c r="K13" s="142">
        <f t="shared" si="1"/>
        <v>153.46937097305334</v>
      </c>
      <c r="L13" s="262"/>
    </row>
    <row r="14" spans="1:12" s="254" customFormat="1" ht="21" customHeight="1">
      <c r="A14" s="119" t="s">
        <v>190</v>
      </c>
      <c r="B14" s="141">
        <f>'Cashflow '!$F$8/10</f>
        <v>56.454999999999998</v>
      </c>
      <c r="C14" s="141">
        <f>'Cashflow '!$F$8/10</f>
        <v>56.454999999999998</v>
      </c>
      <c r="D14" s="141">
        <f>'Cashflow '!$F$8/10</f>
        <v>56.454999999999998</v>
      </c>
      <c r="E14" s="141">
        <f>'Cashflow '!$F$8/10</f>
        <v>56.454999999999998</v>
      </c>
      <c r="F14" s="141">
        <f>'Cashflow '!$F$8/10</f>
        <v>56.454999999999998</v>
      </c>
      <c r="G14" s="141">
        <f>'Cashflow '!$F$8/10</f>
        <v>56.454999999999998</v>
      </c>
      <c r="H14" s="141">
        <f>'Cashflow '!$F$8/10</f>
        <v>56.454999999999998</v>
      </c>
      <c r="I14" s="141">
        <f>'Cashflow '!$F$8/10</f>
        <v>56.454999999999998</v>
      </c>
      <c r="J14" s="141">
        <f>'Cashflow '!$F$8/10</f>
        <v>56.454999999999998</v>
      </c>
      <c r="K14" s="142">
        <f>'Cashflow '!$F$8/10</f>
        <v>56.454999999999998</v>
      </c>
      <c r="L14" s="261"/>
    </row>
    <row r="15" spans="1:12" s="254" customFormat="1" ht="21" customHeight="1">
      <c r="A15" s="119" t="s">
        <v>191</v>
      </c>
      <c r="B15" s="141">
        <f>B13-B14</f>
        <v>9.69687432744972</v>
      </c>
      <c r="C15" s="141">
        <f t="shared" ref="C15:K15" si="2">C13-C14</f>
        <v>32.089247115900875</v>
      </c>
      <c r="D15" s="141">
        <f t="shared" si="2"/>
        <v>55.344446505526193</v>
      </c>
      <c r="E15" s="141">
        <f t="shared" si="2"/>
        <v>79.762671229776387</v>
      </c>
      <c r="F15" s="141">
        <f t="shared" si="2"/>
        <v>82.987920946318511</v>
      </c>
      <c r="G15" s="141">
        <f t="shared" si="2"/>
        <v>85.865154039370097</v>
      </c>
      <c r="H15" s="141">
        <f t="shared" si="2"/>
        <v>88.751282119248103</v>
      </c>
      <c r="I15" s="141">
        <f t="shared" si="2"/>
        <v>91.448013561728018</v>
      </c>
      <c r="J15" s="141">
        <f t="shared" si="2"/>
        <v>93.591361604811581</v>
      </c>
      <c r="K15" s="142">
        <f t="shared" si="2"/>
        <v>97.014370973053346</v>
      </c>
      <c r="L15" s="261"/>
    </row>
    <row r="16" spans="1:12" s="254" customFormat="1" ht="21" customHeight="1">
      <c r="A16" s="119" t="s">
        <v>112</v>
      </c>
      <c r="B16" s="141">
        <f>B15*0.2517</f>
        <v>2.4407032682190941</v>
      </c>
      <c r="C16" s="141">
        <f>C15*0.25</f>
        <v>8.0223117789752187</v>
      </c>
      <c r="D16" s="141">
        <f t="shared" ref="D16:K16" si="3">D15*0.25</f>
        <v>13.836111626381548</v>
      </c>
      <c r="E16" s="141">
        <f t="shared" si="3"/>
        <v>19.940667807444097</v>
      </c>
      <c r="F16" s="141">
        <f t="shared" si="3"/>
        <v>20.746980236579628</v>
      </c>
      <c r="G16" s="141">
        <f t="shared" si="3"/>
        <v>21.466288509842524</v>
      </c>
      <c r="H16" s="141">
        <f t="shared" si="3"/>
        <v>22.187820529812026</v>
      </c>
      <c r="I16" s="141">
        <f t="shared" si="3"/>
        <v>22.862003390432005</v>
      </c>
      <c r="J16" s="141">
        <f t="shared" si="3"/>
        <v>23.397840401202895</v>
      </c>
      <c r="K16" s="142">
        <f t="shared" si="3"/>
        <v>24.253592743263336</v>
      </c>
      <c r="L16" s="261"/>
    </row>
    <row r="17" spans="1:12" s="254" customFormat="1" ht="21" customHeight="1">
      <c r="A17" s="123" t="s">
        <v>113</v>
      </c>
      <c r="B17" s="143">
        <f>B15-B16</f>
        <v>7.2561710592306259</v>
      </c>
      <c r="C17" s="143">
        <f t="shared" ref="C17:K17" si="4">C15-C16</f>
        <v>24.066935336925656</v>
      </c>
      <c r="D17" s="143">
        <f t="shared" si="4"/>
        <v>41.508334879144641</v>
      </c>
      <c r="E17" s="143">
        <f t="shared" si="4"/>
        <v>59.822003422332287</v>
      </c>
      <c r="F17" s="143">
        <f t="shared" si="4"/>
        <v>62.240940709738879</v>
      </c>
      <c r="G17" s="143">
        <f t="shared" si="4"/>
        <v>64.398865529527569</v>
      </c>
      <c r="H17" s="143">
        <f t="shared" si="4"/>
        <v>66.563461589436073</v>
      </c>
      <c r="I17" s="143">
        <f t="shared" si="4"/>
        <v>68.58601017129601</v>
      </c>
      <c r="J17" s="143">
        <f t="shared" si="4"/>
        <v>70.193521203608682</v>
      </c>
      <c r="K17" s="144">
        <f t="shared" si="4"/>
        <v>72.760778229790006</v>
      </c>
      <c r="L17" s="261"/>
    </row>
    <row r="18" spans="1:12" ht="21" customHeight="1">
      <c r="A18" s="454" t="s">
        <v>317</v>
      </c>
      <c r="B18" s="455"/>
      <c r="C18" s="455"/>
      <c r="D18" s="455"/>
      <c r="E18" s="455"/>
      <c r="F18" s="455"/>
      <c r="G18" s="263"/>
      <c r="H18" s="263"/>
      <c r="I18" s="263"/>
      <c r="J18" s="263"/>
      <c r="K18" s="263"/>
    </row>
    <row r="19" spans="1:12" ht="21" customHeight="1">
      <c r="A19" s="119" t="s">
        <v>100</v>
      </c>
      <c r="B19" s="120">
        <f>'Cashflow '!J3</f>
        <v>0.8</v>
      </c>
      <c r="C19" s="120"/>
      <c r="D19" s="120"/>
      <c r="E19" s="120"/>
      <c r="F19" s="410"/>
      <c r="H19" s="263"/>
      <c r="I19" s="263"/>
      <c r="J19" s="263"/>
      <c r="K19" s="263"/>
    </row>
    <row r="20" spans="1:12" ht="21" customHeight="1">
      <c r="A20" s="479" t="s">
        <v>101</v>
      </c>
      <c r="B20" s="480"/>
      <c r="C20" s="480"/>
      <c r="D20" s="480"/>
      <c r="E20" s="480"/>
      <c r="F20" s="481"/>
      <c r="H20" s="263"/>
      <c r="I20" s="263"/>
      <c r="J20" s="263"/>
      <c r="K20" s="263"/>
    </row>
    <row r="21" spans="1:12" ht="21" customHeight="1">
      <c r="A21" s="119"/>
      <c r="B21" s="121" t="s">
        <v>105</v>
      </c>
      <c r="C21" s="121">
        <v>1</v>
      </c>
      <c r="D21" s="121">
        <v>2</v>
      </c>
      <c r="E21" s="121">
        <v>3</v>
      </c>
      <c r="F21" s="122">
        <v>4</v>
      </c>
      <c r="H21" s="263"/>
      <c r="I21" s="263"/>
      <c r="J21" s="263"/>
      <c r="K21" s="263"/>
    </row>
    <row r="22" spans="1:12" ht="21" customHeight="1">
      <c r="A22" s="119" t="s">
        <v>138</v>
      </c>
      <c r="B22" s="141">
        <f>E5</f>
        <v>407.77007742187885</v>
      </c>
      <c r="C22" s="141">
        <f>B22-(B22*0.11)</f>
        <v>362.91536890547218</v>
      </c>
      <c r="D22" s="141">
        <f>E5</f>
        <v>407.77007742187885</v>
      </c>
      <c r="E22" s="141">
        <f>B22-(B22*0.05)</f>
        <v>387.38157355078488</v>
      </c>
      <c r="F22" s="142">
        <f>E5</f>
        <v>407.77007742187885</v>
      </c>
      <c r="H22" s="263"/>
      <c r="I22" s="263"/>
      <c r="J22" s="263"/>
      <c r="K22" s="263"/>
    </row>
    <row r="23" spans="1:12" ht="21" customHeight="1">
      <c r="A23" s="119" t="s">
        <v>186</v>
      </c>
      <c r="B23" s="141">
        <f t="shared" ref="B23:E23" si="5">SUM(B24:B29)</f>
        <v>271.55240619210247</v>
      </c>
      <c r="C23" s="141">
        <f t="shared" si="5"/>
        <v>271.55240619210247</v>
      </c>
      <c r="D23" s="141">
        <f t="shared" si="5"/>
        <v>309.09489663452331</v>
      </c>
      <c r="E23" s="141">
        <f t="shared" si="5"/>
        <v>292.03012825160476</v>
      </c>
      <c r="F23" s="142">
        <f>B23+(B23*0.145)</f>
        <v>310.92750508995732</v>
      </c>
      <c r="H23" s="263"/>
      <c r="I23" s="263"/>
      <c r="J23" s="263"/>
      <c r="K23" s="263"/>
    </row>
    <row r="24" spans="1:12" ht="21" customHeight="1">
      <c r="A24" s="53" t="s">
        <v>16</v>
      </c>
      <c r="B24" s="141">
        <f t="shared" ref="B24:B29" si="6">E7</f>
        <v>227.53024510558063</v>
      </c>
      <c r="C24" s="141">
        <f t="shared" ref="C24:C29" si="7">E7</f>
        <v>227.53024510558063</v>
      </c>
      <c r="D24" s="141">
        <f>B24+(B24*0.165)</f>
        <v>265.07273554800145</v>
      </c>
      <c r="E24" s="141">
        <f>B24+(B24*0.09)</f>
        <v>248.0079671650829</v>
      </c>
      <c r="F24" s="142">
        <f t="shared" ref="F24:F29" si="8">E7</f>
        <v>227.53024510558063</v>
      </c>
      <c r="H24" s="263"/>
      <c r="I24" s="263"/>
      <c r="J24" s="263"/>
      <c r="K24" s="263"/>
    </row>
    <row r="25" spans="1:12" ht="21" customHeight="1">
      <c r="A25" s="53" t="s">
        <v>157</v>
      </c>
      <c r="B25" s="141">
        <f t="shared" si="6"/>
        <v>1.882385820940478</v>
      </c>
      <c r="C25" s="141">
        <f t="shared" si="7"/>
        <v>1.882385820940478</v>
      </c>
      <c r="D25" s="141">
        <f>E8</f>
        <v>1.882385820940478</v>
      </c>
      <c r="E25" s="141">
        <f>E8</f>
        <v>1.882385820940478</v>
      </c>
      <c r="F25" s="142">
        <f t="shared" si="8"/>
        <v>1.882385820940478</v>
      </c>
      <c r="H25" s="263"/>
      <c r="I25" s="263"/>
      <c r="J25" s="263"/>
      <c r="K25" s="263"/>
    </row>
    <row r="26" spans="1:12" ht="21" customHeight="1">
      <c r="A26" s="53" t="s">
        <v>17</v>
      </c>
      <c r="B26" s="141">
        <f t="shared" si="6"/>
        <v>12.199465284393746</v>
      </c>
      <c r="C26" s="141">
        <f t="shared" si="7"/>
        <v>12.199465284393746</v>
      </c>
      <c r="D26" s="141">
        <f>E9</f>
        <v>12.199465284393746</v>
      </c>
      <c r="E26" s="141">
        <f>E9</f>
        <v>12.199465284393746</v>
      </c>
      <c r="F26" s="142">
        <f t="shared" si="8"/>
        <v>12.199465284393746</v>
      </c>
      <c r="H26" s="263"/>
      <c r="I26" s="263"/>
      <c r="J26" s="263"/>
      <c r="K26" s="263"/>
    </row>
    <row r="27" spans="1:12" ht="21" customHeight="1">
      <c r="A27" s="53" t="s">
        <v>7</v>
      </c>
      <c r="B27" s="141">
        <f t="shared" si="6"/>
        <v>9.8701129364687823</v>
      </c>
      <c r="C27" s="141">
        <f t="shared" si="7"/>
        <v>9.8701129364687823</v>
      </c>
      <c r="D27" s="141">
        <f>E10</f>
        <v>9.8701129364687823</v>
      </c>
      <c r="E27" s="141">
        <f>E10</f>
        <v>9.8701129364687823</v>
      </c>
      <c r="F27" s="142">
        <f t="shared" si="8"/>
        <v>9.8701129364687823</v>
      </c>
      <c r="H27" s="263"/>
      <c r="I27" s="263"/>
      <c r="J27" s="263"/>
      <c r="K27" s="263"/>
    </row>
    <row r="28" spans="1:12" ht="21" customHeight="1">
      <c r="A28" s="53" t="s">
        <v>10</v>
      </c>
      <c r="B28" s="141">
        <f t="shared" si="6"/>
        <v>7.3003186311550987</v>
      </c>
      <c r="C28" s="141">
        <f t="shared" si="7"/>
        <v>7.3003186311550987</v>
      </c>
      <c r="D28" s="141">
        <f>E11</f>
        <v>7.3003186311550987</v>
      </c>
      <c r="E28" s="141">
        <f>E11</f>
        <v>7.3003186311550987</v>
      </c>
      <c r="F28" s="142">
        <f t="shared" si="8"/>
        <v>7.3003186311550987</v>
      </c>
      <c r="H28" s="263"/>
      <c r="I28" s="263"/>
      <c r="J28" s="263"/>
      <c r="K28" s="263"/>
    </row>
    <row r="29" spans="1:12" ht="21" customHeight="1">
      <c r="A29" s="53" t="s">
        <v>11</v>
      </c>
      <c r="B29" s="141">
        <f t="shared" si="6"/>
        <v>12.76987841356374</v>
      </c>
      <c r="C29" s="141">
        <f t="shared" si="7"/>
        <v>12.76987841356374</v>
      </c>
      <c r="D29" s="141">
        <f>E12</f>
        <v>12.76987841356374</v>
      </c>
      <c r="E29" s="141">
        <f>E12</f>
        <v>12.76987841356374</v>
      </c>
      <c r="F29" s="142">
        <f t="shared" si="8"/>
        <v>12.76987841356374</v>
      </c>
      <c r="H29" s="263"/>
      <c r="I29" s="263"/>
      <c r="J29" s="263"/>
      <c r="K29" s="263"/>
    </row>
    <row r="30" spans="1:12" ht="21" customHeight="1">
      <c r="A30" s="119" t="s">
        <v>187</v>
      </c>
      <c r="B30" s="141">
        <f t="shared" ref="B30:F30" si="9">B22-B23</f>
        <v>136.21767122977639</v>
      </c>
      <c r="C30" s="141">
        <f t="shared" si="9"/>
        <v>91.362962713369711</v>
      </c>
      <c r="D30" s="141">
        <f t="shared" si="9"/>
        <v>98.675180787355544</v>
      </c>
      <c r="E30" s="141">
        <f t="shared" si="9"/>
        <v>95.351445299180114</v>
      </c>
      <c r="F30" s="142">
        <f t="shared" si="9"/>
        <v>96.842572331921531</v>
      </c>
      <c r="H30" s="263"/>
      <c r="I30" s="263"/>
      <c r="J30" s="263"/>
      <c r="K30" s="263"/>
    </row>
    <row r="31" spans="1:12" ht="21" customHeight="1">
      <c r="A31" s="119" t="s">
        <v>190</v>
      </c>
      <c r="B31" s="141">
        <f>'Cashflow '!$F$8/10</f>
        <v>56.454999999999998</v>
      </c>
      <c r="C31" s="141">
        <f>'Cashflow '!$F$8/10</f>
        <v>56.454999999999998</v>
      </c>
      <c r="D31" s="141">
        <f>'Cashflow '!$F$8/10</f>
        <v>56.454999999999998</v>
      </c>
      <c r="E31" s="141">
        <f>'Cashflow '!$F$8/10</f>
        <v>56.454999999999998</v>
      </c>
      <c r="F31" s="142">
        <f>'Cashflow '!$F$8/10</f>
        <v>56.454999999999998</v>
      </c>
      <c r="H31" s="263"/>
      <c r="I31" s="263"/>
      <c r="J31" s="263"/>
      <c r="K31" s="263"/>
    </row>
    <row r="32" spans="1:12" ht="21" customHeight="1">
      <c r="A32" s="119" t="s">
        <v>191</v>
      </c>
      <c r="B32" s="141">
        <f t="shared" ref="B32:F32" si="10">B30-B31</f>
        <v>79.762671229776387</v>
      </c>
      <c r="C32" s="141">
        <f t="shared" si="10"/>
        <v>34.907962713369713</v>
      </c>
      <c r="D32" s="141">
        <f t="shared" si="10"/>
        <v>42.220180787355545</v>
      </c>
      <c r="E32" s="141">
        <f t="shared" si="10"/>
        <v>38.896445299180115</v>
      </c>
      <c r="F32" s="142">
        <f t="shared" si="10"/>
        <v>40.387572331921533</v>
      </c>
      <c r="H32" s="263"/>
      <c r="I32" s="263"/>
      <c r="J32" s="263"/>
      <c r="K32" s="263"/>
    </row>
    <row r="33" spans="1:11" ht="21" customHeight="1">
      <c r="A33" s="119" t="s">
        <v>112</v>
      </c>
      <c r="B33" s="141">
        <f>B32*0.25</f>
        <v>19.940667807444097</v>
      </c>
      <c r="C33" s="141">
        <f t="shared" ref="C33:F33" si="11">C32*0.25</f>
        <v>8.7269906783424283</v>
      </c>
      <c r="D33" s="141">
        <f t="shared" si="11"/>
        <v>10.555045196838886</v>
      </c>
      <c r="E33" s="141">
        <f t="shared" si="11"/>
        <v>9.7241113247950288</v>
      </c>
      <c r="F33" s="142">
        <f t="shared" si="11"/>
        <v>10.096893082980383</v>
      </c>
      <c r="H33" s="263"/>
      <c r="I33" s="263"/>
      <c r="J33" s="263"/>
      <c r="K33" s="263"/>
    </row>
    <row r="34" spans="1:11" ht="21" customHeight="1">
      <c r="A34" s="123" t="s">
        <v>113</v>
      </c>
      <c r="B34" s="143">
        <f t="shared" ref="B34:F34" si="12">B32-B33</f>
        <v>59.822003422332287</v>
      </c>
      <c r="C34" s="143">
        <f t="shared" si="12"/>
        <v>26.180972035027285</v>
      </c>
      <c r="D34" s="143">
        <f t="shared" si="12"/>
        <v>31.665135590516659</v>
      </c>
      <c r="E34" s="143">
        <f t="shared" si="12"/>
        <v>29.172333974385086</v>
      </c>
      <c r="F34" s="144">
        <f t="shared" si="12"/>
        <v>30.290679248941149</v>
      </c>
      <c r="H34" s="263"/>
      <c r="I34" s="263"/>
      <c r="J34" s="263"/>
      <c r="K34" s="263"/>
    </row>
    <row r="35" spans="1:11" ht="17.25" customHeight="1">
      <c r="A35" s="415" t="s">
        <v>69</v>
      </c>
      <c r="B35" s="164" t="s">
        <v>165</v>
      </c>
      <c r="C35" s="164" t="s">
        <v>307</v>
      </c>
      <c r="D35" s="164" t="s">
        <v>306</v>
      </c>
      <c r="E35" s="266"/>
      <c r="F35" s="266"/>
      <c r="G35" s="266"/>
      <c r="H35" s="264"/>
      <c r="I35" s="264"/>
      <c r="J35" s="264"/>
      <c r="K35" s="264"/>
    </row>
    <row r="36" spans="1:11" ht="17.25" customHeight="1">
      <c r="A36" s="138"/>
      <c r="B36" s="113" t="s">
        <v>159</v>
      </c>
      <c r="C36" s="148"/>
      <c r="D36" s="148"/>
      <c r="E36" s="266"/>
      <c r="F36" s="266"/>
      <c r="G36" s="266"/>
    </row>
    <row r="37" spans="1:11" ht="17.25" customHeight="1">
      <c r="A37" s="139"/>
      <c r="B37" s="114" t="s">
        <v>308</v>
      </c>
      <c r="C37" s="308">
        <f>B34</f>
        <v>59.822003422332287</v>
      </c>
      <c r="D37" s="308" t="s">
        <v>193</v>
      </c>
      <c r="E37" s="266"/>
      <c r="F37" s="266"/>
      <c r="G37" s="266"/>
    </row>
    <row r="38" spans="1:11" ht="17.25" customHeight="1">
      <c r="A38" s="139"/>
      <c r="B38" s="114"/>
      <c r="C38" s="307"/>
      <c r="D38" s="307"/>
      <c r="E38" s="266"/>
      <c r="F38" s="266"/>
      <c r="G38" s="266"/>
    </row>
    <row r="39" spans="1:11" ht="17.25" customHeight="1">
      <c r="A39" s="413">
        <v>1</v>
      </c>
      <c r="B39" s="114" t="s">
        <v>161</v>
      </c>
      <c r="C39" s="308">
        <f>C34</f>
        <v>26.180972035027285</v>
      </c>
      <c r="D39" s="310">
        <f>(C39-$C$37)/$C$37</f>
        <v>-0.56235213571510712</v>
      </c>
      <c r="E39" s="266"/>
      <c r="F39" s="266"/>
      <c r="G39" s="266"/>
    </row>
    <row r="40" spans="1:11" ht="17.25" customHeight="1">
      <c r="A40" s="413">
        <v>2</v>
      </c>
      <c r="B40" s="114" t="s">
        <v>162</v>
      </c>
      <c r="C40" s="308">
        <f>D34</f>
        <v>31.665135590516659</v>
      </c>
      <c r="D40" s="310">
        <f t="shared" ref="D40:D42" si="13">(C40-$C$37)/$C$37</f>
        <v>-0.47067744677545059</v>
      </c>
      <c r="E40" s="266"/>
      <c r="F40" s="266"/>
      <c r="G40" s="266"/>
    </row>
    <row r="41" spans="1:11" ht="17.25" customHeight="1">
      <c r="A41" s="413">
        <v>3</v>
      </c>
      <c r="B41" s="114" t="s">
        <v>163</v>
      </c>
      <c r="C41" s="308">
        <f>E34</f>
        <v>29.172333974385086</v>
      </c>
      <c r="D41" s="310">
        <f t="shared" si="13"/>
        <v>-0.5123477599298405</v>
      </c>
      <c r="E41" s="266"/>
      <c r="F41" s="266"/>
      <c r="G41" s="266"/>
    </row>
    <row r="42" spans="1:11" ht="17.25" customHeight="1">
      <c r="A42" s="414">
        <v>4</v>
      </c>
      <c r="B42" s="115" t="s">
        <v>164</v>
      </c>
      <c r="C42" s="309">
        <f>F34</f>
        <v>30.290679248941149</v>
      </c>
      <c r="D42" s="311">
        <f t="shared" si="13"/>
        <v>-0.49365321259646633</v>
      </c>
      <c r="E42" s="266"/>
      <c r="F42" s="266"/>
      <c r="G42" s="266"/>
    </row>
  </sheetData>
  <mergeCells count="4">
    <mergeCell ref="A20:F20"/>
    <mergeCell ref="A1:K1"/>
    <mergeCell ref="A3:K3"/>
    <mergeCell ref="A18:F18"/>
  </mergeCells>
  <printOptions horizontalCentered="1" gridLines="1"/>
  <pageMargins left="0.75" right="0.75" top="0.66" bottom="0.28999999999999998" header="0.23" footer="0.44"/>
  <pageSetup paperSize="9" scale="78" orientation="landscape" r:id="rId1"/>
  <headerFooter alignWithMargins="0"/>
  <ignoredErrors>
    <ignoredError sqref="B16 B14:C14 D14:K15"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B08-AEC5-4635-AF99-22B3D63F7E1B}">
  <dimension ref="A1:H41"/>
  <sheetViews>
    <sheetView showGridLines="0" topLeftCell="A2" zoomScaleNormal="100" zoomScaleSheetLayoutView="98" workbookViewId="0">
      <selection activeCell="B21" sqref="B21"/>
    </sheetView>
  </sheetViews>
  <sheetFormatPr defaultRowHeight="12.75"/>
  <cols>
    <col min="1" max="1" width="33.5703125" style="266" customWidth="1"/>
    <col min="2" max="2" width="63.7109375" style="266" bestFit="1" customWidth="1"/>
    <col min="3" max="3" width="16.7109375" style="266" bestFit="1" customWidth="1"/>
    <col min="4" max="7" width="12.42578125" style="266" customWidth="1"/>
    <col min="8" max="252" width="9.140625" style="266"/>
    <col min="253" max="253" width="49.140625" style="266" customWidth="1"/>
    <col min="254" max="254" width="20.7109375" style="266" customWidth="1"/>
    <col min="255" max="255" width="9.140625" style="266"/>
    <col min="256" max="256" width="11.85546875" style="266" customWidth="1"/>
    <col min="257" max="257" width="11.7109375" style="266" customWidth="1"/>
    <col min="258" max="258" width="12.42578125" style="266" customWidth="1"/>
    <col min="259" max="259" width="13.42578125" style="266" customWidth="1"/>
    <col min="260" max="508" width="9.140625" style="266"/>
    <col min="509" max="509" width="49.140625" style="266" customWidth="1"/>
    <col min="510" max="510" width="20.7109375" style="266" customWidth="1"/>
    <col min="511" max="511" width="9.140625" style="266"/>
    <col min="512" max="512" width="11.85546875" style="266" customWidth="1"/>
    <col min="513" max="513" width="11.7109375" style="266" customWidth="1"/>
    <col min="514" max="514" width="12.42578125" style="266" customWidth="1"/>
    <col min="515" max="515" width="13.42578125" style="266" customWidth="1"/>
    <col min="516" max="764" width="9.140625" style="266"/>
    <col min="765" max="765" width="49.140625" style="266" customWidth="1"/>
    <col min="766" max="766" width="20.7109375" style="266" customWidth="1"/>
    <col min="767" max="767" width="9.140625" style="266"/>
    <col min="768" max="768" width="11.85546875" style="266" customWidth="1"/>
    <col min="769" max="769" width="11.7109375" style="266" customWidth="1"/>
    <col min="770" max="770" width="12.42578125" style="266" customWidth="1"/>
    <col min="771" max="771" width="13.42578125" style="266" customWidth="1"/>
    <col min="772" max="1020" width="9.140625" style="266"/>
    <col min="1021" max="1021" width="49.140625" style="266" customWidth="1"/>
    <col min="1022" max="1022" width="20.7109375" style="266" customWidth="1"/>
    <col min="1023" max="1023" width="9.140625" style="266"/>
    <col min="1024" max="1024" width="11.85546875" style="266" customWidth="1"/>
    <col min="1025" max="1025" width="11.7109375" style="266" customWidth="1"/>
    <col min="1026" max="1026" width="12.42578125" style="266" customWidth="1"/>
    <col min="1027" max="1027" width="13.42578125" style="266" customWidth="1"/>
    <col min="1028" max="1276" width="9.140625" style="266"/>
    <col min="1277" max="1277" width="49.140625" style="266" customWidth="1"/>
    <col min="1278" max="1278" width="20.7109375" style="266" customWidth="1"/>
    <col min="1279" max="1279" width="9.140625" style="266"/>
    <col min="1280" max="1280" width="11.85546875" style="266" customWidth="1"/>
    <col min="1281" max="1281" width="11.7109375" style="266" customWidth="1"/>
    <col min="1282" max="1282" width="12.42578125" style="266" customWidth="1"/>
    <col min="1283" max="1283" width="13.42578125" style="266" customWidth="1"/>
    <col min="1284" max="1532" width="9.140625" style="266"/>
    <col min="1533" max="1533" width="49.140625" style="266" customWidth="1"/>
    <col min="1534" max="1534" width="20.7109375" style="266" customWidth="1"/>
    <col min="1535" max="1535" width="9.140625" style="266"/>
    <col min="1536" max="1536" width="11.85546875" style="266" customWidth="1"/>
    <col min="1537" max="1537" width="11.7109375" style="266" customWidth="1"/>
    <col min="1538" max="1538" width="12.42578125" style="266" customWidth="1"/>
    <col min="1539" max="1539" width="13.42578125" style="266" customWidth="1"/>
    <col min="1540" max="1788" width="9.140625" style="266"/>
    <col min="1789" max="1789" width="49.140625" style="266" customWidth="1"/>
    <col min="1790" max="1790" width="20.7109375" style="266" customWidth="1"/>
    <col min="1791" max="1791" width="9.140625" style="266"/>
    <col min="1792" max="1792" width="11.85546875" style="266" customWidth="1"/>
    <col min="1793" max="1793" width="11.7109375" style="266" customWidth="1"/>
    <col min="1794" max="1794" width="12.42578125" style="266" customWidth="1"/>
    <col min="1795" max="1795" width="13.42578125" style="266" customWidth="1"/>
    <col min="1796" max="2044" width="9.140625" style="266"/>
    <col min="2045" max="2045" width="49.140625" style="266" customWidth="1"/>
    <col min="2046" max="2046" width="20.7109375" style="266" customWidth="1"/>
    <col min="2047" max="2047" width="9.140625" style="266"/>
    <col min="2048" max="2048" width="11.85546875" style="266" customWidth="1"/>
    <col min="2049" max="2049" width="11.7109375" style="266" customWidth="1"/>
    <col min="2050" max="2050" width="12.42578125" style="266" customWidth="1"/>
    <col min="2051" max="2051" width="13.42578125" style="266" customWidth="1"/>
    <col min="2052" max="2300" width="9.140625" style="266"/>
    <col min="2301" max="2301" width="49.140625" style="266" customWidth="1"/>
    <col min="2302" max="2302" width="20.7109375" style="266" customWidth="1"/>
    <col min="2303" max="2303" width="9.140625" style="266"/>
    <col min="2304" max="2304" width="11.85546875" style="266" customWidth="1"/>
    <col min="2305" max="2305" width="11.7109375" style="266" customWidth="1"/>
    <col min="2306" max="2306" width="12.42578125" style="266" customWidth="1"/>
    <col min="2307" max="2307" width="13.42578125" style="266" customWidth="1"/>
    <col min="2308" max="2556" width="9.140625" style="266"/>
    <col min="2557" max="2557" width="49.140625" style="266" customWidth="1"/>
    <col min="2558" max="2558" width="20.7109375" style="266" customWidth="1"/>
    <col min="2559" max="2559" width="9.140625" style="266"/>
    <col min="2560" max="2560" width="11.85546875" style="266" customWidth="1"/>
    <col min="2561" max="2561" width="11.7109375" style="266" customWidth="1"/>
    <col min="2562" max="2562" width="12.42578125" style="266" customWidth="1"/>
    <col min="2563" max="2563" width="13.42578125" style="266" customWidth="1"/>
    <col min="2564" max="2812" width="9.140625" style="266"/>
    <col min="2813" max="2813" width="49.140625" style="266" customWidth="1"/>
    <col min="2814" max="2814" width="20.7109375" style="266" customWidth="1"/>
    <col min="2815" max="2815" width="9.140625" style="266"/>
    <col min="2816" max="2816" width="11.85546875" style="266" customWidth="1"/>
    <col min="2817" max="2817" width="11.7109375" style="266" customWidth="1"/>
    <col min="2818" max="2818" width="12.42578125" style="266" customWidth="1"/>
    <col min="2819" max="2819" width="13.42578125" style="266" customWidth="1"/>
    <col min="2820" max="3068" width="9.140625" style="266"/>
    <col min="3069" max="3069" width="49.140625" style="266" customWidth="1"/>
    <col min="3070" max="3070" width="20.7109375" style="266" customWidth="1"/>
    <col min="3071" max="3071" width="9.140625" style="266"/>
    <col min="3072" max="3072" width="11.85546875" style="266" customWidth="1"/>
    <col min="3073" max="3073" width="11.7109375" style="266" customWidth="1"/>
    <col min="3074" max="3074" width="12.42578125" style="266" customWidth="1"/>
    <col min="3075" max="3075" width="13.42578125" style="266" customWidth="1"/>
    <col min="3076" max="3324" width="9.140625" style="266"/>
    <col min="3325" max="3325" width="49.140625" style="266" customWidth="1"/>
    <col min="3326" max="3326" width="20.7109375" style="266" customWidth="1"/>
    <col min="3327" max="3327" width="9.140625" style="266"/>
    <col min="3328" max="3328" width="11.85546875" style="266" customWidth="1"/>
    <col min="3329" max="3329" width="11.7109375" style="266" customWidth="1"/>
    <col min="3330" max="3330" width="12.42578125" style="266" customWidth="1"/>
    <col min="3331" max="3331" width="13.42578125" style="266" customWidth="1"/>
    <col min="3332" max="3580" width="9.140625" style="266"/>
    <col min="3581" max="3581" width="49.140625" style="266" customWidth="1"/>
    <col min="3582" max="3582" width="20.7109375" style="266" customWidth="1"/>
    <col min="3583" max="3583" width="9.140625" style="266"/>
    <col min="3584" max="3584" width="11.85546875" style="266" customWidth="1"/>
    <col min="3585" max="3585" width="11.7109375" style="266" customWidth="1"/>
    <col min="3586" max="3586" width="12.42578125" style="266" customWidth="1"/>
    <col min="3587" max="3587" width="13.42578125" style="266" customWidth="1"/>
    <col min="3588" max="3836" width="9.140625" style="266"/>
    <col min="3837" max="3837" width="49.140625" style="266" customWidth="1"/>
    <col min="3838" max="3838" width="20.7109375" style="266" customWidth="1"/>
    <col min="3839" max="3839" width="9.140625" style="266"/>
    <col min="3840" max="3840" width="11.85546875" style="266" customWidth="1"/>
    <col min="3841" max="3841" width="11.7109375" style="266" customWidth="1"/>
    <col min="3842" max="3842" width="12.42578125" style="266" customWidth="1"/>
    <col min="3843" max="3843" width="13.42578125" style="266" customWidth="1"/>
    <col min="3844" max="4092" width="9.140625" style="266"/>
    <col min="4093" max="4093" width="49.140625" style="266" customWidth="1"/>
    <col min="4094" max="4094" width="20.7109375" style="266" customWidth="1"/>
    <col min="4095" max="4095" width="9.140625" style="266"/>
    <col min="4096" max="4096" width="11.85546875" style="266" customWidth="1"/>
    <col min="4097" max="4097" width="11.7109375" style="266" customWidth="1"/>
    <col min="4098" max="4098" width="12.42578125" style="266" customWidth="1"/>
    <col min="4099" max="4099" width="13.42578125" style="266" customWidth="1"/>
    <col min="4100" max="4348" width="9.140625" style="266"/>
    <col min="4349" max="4349" width="49.140625" style="266" customWidth="1"/>
    <col min="4350" max="4350" width="20.7109375" style="266" customWidth="1"/>
    <col min="4351" max="4351" width="9.140625" style="266"/>
    <col min="4352" max="4352" width="11.85546875" style="266" customWidth="1"/>
    <col min="4353" max="4353" width="11.7109375" style="266" customWidth="1"/>
    <col min="4354" max="4354" width="12.42578125" style="266" customWidth="1"/>
    <col min="4355" max="4355" width="13.42578125" style="266" customWidth="1"/>
    <col min="4356" max="4604" width="9.140625" style="266"/>
    <col min="4605" max="4605" width="49.140625" style="266" customWidth="1"/>
    <col min="4606" max="4606" width="20.7109375" style="266" customWidth="1"/>
    <col min="4607" max="4607" width="9.140625" style="266"/>
    <col min="4608" max="4608" width="11.85546875" style="266" customWidth="1"/>
    <col min="4609" max="4609" width="11.7109375" style="266" customWidth="1"/>
    <col min="4610" max="4610" width="12.42578125" style="266" customWidth="1"/>
    <col min="4611" max="4611" width="13.42578125" style="266" customWidth="1"/>
    <col min="4612" max="4860" width="9.140625" style="266"/>
    <col min="4861" max="4861" width="49.140625" style="266" customWidth="1"/>
    <col min="4862" max="4862" width="20.7109375" style="266" customWidth="1"/>
    <col min="4863" max="4863" width="9.140625" style="266"/>
    <col min="4864" max="4864" width="11.85546875" style="266" customWidth="1"/>
    <col min="4865" max="4865" width="11.7109375" style="266" customWidth="1"/>
    <col min="4866" max="4866" width="12.42578125" style="266" customWidth="1"/>
    <col min="4867" max="4867" width="13.42578125" style="266" customWidth="1"/>
    <col min="4868" max="5116" width="9.140625" style="266"/>
    <col min="5117" max="5117" width="49.140625" style="266" customWidth="1"/>
    <col min="5118" max="5118" width="20.7109375" style="266" customWidth="1"/>
    <col min="5119" max="5119" width="9.140625" style="266"/>
    <col min="5120" max="5120" width="11.85546875" style="266" customWidth="1"/>
    <col min="5121" max="5121" width="11.7109375" style="266" customWidth="1"/>
    <col min="5122" max="5122" width="12.42578125" style="266" customWidth="1"/>
    <col min="5123" max="5123" width="13.42578125" style="266" customWidth="1"/>
    <col min="5124" max="5372" width="9.140625" style="266"/>
    <col min="5373" max="5373" width="49.140625" style="266" customWidth="1"/>
    <col min="5374" max="5374" width="20.7109375" style="266" customWidth="1"/>
    <col min="5375" max="5375" width="9.140625" style="266"/>
    <col min="5376" max="5376" width="11.85546875" style="266" customWidth="1"/>
    <col min="5377" max="5377" width="11.7109375" style="266" customWidth="1"/>
    <col min="5378" max="5378" width="12.42578125" style="266" customWidth="1"/>
    <col min="5379" max="5379" width="13.42578125" style="266" customWidth="1"/>
    <col min="5380" max="5628" width="9.140625" style="266"/>
    <col min="5629" max="5629" width="49.140625" style="266" customWidth="1"/>
    <col min="5630" max="5630" width="20.7109375" style="266" customWidth="1"/>
    <col min="5631" max="5631" width="9.140625" style="266"/>
    <col min="5632" max="5632" width="11.85546875" style="266" customWidth="1"/>
    <col min="5633" max="5633" width="11.7109375" style="266" customWidth="1"/>
    <col min="5634" max="5634" width="12.42578125" style="266" customWidth="1"/>
    <col min="5635" max="5635" width="13.42578125" style="266" customWidth="1"/>
    <col min="5636" max="5884" width="9.140625" style="266"/>
    <col min="5885" max="5885" width="49.140625" style="266" customWidth="1"/>
    <col min="5886" max="5886" width="20.7109375" style="266" customWidth="1"/>
    <col min="5887" max="5887" width="9.140625" style="266"/>
    <col min="5888" max="5888" width="11.85546875" style="266" customWidth="1"/>
    <col min="5889" max="5889" width="11.7109375" style="266" customWidth="1"/>
    <col min="5890" max="5890" width="12.42578125" style="266" customWidth="1"/>
    <col min="5891" max="5891" width="13.42578125" style="266" customWidth="1"/>
    <col min="5892" max="6140" width="9.140625" style="266"/>
    <col min="6141" max="6141" width="49.140625" style="266" customWidth="1"/>
    <col min="6142" max="6142" width="20.7109375" style="266" customWidth="1"/>
    <col min="6143" max="6143" width="9.140625" style="266"/>
    <col min="6144" max="6144" width="11.85546875" style="266" customWidth="1"/>
    <col min="6145" max="6145" width="11.7109375" style="266" customWidth="1"/>
    <col min="6146" max="6146" width="12.42578125" style="266" customWidth="1"/>
    <col min="6147" max="6147" width="13.42578125" style="266" customWidth="1"/>
    <col min="6148" max="6396" width="9.140625" style="266"/>
    <col min="6397" max="6397" width="49.140625" style="266" customWidth="1"/>
    <col min="6398" max="6398" width="20.7109375" style="266" customWidth="1"/>
    <col min="6399" max="6399" width="9.140625" style="266"/>
    <col min="6400" max="6400" width="11.85546875" style="266" customWidth="1"/>
    <col min="6401" max="6401" width="11.7109375" style="266" customWidth="1"/>
    <col min="6402" max="6402" width="12.42578125" style="266" customWidth="1"/>
    <col min="6403" max="6403" width="13.42578125" style="266" customWidth="1"/>
    <col min="6404" max="6652" width="9.140625" style="266"/>
    <col min="6653" max="6653" width="49.140625" style="266" customWidth="1"/>
    <col min="6654" max="6654" width="20.7109375" style="266" customWidth="1"/>
    <col min="6655" max="6655" width="9.140625" style="266"/>
    <col min="6656" max="6656" width="11.85546875" style="266" customWidth="1"/>
    <col min="6657" max="6657" width="11.7109375" style="266" customWidth="1"/>
    <col min="6658" max="6658" width="12.42578125" style="266" customWidth="1"/>
    <col min="6659" max="6659" width="13.42578125" style="266" customWidth="1"/>
    <col min="6660" max="6908" width="9.140625" style="266"/>
    <col min="6909" max="6909" width="49.140625" style="266" customWidth="1"/>
    <col min="6910" max="6910" width="20.7109375" style="266" customWidth="1"/>
    <col min="6911" max="6911" width="9.140625" style="266"/>
    <col min="6912" max="6912" width="11.85546875" style="266" customWidth="1"/>
    <col min="6913" max="6913" width="11.7109375" style="266" customWidth="1"/>
    <col min="6914" max="6914" width="12.42578125" style="266" customWidth="1"/>
    <col min="6915" max="6915" width="13.42578125" style="266" customWidth="1"/>
    <col min="6916" max="7164" width="9.140625" style="266"/>
    <col min="7165" max="7165" width="49.140625" style="266" customWidth="1"/>
    <col min="7166" max="7166" width="20.7109375" style="266" customWidth="1"/>
    <col min="7167" max="7167" width="9.140625" style="266"/>
    <col min="7168" max="7168" width="11.85546875" style="266" customWidth="1"/>
    <col min="7169" max="7169" width="11.7109375" style="266" customWidth="1"/>
    <col min="7170" max="7170" width="12.42578125" style="266" customWidth="1"/>
    <col min="7171" max="7171" width="13.42578125" style="266" customWidth="1"/>
    <col min="7172" max="7420" width="9.140625" style="266"/>
    <col min="7421" max="7421" width="49.140625" style="266" customWidth="1"/>
    <col min="7422" max="7422" width="20.7109375" style="266" customWidth="1"/>
    <col min="7423" max="7423" width="9.140625" style="266"/>
    <col min="7424" max="7424" width="11.85546875" style="266" customWidth="1"/>
    <col min="7425" max="7425" width="11.7109375" style="266" customWidth="1"/>
    <col min="7426" max="7426" width="12.42578125" style="266" customWidth="1"/>
    <col min="7427" max="7427" width="13.42578125" style="266" customWidth="1"/>
    <col min="7428" max="7676" width="9.140625" style="266"/>
    <col min="7677" max="7677" width="49.140625" style="266" customWidth="1"/>
    <col min="7678" max="7678" width="20.7109375" style="266" customWidth="1"/>
    <col min="7679" max="7679" width="9.140625" style="266"/>
    <col min="7680" max="7680" width="11.85546875" style="266" customWidth="1"/>
    <col min="7681" max="7681" width="11.7109375" style="266" customWidth="1"/>
    <col min="7682" max="7682" width="12.42578125" style="266" customWidth="1"/>
    <col min="7683" max="7683" width="13.42578125" style="266" customWidth="1"/>
    <col min="7684" max="7932" width="9.140625" style="266"/>
    <col min="7933" max="7933" width="49.140625" style="266" customWidth="1"/>
    <col min="7934" max="7934" width="20.7109375" style="266" customWidth="1"/>
    <col min="7935" max="7935" width="9.140625" style="266"/>
    <col min="7936" max="7936" width="11.85546875" style="266" customWidth="1"/>
    <col min="7937" max="7937" width="11.7109375" style="266" customWidth="1"/>
    <col min="7938" max="7938" width="12.42578125" style="266" customWidth="1"/>
    <col min="7939" max="7939" width="13.42578125" style="266" customWidth="1"/>
    <col min="7940" max="8188" width="9.140625" style="266"/>
    <col min="8189" max="8189" width="49.140625" style="266" customWidth="1"/>
    <col min="8190" max="8190" width="20.7109375" style="266" customWidth="1"/>
    <col min="8191" max="8191" width="9.140625" style="266"/>
    <col min="8192" max="8192" width="11.85546875" style="266" customWidth="1"/>
    <col min="8193" max="8193" width="11.7109375" style="266" customWidth="1"/>
    <col min="8194" max="8194" width="12.42578125" style="266" customWidth="1"/>
    <col min="8195" max="8195" width="13.42578125" style="266" customWidth="1"/>
    <col min="8196" max="8444" width="9.140625" style="266"/>
    <col min="8445" max="8445" width="49.140625" style="266" customWidth="1"/>
    <col min="8446" max="8446" width="20.7109375" style="266" customWidth="1"/>
    <col min="8447" max="8447" width="9.140625" style="266"/>
    <col min="8448" max="8448" width="11.85546875" style="266" customWidth="1"/>
    <col min="8449" max="8449" width="11.7109375" style="266" customWidth="1"/>
    <col min="8450" max="8450" width="12.42578125" style="266" customWidth="1"/>
    <col min="8451" max="8451" width="13.42578125" style="266" customWidth="1"/>
    <col min="8452" max="8700" width="9.140625" style="266"/>
    <col min="8701" max="8701" width="49.140625" style="266" customWidth="1"/>
    <col min="8702" max="8702" width="20.7109375" style="266" customWidth="1"/>
    <col min="8703" max="8703" width="9.140625" style="266"/>
    <col min="8704" max="8704" width="11.85546875" style="266" customWidth="1"/>
    <col min="8705" max="8705" width="11.7109375" style="266" customWidth="1"/>
    <col min="8706" max="8706" width="12.42578125" style="266" customWidth="1"/>
    <col min="8707" max="8707" width="13.42578125" style="266" customWidth="1"/>
    <col min="8708" max="8956" width="9.140625" style="266"/>
    <col min="8957" max="8957" width="49.140625" style="266" customWidth="1"/>
    <col min="8958" max="8958" width="20.7109375" style="266" customWidth="1"/>
    <col min="8959" max="8959" width="9.140625" style="266"/>
    <col min="8960" max="8960" width="11.85546875" style="266" customWidth="1"/>
    <col min="8961" max="8961" width="11.7109375" style="266" customWidth="1"/>
    <col min="8962" max="8962" width="12.42578125" style="266" customWidth="1"/>
    <col min="8963" max="8963" width="13.42578125" style="266" customWidth="1"/>
    <col min="8964" max="9212" width="9.140625" style="266"/>
    <col min="9213" max="9213" width="49.140625" style="266" customWidth="1"/>
    <col min="9214" max="9214" width="20.7109375" style="266" customWidth="1"/>
    <col min="9215" max="9215" width="9.140625" style="266"/>
    <col min="9216" max="9216" width="11.85546875" style="266" customWidth="1"/>
    <col min="9217" max="9217" width="11.7109375" style="266" customWidth="1"/>
    <col min="9218" max="9218" width="12.42578125" style="266" customWidth="1"/>
    <col min="9219" max="9219" width="13.42578125" style="266" customWidth="1"/>
    <col min="9220" max="9468" width="9.140625" style="266"/>
    <col min="9469" max="9469" width="49.140625" style="266" customWidth="1"/>
    <col min="9470" max="9470" width="20.7109375" style="266" customWidth="1"/>
    <col min="9471" max="9471" width="9.140625" style="266"/>
    <col min="9472" max="9472" width="11.85546875" style="266" customWidth="1"/>
    <col min="9473" max="9473" width="11.7109375" style="266" customWidth="1"/>
    <col min="9474" max="9474" width="12.42578125" style="266" customWidth="1"/>
    <col min="9475" max="9475" width="13.42578125" style="266" customWidth="1"/>
    <col min="9476" max="9724" width="9.140625" style="266"/>
    <col min="9725" max="9725" width="49.140625" style="266" customWidth="1"/>
    <col min="9726" max="9726" width="20.7109375" style="266" customWidth="1"/>
    <col min="9727" max="9727" width="9.140625" style="266"/>
    <col min="9728" max="9728" width="11.85546875" style="266" customWidth="1"/>
    <col min="9729" max="9729" width="11.7109375" style="266" customWidth="1"/>
    <col min="9730" max="9730" width="12.42578125" style="266" customWidth="1"/>
    <col min="9731" max="9731" width="13.42578125" style="266" customWidth="1"/>
    <col min="9732" max="9980" width="9.140625" style="266"/>
    <col min="9981" max="9981" width="49.140625" style="266" customWidth="1"/>
    <col min="9982" max="9982" width="20.7109375" style="266" customWidth="1"/>
    <col min="9983" max="9983" width="9.140625" style="266"/>
    <col min="9984" max="9984" width="11.85546875" style="266" customWidth="1"/>
    <col min="9985" max="9985" width="11.7109375" style="266" customWidth="1"/>
    <col min="9986" max="9986" width="12.42578125" style="266" customWidth="1"/>
    <col min="9987" max="9987" width="13.42578125" style="266" customWidth="1"/>
    <col min="9988" max="10236" width="9.140625" style="266"/>
    <col min="10237" max="10237" width="49.140625" style="266" customWidth="1"/>
    <col min="10238" max="10238" width="20.7109375" style="266" customWidth="1"/>
    <col min="10239" max="10239" width="9.140625" style="266"/>
    <col min="10240" max="10240" width="11.85546875" style="266" customWidth="1"/>
    <col min="10241" max="10241" width="11.7109375" style="266" customWidth="1"/>
    <col min="10242" max="10242" width="12.42578125" style="266" customWidth="1"/>
    <col min="10243" max="10243" width="13.42578125" style="266" customWidth="1"/>
    <col min="10244" max="10492" width="9.140625" style="266"/>
    <col min="10493" max="10493" width="49.140625" style="266" customWidth="1"/>
    <col min="10494" max="10494" width="20.7109375" style="266" customWidth="1"/>
    <col min="10495" max="10495" width="9.140625" style="266"/>
    <col min="10496" max="10496" width="11.85546875" style="266" customWidth="1"/>
    <col min="10497" max="10497" width="11.7109375" style="266" customWidth="1"/>
    <col min="10498" max="10498" width="12.42578125" style="266" customWidth="1"/>
    <col min="10499" max="10499" width="13.42578125" style="266" customWidth="1"/>
    <col min="10500" max="10748" width="9.140625" style="266"/>
    <col min="10749" max="10749" width="49.140625" style="266" customWidth="1"/>
    <col min="10750" max="10750" width="20.7109375" style="266" customWidth="1"/>
    <col min="10751" max="10751" width="9.140625" style="266"/>
    <col min="10752" max="10752" width="11.85546875" style="266" customWidth="1"/>
    <col min="10753" max="10753" width="11.7109375" style="266" customWidth="1"/>
    <col min="10754" max="10754" width="12.42578125" style="266" customWidth="1"/>
    <col min="10755" max="10755" width="13.42578125" style="266" customWidth="1"/>
    <col min="10756" max="11004" width="9.140625" style="266"/>
    <col min="11005" max="11005" width="49.140625" style="266" customWidth="1"/>
    <col min="11006" max="11006" width="20.7109375" style="266" customWidth="1"/>
    <col min="11007" max="11007" width="9.140625" style="266"/>
    <col min="11008" max="11008" width="11.85546875" style="266" customWidth="1"/>
    <col min="11009" max="11009" width="11.7109375" style="266" customWidth="1"/>
    <col min="11010" max="11010" width="12.42578125" style="266" customWidth="1"/>
    <col min="11011" max="11011" width="13.42578125" style="266" customWidth="1"/>
    <col min="11012" max="11260" width="9.140625" style="266"/>
    <col min="11261" max="11261" width="49.140625" style="266" customWidth="1"/>
    <col min="11262" max="11262" width="20.7109375" style="266" customWidth="1"/>
    <col min="11263" max="11263" width="9.140625" style="266"/>
    <col min="11264" max="11264" width="11.85546875" style="266" customWidth="1"/>
    <col min="11265" max="11265" width="11.7109375" style="266" customWidth="1"/>
    <col min="11266" max="11266" width="12.42578125" style="266" customWidth="1"/>
    <col min="11267" max="11267" width="13.42578125" style="266" customWidth="1"/>
    <col min="11268" max="11516" width="9.140625" style="266"/>
    <col min="11517" max="11517" width="49.140625" style="266" customWidth="1"/>
    <col min="11518" max="11518" width="20.7109375" style="266" customWidth="1"/>
    <col min="11519" max="11519" width="9.140625" style="266"/>
    <col min="11520" max="11520" width="11.85546875" style="266" customWidth="1"/>
    <col min="11521" max="11521" width="11.7109375" style="266" customWidth="1"/>
    <col min="11522" max="11522" width="12.42578125" style="266" customWidth="1"/>
    <col min="11523" max="11523" width="13.42578125" style="266" customWidth="1"/>
    <col min="11524" max="11772" width="9.140625" style="266"/>
    <col min="11773" max="11773" width="49.140625" style="266" customWidth="1"/>
    <col min="11774" max="11774" width="20.7109375" style="266" customWidth="1"/>
    <col min="11775" max="11775" width="9.140625" style="266"/>
    <col min="11776" max="11776" width="11.85546875" style="266" customWidth="1"/>
    <col min="11777" max="11777" width="11.7109375" style="266" customWidth="1"/>
    <col min="11778" max="11778" width="12.42578125" style="266" customWidth="1"/>
    <col min="11779" max="11779" width="13.42578125" style="266" customWidth="1"/>
    <col min="11780" max="12028" width="9.140625" style="266"/>
    <col min="12029" max="12029" width="49.140625" style="266" customWidth="1"/>
    <col min="12030" max="12030" width="20.7109375" style="266" customWidth="1"/>
    <col min="12031" max="12031" width="9.140625" style="266"/>
    <col min="12032" max="12032" width="11.85546875" style="266" customWidth="1"/>
    <col min="12033" max="12033" width="11.7109375" style="266" customWidth="1"/>
    <col min="12034" max="12034" width="12.42578125" style="266" customWidth="1"/>
    <col min="12035" max="12035" width="13.42578125" style="266" customWidth="1"/>
    <col min="12036" max="12284" width="9.140625" style="266"/>
    <col min="12285" max="12285" width="49.140625" style="266" customWidth="1"/>
    <col min="12286" max="12286" width="20.7109375" style="266" customWidth="1"/>
    <col min="12287" max="12287" width="9.140625" style="266"/>
    <col min="12288" max="12288" width="11.85546875" style="266" customWidth="1"/>
    <col min="12289" max="12289" width="11.7109375" style="266" customWidth="1"/>
    <col min="12290" max="12290" width="12.42578125" style="266" customWidth="1"/>
    <col min="12291" max="12291" width="13.42578125" style="266" customWidth="1"/>
    <col min="12292" max="12540" width="9.140625" style="266"/>
    <col min="12541" max="12541" width="49.140625" style="266" customWidth="1"/>
    <col min="12542" max="12542" width="20.7109375" style="266" customWidth="1"/>
    <col min="12543" max="12543" width="9.140625" style="266"/>
    <col min="12544" max="12544" width="11.85546875" style="266" customWidth="1"/>
    <col min="12545" max="12545" width="11.7109375" style="266" customWidth="1"/>
    <col min="12546" max="12546" width="12.42578125" style="266" customWidth="1"/>
    <col min="12547" max="12547" width="13.42578125" style="266" customWidth="1"/>
    <col min="12548" max="12796" width="9.140625" style="266"/>
    <col min="12797" max="12797" width="49.140625" style="266" customWidth="1"/>
    <col min="12798" max="12798" width="20.7109375" style="266" customWidth="1"/>
    <col min="12799" max="12799" width="9.140625" style="266"/>
    <col min="12800" max="12800" width="11.85546875" style="266" customWidth="1"/>
    <col min="12801" max="12801" width="11.7109375" style="266" customWidth="1"/>
    <col min="12802" max="12802" width="12.42578125" style="266" customWidth="1"/>
    <col min="12803" max="12803" width="13.42578125" style="266" customWidth="1"/>
    <col min="12804" max="13052" width="9.140625" style="266"/>
    <col min="13053" max="13053" width="49.140625" style="266" customWidth="1"/>
    <col min="13054" max="13054" width="20.7109375" style="266" customWidth="1"/>
    <col min="13055" max="13055" width="9.140625" style="266"/>
    <col min="13056" max="13056" width="11.85546875" style="266" customWidth="1"/>
    <col min="13057" max="13057" width="11.7109375" style="266" customWidth="1"/>
    <col min="13058" max="13058" width="12.42578125" style="266" customWidth="1"/>
    <col min="13059" max="13059" width="13.42578125" style="266" customWidth="1"/>
    <col min="13060" max="13308" width="9.140625" style="266"/>
    <col min="13309" max="13309" width="49.140625" style="266" customWidth="1"/>
    <col min="13310" max="13310" width="20.7109375" style="266" customWidth="1"/>
    <col min="13311" max="13311" width="9.140625" style="266"/>
    <col min="13312" max="13312" width="11.85546875" style="266" customWidth="1"/>
    <col min="13313" max="13313" width="11.7109375" style="266" customWidth="1"/>
    <col min="13314" max="13314" width="12.42578125" style="266" customWidth="1"/>
    <col min="13315" max="13315" width="13.42578125" style="266" customWidth="1"/>
    <col min="13316" max="13564" width="9.140625" style="266"/>
    <col min="13565" max="13565" width="49.140625" style="266" customWidth="1"/>
    <col min="13566" max="13566" width="20.7109375" style="266" customWidth="1"/>
    <col min="13567" max="13567" width="9.140625" style="266"/>
    <col min="13568" max="13568" width="11.85546875" style="266" customWidth="1"/>
    <col min="13569" max="13569" width="11.7109375" style="266" customWidth="1"/>
    <col min="13570" max="13570" width="12.42578125" style="266" customWidth="1"/>
    <col min="13571" max="13571" width="13.42578125" style="266" customWidth="1"/>
    <col min="13572" max="13820" width="9.140625" style="266"/>
    <col min="13821" max="13821" width="49.140625" style="266" customWidth="1"/>
    <col min="13822" max="13822" width="20.7109375" style="266" customWidth="1"/>
    <col min="13823" max="13823" width="9.140625" style="266"/>
    <col min="13824" max="13824" width="11.85546875" style="266" customWidth="1"/>
    <col min="13825" max="13825" width="11.7109375" style="266" customWidth="1"/>
    <col min="13826" max="13826" width="12.42578125" style="266" customWidth="1"/>
    <col min="13827" max="13827" width="13.42578125" style="266" customWidth="1"/>
    <col min="13828" max="14076" width="9.140625" style="266"/>
    <col min="14077" max="14077" width="49.140625" style="266" customWidth="1"/>
    <col min="14078" max="14078" width="20.7109375" style="266" customWidth="1"/>
    <col min="14079" max="14079" width="9.140625" style="266"/>
    <col min="14080" max="14080" width="11.85546875" style="266" customWidth="1"/>
    <col min="14081" max="14081" width="11.7109375" style="266" customWidth="1"/>
    <col min="14082" max="14082" width="12.42578125" style="266" customWidth="1"/>
    <col min="14083" max="14083" width="13.42578125" style="266" customWidth="1"/>
    <col min="14084" max="14332" width="9.140625" style="266"/>
    <col min="14333" max="14333" width="49.140625" style="266" customWidth="1"/>
    <col min="14334" max="14334" width="20.7109375" style="266" customWidth="1"/>
    <col min="14335" max="14335" width="9.140625" style="266"/>
    <col min="14336" max="14336" width="11.85546875" style="266" customWidth="1"/>
    <col min="14337" max="14337" width="11.7109375" style="266" customWidth="1"/>
    <col min="14338" max="14338" width="12.42578125" style="266" customWidth="1"/>
    <col min="14339" max="14339" width="13.42578125" style="266" customWidth="1"/>
    <col min="14340" max="14588" width="9.140625" style="266"/>
    <col min="14589" max="14589" width="49.140625" style="266" customWidth="1"/>
    <col min="14590" max="14590" width="20.7109375" style="266" customWidth="1"/>
    <col min="14591" max="14591" width="9.140625" style="266"/>
    <col min="14592" max="14592" width="11.85546875" style="266" customWidth="1"/>
    <col min="14593" max="14593" width="11.7109375" style="266" customWidth="1"/>
    <col min="14594" max="14594" width="12.42578125" style="266" customWidth="1"/>
    <col min="14595" max="14595" width="13.42578125" style="266" customWidth="1"/>
    <col min="14596" max="14844" width="9.140625" style="266"/>
    <col min="14845" max="14845" width="49.140625" style="266" customWidth="1"/>
    <col min="14846" max="14846" width="20.7109375" style="266" customWidth="1"/>
    <col min="14847" max="14847" width="9.140625" style="266"/>
    <col min="14848" max="14848" width="11.85546875" style="266" customWidth="1"/>
    <col min="14849" max="14849" width="11.7109375" style="266" customWidth="1"/>
    <col min="14850" max="14850" width="12.42578125" style="266" customWidth="1"/>
    <col min="14851" max="14851" width="13.42578125" style="266" customWidth="1"/>
    <col min="14852" max="15100" width="9.140625" style="266"/>
    <col min="15101" max="15101" width="49.140625" style="266" customWidth="1"/>
    <col min="15102" max="15102" width="20.7109375" style="266" customWidth="1"/>
    <col min="15103" max="15103" width="9.140625" style="266"/>
    <col min="15104" max="15104" width="11.85546875" style="266" customWidth="1"/>
    <col min="15105" max="15105" width="11.7109375" style="266" customWidth="1"/>
    <col min="15106" max="15106" width="12.42578125" style="266" customWidth="1"/>
    <col min="15107" max="15107" width="13.42578125" style="266" customWidth="1"/>
    <col min="15108" max="15356" width="9.140625" style="266"/>
    <col min="15357" max="15357" width="49.140625" style="266" customWidth="1"/>
    <col min="15358" max="15358" width="20.7109375" style="266" customWidth="1"/>
    <col min="15359" max="15359" width="9.140625" style="266"/>
    <col min="15360" max="15360" width="11.85546875" style="266" customWidth="1"/>
    <col min="15361" max="15361" width="11.7109375" style="266" customWidth="1"/>
    <col min="15362" max="15362" width="12.42578125" style="266" customWidth="1"/>
    <col min="15363" max="15363" width="13.42578125" style="266" customWidth="1"/>
    <col min="15364" max="15612" width="9.140625" style="266"/>
    <col min="15613" max="15613" width="49.140625" style="266" customWidth="1"/>
    <col min="15614" max="15614" width="20.7109375" style="266" customWidth="1"/>
    <col min="15615" max="15615" width="9.140625" style="266"/>
    <col min="15616" max="15616" width="11.85546875" style="266" customWidth="1"/>
    <col min="15617" max="15617" width="11.7109375" style="266" customWidth="1"/>
    <col min="15618" max="15618" width="12.42578125" style="266" customWidth="1"/>
    <col min="15619" max="15619" width="13.42578125" style="266" customWidth="1"/>
    <col min="15620" max="15868" width="9.140625" style="266"/>
    <col min="15869" max="15869" width="49.140625" style="266" customWidth="1"/>
    <col min="15870" max="15870" width="20.7109375" style="266" customWidth="1"/>
    <col min="15871" max="15871" width="9.140625" style="266"/>
    <col min="15872" max="15872" width="11.85546875" style="266" customWidth="1"/>
    <col min="15873" max="15873" width="11.7109375" style="266" customWidth="1"/>
    <col min="15874" max="15874" width="12.42578125" style="266" customWidth="1"/>
    <col min="15875" max="15875" width="13.42578125" style="266" customWidth="1"/>
    <col min="15876" max="16124" width="9.140625" style="266"/>
    <col min="16125" max="16125" width="49.140625" style="266" customWidth="1"/>
    <col min="16126" max="16126" width="20.7109375" style="266" customWidth="1"/>
    <col min="16127" max="16127" width="9.140625" style="266"/>
    <col min="16128" max="16128" width="11.85546875" style="266" customWidth="1"/>
    <col min="16129" max="16129" width="11.7109375" style="266" customWidth="1"/>
    <col min="16130" max="16130" width="12.42578125" style="266" customWidth="1"/>
    <col min="16131" max="16131" width="13.42578125" style="266" customWidth="1"/>
    <col min="16132" max="16384" width="9.140625" style="266"/>
  </cols>
  <sheetData>
    <row r="1" spans="1:8" ht="20.100000000000001" customHeight="1">
      <c r="A1" s="482" t="s">
        <v>298</v>
      </c>
      <c r="B1" s="483"/>
      <c r="C1" s="265"/>
      <c r="D1" s="265"/>
      <c r="E1" s="265"/>
      <c r="F1" s="265"/>
      <c r="G1" s="265"/>
      <c r="H1" s="265"/>
    </row>
    <row r="2" spans="1:8" ht="20.100000000000001" customHeight="1">
      <c r="A2" s="484" t="s">
        <v>318</v>
      </c>
      <c r="B2" s="485"/>
    </row>
    <row r="3" spans="1:8" ht="20.100000000000001" customHeight="1">
      <c r="A3" s="124" t="s">
        <v>114</v>
      </c>
      <c r="B3" s="125">
        <f>'Cashflow '!J10</f>
        <v>407.77007742187885</v>
      </c>
      <c r="C3" s="267"/>
    </row>
    <row r="4" spans="1:8" ht="20.100000000000001" customHeight="1">
      <c r="A4" s="124" t="s">
        <v>115</v>
      </c>
      <c r="B4" s="126"/>
      <c r="C4" s="269"/>
    </row>
    <row r="5" spans="1:8" ht="20.100000000000001" customHeight="1">
      <c r="A5" s="127" t="s">
        <v>189</v>
      </c>
      <c r="B5" s="128">
        <f>'Cashflow '!J15+'Cashflow '!J16</f>
        <v>229.4126309265211</v>
      </c>
      <c r="C5" s="270"/>
    </row>
    <row r="6" spans="1:8" ht="20.100000000000001" customHeight="1">
      <c r="A6" s="127" t="s">
        <v>7</v>
      </c>
      <c r="B6" s="128">
        <f>'Cashflow '!J18</f>
        <v>9.8701129364687823</v>
      </c>
      <c r="C6" s="271"/>
    </row>
    <row r="7" spans="1:8" ht="20.100000000000001" customHeight="1">
      <c r="A7" s="127" t="s">
        <v>5</v>
      </c>
      <c r="B7" s="128">
        <f>'Cashflow '!J17</f>
        <v>12.199465284393746</v>
      </c>
      <c r="C7" s="271"/>
    </row>
    <row r="8" spans="1:8" ht="20.100000000000001" customHeight="1">
      <c r="A8" s="127" t="s">
        <v>11</v>
      </c>
      <c r="B8" s="128">
        <f>'Cashflow '!J20</f>
        <v>12.76987841356374</v>
      </c>
      <c r="C8" s="271"/>
    </row>
    <row r="9" spans="1:8" ht="20.100000000000001" customHeight="1">
      <c r="A9" s="129" t="s">
        <v>116</v>
      </c>
      <c r="B9" s="125">
        <f>SUM(B5:B8)</f>
        <v>264.25208756094736</v>
      </c>
      <c r="C9" s="272"/>
    </row>
    <row r="10" spans="1:8" ht="20.100000000000001" customHeight="1">
      <c r="A10" s="124" t="s">
        <v>315</v>
      </c>
      <c r="B10" s="125">
        <f>+B3-B9</f>
        <v>143.51798986093149</v>
      </c>
      <c r="C10" s="272"/>
      <c r="D10" s="268"/>
    </row>
    <row r="11" spans="1:8" ht="20.100000000000001" customHeight="1">
      <c r="A11" s="124" t="s">
        <v>118</v>
      </c>
      <c r="B11" s="126"/>
      <c r="C11" s="269"/>
      <c r="D11" s="268"/>
    </row>
    <row r="12" spans="1:8" ht="20.100000000000001" customHeight="1">
      <c r="A12" s="127" t="s">
        <v>10</v>
      </c>
      <c r="B12" s="128">
        <f>'Cashflow '!J19</f>
        <v>7.3003186311550987</v>
      </c>
      <c r="C12" s="268"/>
      <c r="D12" s="268"/>
    </row>
    <row r="13" spans="1:8" ht="20.100000000000001" customHeight="1">
      <c r="A13" s="127" t="s">
        <v>192</v>
      </c>
      <c r="B13" s="128">
        <f>'Reference Values'!B92</f>
        <v>28.227499999999999</v>
      </c>
      <c r="C13" s="268"/>
      <c r="D13" s="268"/>
    </row>
    <row r="14" spans="1:8" ht="20.100000000000001" customHeight="1">
      <c r="A14" s="127" t="s">
        <v>19</v>
      </c>
      <c r="B14" s="128">
        <f>'Cashflow '!$F$8/10</f>
        <v>56.454999999999998</v>
      </c>
      <c r="C14" s="268"/>
      <c r="D14" s="273"/>
    </row>
    <row r="15" spans="1:8" ht="20.100000000000001" customHeight="1">
      <c r="A15" s="127" t="s">
        <v>76</v>
      </c>
      <c r="B15" s="125">
        <f>SUM(B12:B14)</f>
        <v>91.982818631155098</v>
      </c>
      <c r="C15" s="268"/>
      <c r="D15" s="273"/>
    </row>
    <row r="16" spans="1:8" ht="20.100000000000001" customHeight="1">
      <c r="A16" s="130" t="s">
        <v>119</v>
      </c>
      <c r="B16" s="131">
        <f>B15/B10</f>
        <v>0.64091490356216785</v>
      </c>
      <c r="C16" s="274"/>
      <c r="D16" s="273"/>
      <c r="E16" s="265"/>
    </row>
    <row r="17" spans="1:6" ht="20.100000000000001" customHeight="1">
      <c r="A17" s="487" t="s">
        <v>316</v>
      </c>
      <c r="B17" s="488"/>
      <c r="C17" s="488"/>
      <c r="D17" s="488"/>
      <c r="E17" s="488"/>
      <c r="F17" s="488"/>
    </row>
    <row r="18" spans="1:6" ht="20.100000000000001" customHeight="1">
      <c r="A18" s="489" t="s">
        <v>318</v>
      </c>
      <c r="B18" s="490"/>
      <c r="C18" s="490"/>
      <c r="D18" s="490"/>
      <c r="E18" s="490"/>
      <c r="F18" s="491"/>
    </row>
    <row r="19" spans="1:6" ht="20.100000000000001" customHeight="1">
      <c r="A19" s="124"/>
      <c r="B19" s="411"/>
      <c r="C19" s="136">
        <v>1</v>
      </c>
      <c r="D19" s="136">
        <v>2</v>
      </c>
      <c r="E19" s="136">
        <v>3</v>
      </c>
      <c r="F19" s="137">
        <v>4</v>
      </c>
    </row>
    <row r="20" spans="1:6" ht="17.25" customHeight="1">
      <c r="A20" s="124" t="s">
        <v>114</v>
      </c>
      <c r="B20" s="27">
        <f>B3</f>
        <v>407.77007742187885</v>
      </c>
      <c r="C20" s="27">
        <f>B20-B20*0.11</f>
        <v>362.91536890547218</v>
      </c>
      <c r="D20" s="27">
        <f>B20</f>
        <v>407.77007742187885</v>
      </c>
      <c r="E20" s="27">
        <f>B20-B20*0.05</f>
        <v>387.38157355078488</v>
      </c>
      <c r="F20" s="125">
        <f>B20</f>
        <v>407.77007742187885</v>
      </c>
    </row>
    <row r="21" spans="1:6" ht="17.25" customHeight="1">
      <c r="A21" s="124" t="s">
        <v>115</v>
      </c>
      <c r="B21" s="28"/>
      <c r="C21" s="29"/>
      <c r="D21" s="29"/>
      <c r="E21" s="29"/>
      <c r="F21" s="128"/>
    </row>
    <row r="22" spans="1:6" ht="17.25" customHeight="1">
      <c r="A22" s="127" t="s">
        <v>189</v>
      </c>
      <c r="B22" s="29">
        <f>B5</f>
        <v>229.4126309265211</v>
      </c>
      <c r="C22" s="29">
        <f>B22</f>
        <v>229.4126309265211</v>
      </c>
      <c r="D22" s="29">
        <f>C22+C22*16.5%</f>
        <v>267.26571502939709</v>
      </c>
      <c r="E22" s="29">
        <f>B22+B22*0.09</f>
        <v>250.05976770990799</v>
      </c>
      <c r="F22" s="128">
        <f>B22</f>
        <v>229.4126309265211</v>
      </c>
    </row>
    <row r="23" spans="1:6" ht="17.25" customHeight="1">
      <c r="A23" s="127" t="s">
        <v>7</v>
      </c>
      <c r="B23" s="29">
        <f>B6</f>
        <v>9.8701129364687823</v>
      </c>
      <c r="C23" s="29">
        <f>B23</f>
        <v>9.8701129364687823</v>
      </c>
      <c r="D23" s="29">
        <f t="shared" ref="D23:F25" si="0">C23</f>
        <v>9.8701129364687823</v>
      </c>
      <c r="E23" s="29">
        <f t="shared" si="0"/>
        <v>9.8701129364687823</v>
      </c>
      <c r="F23" s="128">
        <f t="shared" si="0"/>
        <v>9.8701129364687823</v>
      </c>
    </row>
    <row r="24" spans="1:6" ht="17.25" customHeight="1">
      <c r="A24" s="127" t="s">
        <v>5</v>
      </c>
      <c r="B24" s="29">
        <f>B7</f>
        <v>12.199465284393746</v>
      </c>
      <c r="C24" s="29">
        <f>B24</f>
        <v>12.199465284393746</v>
      </c>
      <c r="D24" s="29">
        <f t="shared" si="0"/>
        <v>12.199465284393746</v>
      </c>
      <c r="E24" s="29">
        <f t="shared" si="0"/>
        <v>12.199465284393746</v>
      </c>
      <c r="F24" s="128">
        <f t="shared" si="0"/>
        <v>12.199465284393746</v>
      </c>
    </row>
    <row r="25" spans="1:6" ht="17.25" customHeight="1">
      <c r="A25" s="127" t="s">
        <v>11</v>
      </c>
      <c r="B25" s="29">
        <f>B8</f>
        <v>12.76987841356374</v>
      </c>
      <c r="C25" s="29">
        <f>B25</f>
        <v>12.76987841356374</v>
      </c>
      <c r="D25" s="29">
        <f t="shared" si="0"/>
        <v>12.76987841356374</v>
      </c>
      <c r="E25" s="29">
        <f t="shared" si="0"/>
        <v>12.76987841356374</v>
      </c>
      <c r="F25" s="128">
        <f t="shared" si="0"/>
        <v>12.76987841356374</v>
      </c>
    </row>
    <row r="26" spans="1:6" ht="17.25" customHeight="1">
      <c r="A26" s="129" t="s">
        <v>116</v>
      </c>
      <c r="B26" s="27">
        <f>SUM(B22:B25)</f>
        <v>264.25208756094736</v>
      </c>
      <c r="C26" s="27">
        <f>SUM(C22:C25)</f>
        <v>264.25208756094736</v>
      </c>
      <c r="D26" s="27">
        <f>SUM(D22:D25)</f>
        <v>302.10517166382334</v>
      </c>
      <c r="E26" s="27">
        <f>SUM(E22:E25)</f>
        <v>284.89922434433424</v>
      </c>
      <c r="F26" s="125">
        <f>SUM(F22:F25)+SUM(F22:F25)*14.5%</f>
        <v>302.56864025728476</v>
      </c>
    </row>
    <row r="27" spans="1:6" ht="17.25" customHeight="1">
      <c r="A27" s="124" t="s">
        <v>117</v>
      </c>
      <c r="B27" s="27">
        <f>+B20-B26</f>
        <v>143.51798986093149</v>
      </c>
      <c r="C27" s="27">
        <f>+C20-C26</f>
        <v>98.663281344524819</v>
      </c>
      <c r="D27" s="27">
        <f>+D20-D26</f>
        <v>105.66490575805551</v>
      </c>
      <c r="E27" s="27">
        <f>+E20-E26</f>
        <v>102.48234920645064</v>
      </c>
      <c r="F27" s="125">
        <f>+F20-F26</f>
        <v>105.2014371645941</v>
      </c>
    </row>
    <row r="28" spans="1:6" ht="17.25" customHeight="1">
      <c r="A28" s="124" t="s">
        <v>118</v>
      </c>
      <c r="B28" s="28"/>
      <c r="C28" s="132"/>
      <c r="D28" s="132"/>
      <c r="E28" s="133"/>
      <c r="F28" s="134"/>
    </row>
    <row r="29" spans="1:6" ht="17.25" customHeight="1">
      <c r="A29" s="127" t="s">
        <v>10</v>
      </c>
      <c r="B29" s="29">
        <f>B12</f>
        <v>7.3003186311550987</v>
      </c>
      <c r="C29" s="29">
        <f>B29</f>
        <v>7.3003186311550987</v>
      </c>
      <c r="D29" s="29">
        <f t="shared" ref="D29:F30" si="1">C29</f>
        <v>7.3003186311550987</v>
      </c>
      <c r="E29" s="29">
        <f t="shared" si="1"/>
        <v>7.3003186311550987</v>
      </c>
      <c r="F29" s="128">
        <f t="shared" si="1"/>
        <v>7.3003186311550987</v>
      </c>
    </row>
    <row r="30" spans="1:6" ht="17.25" customHeight="1">
      <c r="A30" s="127" t="s">
        <v>19</v>
      </c>
      <c r="B30" s="29">
        <f>B13</f>
        <v>28.227499999999999</v>
      </c>
      <c r="C30" s="29">
        <f>B30</f>
        <v>28.227499999999999</v>
      </c>
      <c r="D30" s="29">
        <f t="shared" si="1"/>
        <v>28.227499999999999</v>
      </c>
      <c r="E30" s="29">
        <f t="shared" si="1"/>
        <v>28.227499999999999</v>
      </c>
      <c r="F30" s="128">
        <f t="shared" si="1"/>
        <v>28.227499999999999</v>
      </c>
    </row>
    <row r="31" spans="1:6" ht="17.25" customHeight="1">
      <c r="A31" s="127" t="s">
        <v>192</v>
      </c>
      <c r="B31" s="29">
        <f>B14</f>
        <v>56.454999999999998</v>
      </c>
      <c r="C31" s="29">
        <f>B31</f>
        <v>56.454999999999998</v>
      </c>
      <c r="D31" s="29">
        <f>C31</f>
        <v>56.454999999999998</v>
      </c>
      <c r="E31" s="29">
        <f>C31</f>
        <v>56.454999999999998</v>
      </c>
      <c r="F31" s="128">
        <f>D31</f>
        <v>56.454999999999998</v>
      </c>
    </row>
    <row r="32" spans="1:6" ht="17.25" customHeight="1">
      <c r="A32" s="127" t="s">
        <v>76</v>
      </c>
      <c r="B32" s="27">
        <f>SUM(B29:B31)</f>
        <v>91.982818631155098</v>
      </c>
      <c r="C32" s="27">
        <f>SUM(C29:C31)</f>
        <v>91.982818631155098</v>
      </c>
      <c r="D32" s="27">
        <f>SUM(D29:D31)</f>
        <v>91.982818631155098</v>
      </c>
      <c r="E32" s="27">
        <f>SUM(E29:E31)</f>
        <v>91.982818631155098</v>
      </c>
      <c r="F32" s="125">
        <f>SUM(F29:F31)</f>
        <v>91.982818631155098</v>
      </c>
    </row>
    <row r="33" spans="1:6" ht="17.25" customHeight="1">
      <c r="A33" s="130" t="s">
        <v>119</v>
      </c>
      <c r="B33" s="135">
        <f>B32/B27</f>
        <v>0.64091490356216785</v>
      </c>
      <c r="C33" s="135">
        <f>C32/C27</f>
        <v>0.93229028446720674</v>
      </c>
      <c r="D33" s="135">
        <f>D32/D27</f>
        <v>0.87051436776720603</v>
      </c>
      <c r="E33" s="135">
        <f>E32/E27</f>
        <v>0.8975479128201459</v>
      </c>
      <c r="F33" s="131">
        <f>F32/F27</f>
        <v>0.87434944911676771</v>
      </c>
    </row>
    <row r="34" spans="1:6">
      <c r="A34" s="412" t="s">
        <v>69</v>
      </c>
      <c r="B34" s="486" t="s">
        <v>165</v>
      </c>
      <c r="C34" s="486"/>
    </row>
    <row r="35" spans="1:6">
      <c r="A35" s="138"/>
      <c r="B35" s="113" t="s">
        <v>159</v>
      </c>
      <c r="C35" s="148" t="s">
        <v>160</v>
      </c>
    </row>
    <row r="36" spans="1:6">
      <c r="A36" s="139"/>
      <c r="B36" s="114" t="s">
        <v>184</v>
      </c>
      <c r="C36" s="416">
        <f>B33</f>
        <v>0.64091490356216785</v>
      </c>
    </row>
    <row r="37" spans="1:6">
      <c r="A37" s="139"/>
      <c r="B37" s="114"/>
      <c r="C37" s="417"/>
    </row>
    <row r="38" spans="1:6">
      <c r="A38" s="413">
        <v>1</v>
      </c>
      <c r="B38" s="114" t="s">
        <v>161</v>
      </c>
      <c r="C38" s="418">
        <f>C33</f>
        <v>0.93229028446720674</v>
      </c>
    </row>
    <row r="39" spans="1:6">
      <c r="A39" s="413">
        <v>2</v>
      </c>
      <c r="B39" s="114" t="s">
        <v>162</v>
      </c>
      <c r="C39" s="418">
        <f>D33</f>
        <v>0.87051436776720603</v>
      </c>
    </row>
    <row r="40" spans="1:6">
      <c r="A40" s="413">
        <v>3</v>
      </c>
      <c r="B40" s="114" t="s">
        <v>163</v>
      </c>
      <c r="C40" s="418">
        <f>E33</f>
        <v>0.8975479128201459</v>
      </c>
    </row>
    <row r="41" spans="1:6">
      <c r="A41" s="414">
        <v>4</v>
      </c>
      <c r="B41" s="115" t="s">
        <v>164</v>
      </c>
      <c r="C41" s="419">
        <f>F33</f>
        <v>0.87434944911676771</v>
      </c>
    </row>
  </sheetData>
  <mergeCells count="5">
    <mergeCell ref="A1:B1"/>
    <mergeCell ref="A2:B2"/>
    <mergeCell ref="B34:C34"/>
    <mergeCell ref="A17:F17"/>
    <mergeCell ref="A18:F18"/>
  </mergeCells>
  <printOptions horizontalCentered="1" gridLines="1"/>
  <pageMargins left="1"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Raw Materials Requirement </vt:lpstr>
      <vt:lpstr>Basis</vt:lpstr>
      <vt:lpstr>Norms</vt:lpstr>
      <vt:lpstr>Reference Values</vt:lpstr>
      <vt:lpstr>Capex</vt:lpstr>
      <vt:lpstr>Opex</vt:lpstr>
      <vt:lpstr>Cashflow </vt:lpstr>
      <vt:lpstr>Profitability</vt:lpstr>
      <vt:lpstr> Breakeven Point</vt:lpstr>
      <vt:lpstr>DSCR</vt:lpstr>
      <vt:lpstr>' Breakeven Point'!Print_Area</vt:lpstr>
      <vt:lpstr>DSCR!Print_Area</vt:lpstr>
      <vt:lpstr>Profitability!Print_Area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2022-08-19T12:44:53Z</dcterms:modified>
</cp:coreProperties>
</file>