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never" codeName="ThisWorkbook" defaultThemeVersion="166925"/>
  <mc:AlternateContent xmlns:mc="http://schemas.openxmlformats.org/markup-compatibility/2006">
    <mc:Choice Requires="x15">
      <x15ac:absPath xmlns:x15ac="http://schemas.microsoft.com/office/spreadsheetml/2010/11/ac" url="C:\Users\hardik.malhotra\Desktop\Desktop Data\Final Kribhco\"/>
    </mc:Choice>
  </mc:AlternateContent>
  <xr:revisionPtr revIDLastSave="0" documentId="13_ncr:1_{3C38B385-B6D6-457A-A234-E55171791224}" xr6:coauthVersionLast="47" xr6:coauthVersionMax="47" xr10:uidLastSave="{00000000-0000-0000-0000-000000000000}"/>
  <bookViews>
    <workbookView xWindow="-120" yWindow="-120" windowWidth="20730" windowHeight="11160" tabRatio="916" firstSheet="1" activeTab="15" xr2:uid="{00000000-000D-0000-FFFF-FFFF00000000}"/>
  </bookViews>
  <sheets>
    <sheet name="Raw Materials Requirement " sheetId="98" state="hidden" r:id="rId1"/>
    <sheet name="Basis" sheetId="102" r:id="rId2"/>
    <sheet name="Norms" sheetId="99" r:id="rId3"/>
    <sheet name="Capex" sheetId="16" r:id="rId4"/>
    <sheet name="Opex" sheetId="13" r:id="rId5"/>
    <sheet name="Cashflow " sheetId="39" r:id="rId6"/>
    <sheet name="Balance Sheet" sheetId="112" r:id="rId7"/>
    <sheet name="Reference Values" sheetId="101" state="hidden" r:id="rId8"/>
    <sheet name="Interest Cal." sheetId="103" state="hidden" r:id="rId9"/>
    <sheet name="Profitability" sheetId="56" state="hidden" r:id="rId10"/>
    <sheet name=" Breakeven Point" sheetId="57" state="hidden" r:id="rId11"/>
    <sheet name="DSCR" sheetId="58" state="hidden" r:id="rId12"/>
    <sheet name="ITC-GST" sheetId="113" r:id="rId13"/>
    <sheet name="Depreciation" sheetId="108" r:id="rId14"/>
    <sheet name="Working Capital" sheetId="110" r:id="rId15"/>
    <sheet name="IRR" sheetId="111" r:id="rId16"/>
    <sheet name="Sensitivity Analysis" sheetId="114" r:id="rId17"/>
  </sheets>
  <externalReferences>
    <externalReference r:id="rId18"/>
    <externalReference r:id="rId19"/>
    <externalReference r:id="rId20"/>
    <externalReference r:id="rId21"/>
    <externalReference r:id="rId22"/>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0">' Breakeven Point'!$A$1:$B$11</definedName>
    <definedName name="_xlnm.Print_Area" localSheetId="11">DSCR!$A$1:$J$17</definedName>
    <definedName name="_xlnm.Print_Area" localSheetId="9">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I_SERIES15">IRR!#REF!</definedName>
    <definedName name="RowDetails1">#REF!</definedName>
    <definedName name="sencount" hidden="1">2</definedName>
    <definedName name="SERIES15">IRR!#REF!</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0" i="13" l="1"/>
  <c r="E30" i="13" l="1"/>
  <c r="D29" i="13"/>
  <c r="M33" i="114"/>
  <c r="L33" i="114"/>
  <c r="K33" i="114"/>
  <c r="J33" i="114"/>
  <c r="M31" i="114"/>
  <c r="L31" i="114"/>
  <c r="K31" i="114"/>
  <c r="J31" i="114"/>
  <c r="M29" i="114"/>
  <c r="L29" i="114"/>
  <c r="K29" i="114"/>
  <c r="J29" i="114"/>
  <c r="G36" i="99" l="1"/>
  <c r="B11" i="16"/>
  <c r="B33" i="16"/>
  <c r="J8" i="99" l="1"/>
  <c r="B49" i="99"/>
  <c r="H18" i="16"/>
  <c r="G18" i="16"/>
  <c r="C7" i="13" l="1"/>
  <c r="O7" i="98"/>
  <c r="N7" i="98"/>
  <c r="L9" i="98"/>
  <c r="I6" i="98"/>
  <c r="F33" i="114"/>
  <c r="E33" i="114"/>
  <c r="D33" i="114"/>
  <c r="C33" i="114"/>
  <c r="F31" i="114"/>
  <c r="E31" i="114"/>
  <c r="D31" i="114"/>
  <c r="C31" i="114"/>
  <c r="F29" i="114"/>
  <c r="E29" i="114"/>
  <c r="D29" i="114"/>
  <c r="C29" i="114"/>
  <c r="J12" i="114"/>
  <c r="M16" i="114"/>
  <c r="L16" i="114"/>
  <c r="K16" i="114"/>
  <c r="J16" i="114"/>
  <c r="M14" i="114"/>
  <c r="L14" i="114"/>
  <c r="K14" i="114"/>
  <c r="J14" i="114"/>
  <c r="M12" i="114"/>
  <c r="L12" i="114"/>
  <c r="K12" i="114"/>
  <c r="D12" i="114"/>
  <c r="E12" i="114"/>
  <c r="F12" i="114"/>
  <c r="C12" i="114"/>
  <c r="F16" i="114"/>
  <c r="E16" i="114"/>
  <c r="D16" i="114"/>
  <c r="C16" i="114"/>
  <c r="F14" i="114"/>
  <c r="E14" i="114"/>
  <c r="D14" i="114"/>
  <c r="C14" i="114"/>
  <c r="I4" i="16"/>
  <c r="J4" i="16"/>
  <c r="R21" i="113" l="1"/>
  <c r="Q21" i="113"/>
  <c r="P21" i="113"/>
  <c r="O21" i="113"/>
  <c r="N21" i="113"/>
  <c r="M21" i="113"/>
  <c r="L21" i="113"/>
  <c r="K21" i="113"/>
  <c r="J21" i="113"/>
  <c r="I21" i="113"/>
  <c r="C55" i="39" l="1"/>
  <c r="C54" i="39"/>
  <c r="D4" i="112"/>
  <c r="S4" i="112"/>
  <c r="R4" i="112"/>
  <c r="Q4" i="112"/>
  <c r="P4" i="112"/>
  <c r="O4" i="112"/>
  <c r="N4" i="112"/>
  <c r="M4" i="112"/>
  <c r="L4" i="112"/>
  <c r="K4" i="112"/>
  <c r="J4" i="112"/>
  <c r="I4" i="112"/>
  <c r="H4" i="112"/>
  <c r="G4" i="112"/>
  <c r="F4" i="112"/>
  <c r="E4" i="112"/>
  <c r="C4" i="112"/>
  <c r="T74" i="39" l="1"/>
  <c r="T73" i="39"/>
  <c r="T72" i="39"/>
  <c r="T71" i="39"/>
  <c r="T65" i="39"/>
  <c r="T62" i="39"/>
  <c r="T61" i="39"/>
  <c r="D23" i="111"/>
  <c r="E47" i="111"/>
  <c r="T66" i="39" l="1"/>
  <c r="G34" i="111"/>
  <c r="H34" i="111"/>
  <c r="I34" i="111"/>
  <c r="J34" i="111"/>
  <c r="K34" i="111"/>
  <c r="L34" i="111"/>
  <c r="M34" i="111"/>
  <c r="N34" i="111"/>
  <c r="O34" i="111"/>
  <c r="P34" i="111"/>
  <c r="Q34" i="111"/>
  <c r="R34" i="111"/>
  <c r="S34" i="111"/>
  <c r="F34" i="111"/>
  <c r="G32" i="111"/>
  <c r="H32" i="111"/>
  <c r="I32" i="111"/>
  <c r="J32" i="111"/>
  <c r="K32" i="111"/>
  <c r="L32" i="111"/>
  <c r="M32" i="111"/>
  <c r="N32" i="111"/>
  <c r="O32" i="111"/>
  <c r="P32" i="111"/>
  <c r="Q32" i="111"/>
  <c r="R32" i="111"/>
  <c r="S32" i="111"/>
  <c r="G33" i="111"/>
  <c r="H33" i="111"/>
  <c r="I33" i="111"/>
  <c r="J33" i="111"/>
  <c r="K33" i="111"/>
  <c r="L33" i="111"/>
  <c r="M33" i="111"/>
  <c r="N33" i="111"/>
  <c r="O33" i="111"/>
  <c r="P33" i="111"/>
  <c r="Q33" i="111"/>
  <c r="R33" i="111"/>
  <c r="S33" i="111"/>
  <c r="F33" i="111"/>
  <c r="F32" i="111"/>
  <c r="E36" i="111" l="1"/>
  <c r="T47" i="111" l="1"/>
  <c r="S47" i="111"/>
  <c r="R47" i="111"/>
  <c r="Q47" i="111"/>
  <c r="P47" i="111"/>
  <c r="O47" i="111"/>
  <c r="N47" i="111"/>
  <c r="M47" i="111"/>
  <c r="L47" i="111"/>
  <c r="K47" i="111"/>
  <c r="J47" i="111"/>
  <c r="I47" i="111"/>
  <c r="H47" i="111"/>
  <c r="G47" i="111"/>
  <c r="F47" i="111"/>
  <c r="D47" i="111"/>
  <c r="R104" i="39"/>
  <c r="S104" i="39"/>
  <c r="T104" i="39"/>
  <c r="R99" i="39"/>
  <c r="S99" i="39"/>
  <c r="T99" i="39"/>
  <c r="R98" i="39"/>
  <c r="S98" i="39"/>
  <c r="T98" i="39"/>
  <c r="R97" i="39"/>
  <c r="S97" i="39"/>
  <c r="T97" i="39"/>
  <c r="R100" i="39" l="1"/>
  <c r="S100" i="39"/>
  <c r="C17" i="108" l="1"/>
  <c r="C20" i="108" s="1"/>
  <c r="C13" i="108"/>
  <c r="C12" i="108"/>
  <c r="C11" i="108"/>
  <c r="M89" i="39"/>
  <c r="N89" i="39"/>
  <c r="O89" i="39"/>
  <c r="P89" i="39"/>
  <c r="Q89" i="39"/>
  <c r="R89" i="39"/>
  <c r="S89" i="39"/>
  <c r="C84" i="39"/>
  <c r="C79" i="16"/>
  <c r="E15" i="39"/>
  <c r="E14" i="39"/>
  <c r="C12" i="110"/>
  <c r="C11" i="110"/>
  <c r="B12" i="108"/>
  <c r="B19" i="108" s="1"/>
  <c r="B11" i="108"/>
  <c r="B18" i="108" s="1"/>
  <c r="B10" i="108"/>
  <c r="B17" i="108" s="1"/>
  <c r="C86" i="16"/>
  <c r="C18" i="108" l="1"/>
  <c r="C19" i="108"/>
  <c r="S31" i="111"/>
  <c r="S49" i="111" s="1"/>
  <c r="R71" i="39"/>
  <c r="R31" i="111"/>
  <c r="R49" i="111" s="1"/>
  <c r="Q71" i="39"/>
  <c r="Q31" i="111"/>
  <c r="Q49" i="111" s="1"/>
  <c r="P71" i="39"/>
  <c r="P31" i="111"/>
  <c r="P49" i="111" s="1"/>
  <c r="O71" i="39"/>
  <c r="N31" i="111"/>
  <c r="N49" i="111" s="1"/>
  <c r="M71" i="39"/>
  <c r="O31" i="111"/>
  <c r="O49" i="111" s="1"/>
  <c r="N71" i="39"/>
  <c r="T31" i="111"/>
  <c r="T49" i="111" s="1"/>
  <c r="S71" i="39"/>
  <c r="F22" i="13"/>
  <c r="H15" i="39" s="1"/>
  <c r="F15" i="113" s="1"/>
  <c r="G22" i="13"/>
  <c r="I15" i="39" s="1"/>
  <c r="G15" i="113" s="1"/>
  <c r="H22" i="13"/>
  <c r="J15" i="39" s="1"/>
  <c r="H15" i="113" s="1"/>
  <c r="I22" i="13"/>
  <c r="K15" i="39" s="1"/>
  <c r="I15" i="113" s="1"/>
  <c r="J22" i="13"/>
  <c r="L15" i="39" s="1"/>
  <c r="J15" i="113" s="1"/>
  <c r="K22" i="13"/>
  <c r="M15" i="39" s="1"/>
  <c r="K15" i="113" s="1"/>
  <c r="L22" i="13"/>
  <c r="N15" i="39" s="1"/>
  <c r="L15" i="113" s="1"/>
  <c r="M22" i="13"/>
  <c r="O15" i="39" s="1"/>
  <c r="M15" i="113" s="1"/>
  <c r="N22" i="13"/>
  <c r="P15" i="39" s="1"/>
  <c r="N15" i="113" s="1"/>
  <c r="O22" i="13"/>
  <c r="Q15" i="39" s="1"/>
  <c r="O15" i="113" s="1"/>
  <c r="P22" i="13"/>
  <c r="R15" i="39" s="1"/>
  <c r="P15" i="113" s="1"/>
  <c r="Q22" i="13"/>
  <c r="S15" i="39" s="1"/>
  <c r="Q15" i="113" s="1"/>
  <c r="R22" i="13"/>
  <c r="T15" i="39" s="1"/>
  <c r="R15" i="113" s="1"/>
  <c r="E22" i="13"/>
  <c r="G15" i="39" s="1"/>
  <c r="E15" i="113" s="1"/>
  <c r="D22" i="13"/>
  <c r="F15" i="39" s="1"/>
  <c r="D15" i="113" s="1"/>
  <c r="E13" i="13"/>
  <c r="F13" i="13"/>
  <c r="G13" i="13"/>
  <c r="H13" i="13"/>
  <c r="I13" i="13"/>
  <c r="J13" i="13"/>
  <c r="K13" i="13"/>
  <c r="L13" i="13"/>
  <c r="M13" i="13"/>
  <c r="N13" i="13"/>
  <c r="O13" i="13"/>
  <c r="P13" i="13"/>
  <c r="Q13" i="13"/>
  <c r="R13" i="13"/>
  <c r="D13" i="13"/>
  <c r="H10" i="16" l="1"/>
  <c r="E4" i="13"/>
  <c r="G11" i="39" s="1"/>
  <c r="G14" i="39" s="1"/>
  <c r="F4" i="13"/>
  <c r="H11" i="39" s="1"/>
  <c r="H14" i="39" s="1"/>
  <c r="G4" i="13"/>
  <c r="I11" i="39" s="1"/>
  <c r="I14" i="39" s="1"/>
  <c r="H4" i="13"/>
  <c r="J11" i="39" s="1"/>
  <c r="J14" i="39" s="1"/>
  <c r="I4" i="13"/>
  <c r="K11" i="39" s="1"/>
  <c r="K14" i="39" s="1"/>
  <c r="J4" i="13"/>
  <c r="L11" i="39" s="1"/>
  <c r="L14" i="39" s="1"/>
  <c r="K4" i="13"/>
  <c r="M11" i="39" s="1"/>
  <c r="M14" i="39" s="1"/>
  <c r="L4" i="13"/>
  <c r="N11" i="39" s="1"/>
  <c r="N14" i="39" s="1"/>
  <c r="M4" i="13"/>
  <c r="O11" i="39" s="1"/>
  <c r="O14" i="39" s="1"/>
  <c r="N4" i="13"/>
  <c r="P11" i="39" s="1"/>
  <c r="P14" i="39" s="1"/>
  <c r="O4" i="13"/>
  <c r="Q11" i="39" s="1"/>
  <c r="Q14" i="39" s="1"/>
  <c r="P4" i="13"/>
  <c r="R11" i="39" s="1"/>
  <c r="R14" i="39" s="1"/>
  <c r="Q4" i="13"/>
  <c r="S11" i="39" s="1"/>
  <c r="S14" i="39" s="1"/>
  <c r="R4" i="13"/>
  <c r="T11" i="39" s="1"/>
  <c r="T14" i="39" s="1"/>
  <c r="D4" i="13"/>
  <c r="F11" i="39" s="1"/>
  <c r="F14" i="39" s="1"/>
  <c r="J9" i="110" l="1"/>
  <c r="J16" i="113"/>
  <c r="J17" i="113" s="1"/>
  <c r="J23" i="113" s="1"/>
  <c r="L9" i="110"/>
  <c r="L16" i="113"/>
  <c r="L17" i="113" s="1"/>
  <c r="L23" i="113" s="1"/>
  <c r="H9" i="110"/>
  <c r="H16" i="113"/>
  <c r="H17" i="113" s="1"/>
  <c r="H23" i="113" s="1"/>
  <c r="K9" i="110"/>
  <c r="K16" i="113"/>
  <c r="K17" i="113" s="1"/>
  <c r="K23" i="113" s="1"/>
  <c r="Q9" i="110"/>
  <c r="Q16" i="113"/>
  <c r="Q17" i="113" s="1"/>
  <c r="Q23" i="113" s="1"/>
  <c r="G9" i="110"/>
  <c r="G16" i="113"/>
  <c r="G17" i="113" s="1"/>
  <c r="G23" i="113" s="1"/>
  <c r="D9" i="110"/>
  <c r="D16" i="113"/>
  <c r="D17" i="113" s="1"/>
  <c r="D23" i="113" s="1"/>
  <c r="I9" i="110"/>
  <c r="I16" i="113"/>
  <c r="I17" i="113" s="1"/>
  <c r="I23" i="113" s="1"/>
  <c r="O9" i="110"/>
  <c r="O16" i="113"/>
  <c r="O17" i="113" s="1"/>
  <c r="O23" i="113" s="1"/>
  <c r="N9" i="110"/>
  <c r="N16" i="113"/>
  <c r="N17" i="113" s="1"/>
  <c r="N23" i="113" s="1"/>
  <c r="F9" i="110"/>
  <c r="F16" i="113"/>
  <c r="F17" i="113" s="1"/>
  <c r="F23" i="113" s="1"/>
  <c r="R9" i="110"/>
  <c r="R16" i="113"/>
  <c r="R17" i="113" s="1"/>
  <c r="R23" i="113" s="1"/>
  <c r="P9" i="110"/>
  <c r="P16" i="113"/>
  <c r="P17" i="113" s="1"/>
  <c r="P23" i="113" s="1"/>
  <c r="M9" i="110"/>
  <c r="M16" i="113"/>
  <c r="M17" i="113" s="1"/>
  <c r="M23" i="113" s="1"/>
  <c r="E9" i="110"/>
  <c r="E16" i="113"/>
  <c r="E17" i="113" s="1"/>
  <c r="E23" i="113" s="1"/>
  <c r="P9" i="13"/>
  <c r="P12" i="13"/>
  <c r="H9" i="13"/>
  <c r="H12" i="13"/>
  <c r="Q9" i="13"/>
  <c r="Q12" i="13"/>
  <c r="O9" i="13"/>
  <c r="O12" i="13"/>
  <c r="G9" i="13"/>
  <c r="G12" i="13"/>
  <c r="N9" i="13"/>
  <c r="N12" i="13"/>
  <c r="F9" i="13"/>
  <c r="F12" i="13"/>
  <c r="I9" i="13"/>
  <c r="I12" i="13"/>
  <c r="M8" i="13"/>
  <c r="M12" i="13"/>
  <c r="E8" i="13"/>
  <c r="E12" i="13"/>
  <c r="L8" i="13"/>
  <c r="L12" i="13"/>
  <c r="D8" i="13"/>
  <c r="D12" i="13"/>
  <c r="K8" i="13"/>
  <c r="K12" i="13"/>
  <c r="R8" i="13"/>
  <c r="R12" i="13"/>
  <c r="J8" i="13"/>
  <c r="J12" i="13"/>
  <c r="I8" i="13"/>
  <c r="Q8" i="13"/>
  <c r="D9" i="13"/>
  <c r="M9" i="13"/>
  <c r="K9" i="13"/>
  <c r="E9" i="13"/>
  <c r="P8" i="13"/>
  <c r="H8" i="13"/>
  <c r="L9" i="13"/>
  <c r="N8" i="13"/>
  <c r="R9" i="13"/>
  <c r="J9" i="13"/>
  <c r="G8" i="13"/>
  <c r="O8" i="13"/>
  <c r="F8" i="13"/>
  <c r="D51" i="39" l="1"/>
  <c r="C51" i="39"/>
  <c r="B8" i="16" l="1"/>
  <c r="B7" i="16"/>
  <c r="B6" i="16"/>
  <c r="T59" i="39" l="1"/>
  <c r="B28" i="16"/>
  <c r="B39" i="16" l="1"/>
  <c r="B42" i="16" s="1"/>
  <c r="D19" i="16"/>
  <c r="D21" i="16" s="1"/>
  <c r="H4" i="103"/>
  <c r="B40" i="16" l="1"/>
  <c r="B26" i="16"/>
  <c r="B4" i="16"/>
  <c r="C4" i="108" s="1"/>
  <c r="B43" i="16"/>
  <c r="B41" i="16"/>
  <c r="B44" i="16" l="1"/>
  <c r="B27" i="16" s="1"/>
  <c r="D18" i="108" l="1"/>
  <c r="E18" i="108" s="1"/>
  <c r="F18" i="108" s="1"/>
  <c r="O11" i="108"/>
  <c r="L11" i="108"/>
  <c r="I11" i="108"/>
  <c r="P11" i="108"/>
  <c r="M11" i="108"/>
  <c r="J11" i="108"/>
  <c r="F11" i="108"/>
  <c r="Q11" i="108"/>
  <c r="G11" i="108"/>
  <c r="R11" i="108"/>
  <c r="K11" i="108"/>
  <c r="N11" i="108"/>
  <c r="H11" i="108"/>
  <c r="D11" i="108"/>
  <c r="E11" i="108"/>
  <c r="B31" i="16"/>
  <c r="B5" i="16"/>
  <c r="M11" i="103"/>
  <c r="N11" i="103"/>
  <c r="O11" i="103"/>
  <c r="P11" i="103"/>
  <c r="Q11" i="103"/>
  <c r="R11" i="103"/>
  <c r="S11" i="103"/>
  <c r="D15" i="13" l="1"/>
  <c r="E15" i="13" s="1"/>
  <c r="F15" i="13" s="1"/>
  <c r="G15" i="13" s="1"/>
  <c r="H15" i="13" s="1"/>
  <c r="I15" i="13" s="1"/>
  <c r="J15" i="13" s="1"/>
  <c r="K15" i="13" s="1"/>
  <c r="L15" i="13" s="1"/>
  <c r="M15" i="13" s="1"/>
  <c r="N15" i="13" s="1"/>
  <c r="O15" i="13" s="1"/>
  <c r="P15" i="13" s="1"/>
  <c r="Q15" i="13" s="1"/>
  <c r="R15" i="13" s="1"/>
  <c r="C19" i="113"/>
  <c r="C3" i="108"/>
  <c r="B9" i="16"/>
  <c r="G18" i="108"/>
  <c r="H18" i="108" s="1"/>
  <c r="G28" i="99"/>
  <c r="C24" i="13"/>
  <c r="E34" i="98"/>
  <c r="B34" i="98"/>
  <c r="B11" i="58"/>
  <c r="D44" i="99"/>
  <c r="D45" i="99"/>
  <c r="D46" i="99"/>
  <c r="D47" i="99"/>
  <c r="D48" i="99"/>
  <c r="D43" i="99"/>
  <c r="D39" i="99"/>
  <c r="E39" i="99" s="1"/>
  <c r="F6" i="99"/>
  <c r="B24" i="13" s="1"/>
  <c r="F5" i="99"/>
  <c r="F4" i="99"/>
  <c r="F3" i="99"/>
  <c r="B7" i="13" s="1"/>
  <c r="D35" i="99"/>
  <c r="E35" i="99" s="1"/>
  <c r="F23" i="98"/>
  <c r="F27" i="98"/>
  <c r="G11" i="99"/>
  <c r="G21" i="113" l="1"/>
  <c r="F21" i="113"/>
  <c r="D21" i="113"/>
  <c r="E21" i="113"/>
  <c r="H21" i="113"/>
  <c r="I18" i="108"/>
  <c r="G10" i="108"/>
  <c r="D17" i="108"/>
  <c r="H10" i="108"/>
  <c r="I10" i="108"/>
  <c r="E10" i="108"/>
  <c r="K10" i="108"/>
  <c r="F10" i="108"/>
  <c r="M10" i="108"/>
  <c r="N10" i="108"/>
  <c r="J10" i="108"/>
  <c r="O10" i="108"/>
  <c r="Q10" i="108"/>
  <c r="R10" i="108"/>
  <c r="P10" i="108"/>
  <c r="D10" i="108"/>
  <c r="L10" i="108"/>
  <c r="L24" i="13"/>
  <c r="H24" i="13"/>
  <c r="N24" i="13"/>
  <c r="K24" i="13"/>
  <c r="F24" i="13"/>
  <c r="I24" i="13"/>
  <c r="D24" i="13"/>
  <c r="M24" i="13"/>
  <c r="G24" i="13"/>
  <c r="P24" i="13"/>
  <c r="R24" i="13"/>
  <c r="O24" i="13"/>
  <c r="E24" i="13"/>
  <c r="Q24" i="13"/>
  <c r="J24" i="13"/>
  <c r="N7" i="13"/>
  <c r="R7" i="13"/>
  <c r="J7" i="13"/>
  <c r="G7" i="13"/>
  <c r="M7" i="13"/>
  <c r="K7" i="13"/>
  <c r="Q7" i="13"/>
  <c r="Q11" i="113" s="1"/>
  <c r="Q12" i="113" s="1"/>
  <c r="Q22" i="113" s="1"/>
  <c r="D7" i="13"/>
  <c r="D11" i="113" s="1"/>
  <c r="D12" i="113" s="1"/>
  <c r="H7" i="13"/>
  <c r="E7" i="13"/>
  <c r="E11" i="113" s="1"/>
  <c r="E12" i="113" s="1"/>
  <c r="F7" i="13"/>
  <c r="P7" i="13"/>
  <c r="I7" i="13"/>
  <c r="I11" i="113" s="1"/>
  <c r="I12" i="113" s="1"/>
  <c r="I22" i="113" s="1"/>
  <c r="L7" i="13"/>
  <c r="O7" i="13"/>
  <c r="T12" i="39"/>
  <c r="D49" i="99"/>
  <c r="B17" i="56"/>
  <c r="B66" i="101"/>
  <c r="B67" i="101"/>
  <c r="B68" i="101"/>
  <c r="B69" i="101"/>
  <c r="B70" i="101"/>
  <c r="B65" i="101"/>
  <c r="D6" i="101"/>
  <c r="D5" i="101"/>
  <c r="D4" i="101"/>
  <c r="D3" i="101"/>
  <c r="C60" i="101"/>
  <c r="C61" i="101" s="1"/>
  <c r="C56" i="101"/>
  <c r="C57" i="101" s="1"/>
  <c r="B89" i="101"/>
  <c r="R8" i="110" l="1"/>
  <c r="D22" i="113"/>
  <c r="D24" i="113" s="1"/>
  <c r="D25" i="113" s="1"/>
  <c r="F13" i="39" s="1"/>
  <c r="F12" i="39" s="1"/>
  <c r="E22" i="113"/>
  <c r="R10" i="110"/>
  <c r="R12" i="110" s="1"/>
  <c r="R11" i="113"/>
  <c r="R12" i="113" s="1"/>
  <c r="R22" i="113" s="1"/>
  <c r="F10" i="110"/>
  <c r="F12" i="110" s="1"/>
  <c r="F11" i="113"/>
  <c r="F12" i="113" s="1"/>
  <c r="F22" i="113" s="1"/>
  <c r="H10" i="110"/>
  <c r="H12" i="110" s="1"/>
  <c r="H11" i="113"/>
  <c r="H12" i="113" s="1"/>
  <c r="H22" i="113" s="1"/>
  <c r="N10" i="110"/>
  <c r="N12" i="110" s="1"/>
  <c r="N11" i="113"/>
  <c r="N12" i="113" s="1"/>
  <c r="N22" i="113" s="1"/>
  <c r="O10" i="110"/>
  <c r="O12" i="110" s="1"/>
  <c r="O11" i="113"/>
  <c r="O12" i="113" s="1"/>
  <c r="O22" i="113" s="1"/>
  <c r="L10" i="110"/>
  <c r="L12" i="110" s="1"/>
  <c r="L11" i="113"/>
  <c r="L12" i="113" s="1"/>
  <c r="L22" i="113" s="1"/>
  <c r="K10" i="110"/>
  <c r="K12" i="110" s="1"/>
  <c r="K11" i="113"/>
  <c r="K12" i="113" s="1"/>
  <c r="K22" i="113" s="1"/>
  <c r="J10" i="110"/>
  <c r="J12" i="110" s="1"/>
  <c r="J11" i="113"/>
  <c r="J12" i="113" s="1"/>
  <c r="J22" i="113" s="1"/>
  <c r="M10" i="110"/>
  <c r="M12" i="110" s="1"/>
  <c r="M11" i="113"/>
  <c r="M12" i="113" s="1"/>
  <c r="M22" i="113" s="1"/>
  <c r="P10" i="110"/>
  <c r="P12" i="110" s="1"/>
  <c r="P11" i="113"/>
  <c r="P12" i="113" s="1"/>
  <c r="P22" i="113" s="1"/>
  <c r="G10" i="110"/>
  <c r="G12" i="110" s="1"/>
  <c r="G11" i="113"/>
  <c r="G12" i="113" s="1"/>
  <c r="G22" i="113" s="1"/>
  <c r="I10" i="110"/>
  <c r="I12" i="110" s="1"/>
  <c r="E10" i="110"/>
  <c r="E12" i="110" s="1"/>
  <c r="D10" i="110"/>
  <c r="D12" i="110" s="1"/>
  <c r="Q10" i="110"/>
  <c r="Q12" i="110" s="1"/>
  <c r="D14" i="13"/>
  <c r="E14" i="13" s="1"/>
  <c r="D50" i="99"/>
  <c r="J18" i="108"/>
  <c r="E17" i="108"/>
  <c r="O10" i="13"/>
  <c r="O6" i="13"/>
  <c r="L10" i="13"/>
  <c r="L6" i="13"/>
  <c r="K10" i="13"/>
  <c r="K6" i="13"/>
  <c r="M10" i="13"/>
  <c r="M6" i="13"/>
  <c r="D10" i="13"/>
  <c r="D6" i="13"/>
  <c r="I10" i="13"/>
  <c r="I6" i="13"/>
  <c r="P10" i="13"/>
  <c r="P6" i="13"/>
  <c r="G10" i="13"/>
  <c r="G6" i="13"/>
  <c r="F10" i="13"/>
  <c r="F6" i="13"/>
  <c r="J10" i="13"/>
  <c r="J6" i="13"/>
  <c r="Q10" i="13"/>
  <c r="Q6" i="13"/>
  <c r="E10" i="13"/>
  <c r="E6" i="13"/>
  <c r="R10" i="13"/>
  <c r="R6" i="13"/>
  <c r="H10" i="13"/>
  <c r="H6" i="13"/>
  <c r="N10" i="13"/>
  <c r="N6" i="13"/>
  <c r="S12" i="39"/>
  <c r="B71" i="101"/>
  <c r="Q8" i="110" l="1"/>
  <c r="F14" i="13"/>
  <c r="E24" i="113"/>
  <c r="F24" i="113" s="1"/>
  <c r="I17" i="13"/>
  <c r="Q17" i="13"/>
  <c r="J17" i="13"/>
  <c r="R17" i="13"/>
  <c r="K17" i="13"/>
  <c r="L17" i="13"/>
  <c r="M17" i="13"/>
  <c r="N17" i="13"/>
  <c r="O17" i="13"/>
  <c r="D17" i="13"/>
  <c r="E17" i="13"/>
  <c r="F17" i="13"/>
  <c r="G17" i="13"/>
  <c r="H17" i="13"/>
  <c r="P17" i="13"/>
  <c r="F17" i="108"/>
  <c r="K18" i="108"/>
  <c r="L18" i="108" s="1"/>
  <c r="M18" i="108" s="1"/>
  <c r="E25" i="113" l="1"/>
  <c r="G13" i="39" s="1"/>
  <c r="G12" i="39" s="1"/>
  <c r="G14" i="13"/>
  <c r="F25" i="113"/>
  <c r="H13" i="39" s="1"/>
  <c r="H12" i="39" s="1"/>
  <c r="G24" i="113"/>
  <c r="N18" i="108"/>
  <c r="O18" i="108" s="1"/>
  <c r="G17" i="108"/>
  <c r="H17" i="108" s="1"/>
  <c r="I17" i="108" s="1"/>
  <c r="W40" i="101"/>
  <c r="W41" i="101" s="1"/>
  <c r="V40" i="101"/>
  <c r="V41" i="101" s="1"/>
  <c r="U40" i="101"/>
  <c r="U41" i="101" s="1"/>
  <c r="T40" i="101"/>
  <c r="T41" i="101" s="1"/>
  <c r="D8" i="110"/>
  <c r="C2" i="56"/>
  <c r="D2" i="56"/>
  <c r="E2" i="56"/>
  <c r="F2" i="56"/>
  <c r="G2" i="56"/>
  <c r="H2" i="56"/>
  <c r="I2" i="56"/>
  <c r="J2" i="56"/>
  <c r="K2" i="56"/>
  <c r="B2" i="56"/>
  <c r="E8" i="110" l="1"/>
  <c r="F8" i="110"/>
  <c r="H14" i="13"/>
  <c r="G25" i="113"/>
  <c r="I13" i="39" s="1"/>
  <c r="I12" i="39" s="1"/>
  <c r="H24" i="113"/>
  <c r="P18" i="108"/>
  <c r="J17" i="108"/>
  <c r="F40" i="101"/>
  <c r="F41" i="101" s="1"/>
  <c r="G40" i="101"/>
  <c r="G41" i="101" s="1"/>
  <c r="S40" i="101"/>
  <c r="S41" i="101" s="1"/>
  <c r="E40" i="101"/>
  <c r="E41" i="101" s="1"/>
  <c r="B5" i="56"/>
  <c r="C5" i="56"/>
  <c r="D5" i="56"/>
  <c r="G8" i="110" l="1"/>
  <c r="I14" i="13"/>
  <c r="H40" i="101"/>
  <c r="H41" i="101" s="1"/>
  <c r="E5" i="56"/>
  <c r="B20" i="56" s="1"/>
  <c r="C20" i="56" s="1"/>
  <c r="H25" i="113"/>
  <c r="J13" i="39" s="1"/>
  <c r="J12" i="39" s="1"/>
  <c r="I24" i="113"/>
  <c r="Q18" i="108"/>
  <c r="R18" i="108" s="1"/>
  <c r="K17" i="108"/>
  <c r="R40" i="101"/>
  <c r="R41" i="101" s="1"/>
  <c r="G22" i="98"/>
  <c r="D22" i="98"/>
  <c r="G10" i="98"/>
  <c r="K6" i="98"/>
  <c r="L6" i="98" s="1"/>
  <c r="K3" i="98"/>
  <c r="L3" i="98" s="1"/>
  <c r="H1" i="98"/>
  <c r="H6" i="98"/>
  <c r="H7" i="98"/>
  <c r="I7" i="98"/>
  <c r="F14" i="98"/>
  <c r="F15" i="98"/>
  <c r="E16" i="98"/>
  <c r="F16" i="98" s="1"/>
  <c r="E18" i="98"/>
  <c r="F20" i="56" l="1"/>
  <c r="J14" i="13"/>
  <c r="D20" i="56"/>
  <c r="J24" i="113"/>
  <c r="I25" i="113"/>
  <c r="K13" i="39" s="1"/>
  <c r="K12" i="39" s="1"/>
  <c r="H8" i="110"/>
  <c r="I40" i="101"/>
  <c r="I41" i="101" s="1"/>
  <c r="F5" i="56"/>
  <c r="L17" i="108"/>
  <c r="M17" i="108" s="1"/>
  <c r="N17" i="108" s="1"/>
  <c r="O17" i="108" s="1"/>
  <c r="P17" i="108" s="1"/>
  <c r="Q17" i="108" s="1"/>
  <c r="R17" i="108" s="1"/>
  <c r="H22" i="98"/>
  <c r="I22" i="98" s="1"/>
  <c r="E20" i="56"/>
  <c r="K14" i="13" l="1"/>
  <c r="I8" i="110"/>
  <c r="J40" i="101"/>
  <c r="J41" i="101" s="1"/>
  <c r="G5" i="56"/>
  <c r="K24" i="113"/>
  <c r="J25" i="113"/>
  <c r="L13" i="39" s="1"/>
  <c r="L12" i="39" s="1"/>
  <c r="I23" i="98"/>
  <c r="J22" i="98"/>
  <c r="L14" i="13" l="1"/>
  <c r="J8" i="110"/>
  <c r="H5" i="56"/>
  <c r="K40" i="101"/>
  <c r="K41" i="101" s="1"/>
  <c r="L24" i="113"/>
  <c r="K25" i="113"/>
  <c r="M13" i="39" s="1"/>
  <c r="M12" i="39" s="1"/>
  <c r="M14" i="13" l="1"/>
  <c r="K8" i="110"/>
  <c r="L40" i="101"/>
  <c r="L41" i="101" s="1"/>
  <c r="I5" i="56"/>
  <c r="L25" i="113"/>
  <c r="N13" i="39" s="1"/>
  <c r="N12" i="39" s="1"/>
  <c r="M24" i="113"/>
  <c r="N14" i="13" l="1"/>
  <c r="L8" i="110"/>
  <c r="M40" i="101"/>
  <c r="M41" i="101" s="1"/>
  <c r="J5" i="56"/>
  <c r="N24" i="113"/>
  <c r="M25" i="113"/>
  <c r="O13" i="39" s="1"/>
  <c r="O12" i="39" s="1"/>
  <c r="O14" i="13" l="1"/>
  <c r="M8" i="110"/>
  <c r="N40" i="101"/>
  <c r="N41" i="101" s="1"/>
  <c r="K5" i="56"/>
  <c r="O24" i="113"/>
  <c r="N25" i="113"/>
  <c r="P13" i="39" s="1"/>
  <c r="P12" i="39" s="1"/>
  <c r="B3" i="57"/>
  <c r="P14" i="13" l="1"/>
  <c r="N8" i="110"/>
  <c r="O40" i="101"/>
  <c r="O41" i="101" s="1"/>
  <c r="P24" i="113"/>
  <c r="O25" i="113"/>
  <c r="Q13" i="39" s="1"/>
  <c r="Q12" i="39" s="1"/>
  <c r="B15" i="57"/>
  <c r="Q14" i="13" l="1"/>
  <c r="O8" i="110"/>
  <c r="P40" i="101"/>
  <c r="P41" i="101" s="1"/>
  <c r="P25" i="113"/>
  <c r="R13" i="39" s="1"/>
  <c r="R12" i="39" s="1"/>
  <c r="Q24" i="113"/>
  <c r="D15" i="57"/>
  <c r="E15" i="57"/>
  <c r="F15" i="57"/>
  <c r="C15" i="57"/>
  <c r="R14" i="13" l="1"/>
  <c r="P8" i="110"/>
  <c r="Q40" i="101"/>
  <c r="Q41" i="101" s="1"/>
  <c r="Q25" i="113"/>
  <c r="R24" i="113"/>
  <c r="R25" i="113" s="1"/>
  <c r="B19" i="57" l="1"/>
  <c r="C19" i="57" s="1"/>
  <c r="D19" i="57" s="1"/>
  <c r="E19" i="57" s="1"/>
  <c r="F19" i="57" s="1"/>
  <c r="B78" i="101" l="1"/>
  <c r="B76" i="101" s="1"/>
  <c r="B77" i="101" l="1"/>
  <c r="B85" i="101" s="1"/>
  <c r="D88" i="101" s="1"/>
  <c r="B20" i="57"/>
  <c r="C20" i="57" s="1"/>
  <c r="D20" i="57" s="1"/>
  <c r="E20" i="57" s="1"/>
  <c r="F20" i="57" s="1"/>
  <c r="C88" i="101" l="1"/>
  <c r="J88" i="101"/>
  <c r="C87" i="101"/>
  <c r="F87" i="101"/>
  <c r="E87" i="101"/>
  <c r="C85" i="101"/>
  <c r="G88" i="101"/>
  <c r="H87" i="101"/>
  <c r="B90" i="101"/>
  <c r="B91" i="101" s="1"/>
  <c r="B92" i="101" s="1"/>
  <c r="H88" i="101"/>
  <c r="D87" i="101"/>
  <c r="D89" i="101" s="1"/>
  <c r="I88" i="101"/>
  <c r="J87" i="101"/>
  <c r="G87" i="101"/>
  <c r="E88" i="101"/>
  <c r="I87" i="101"/>
  <c r="F88" i="101"/>
  <c r="C86" i="101" l="1"/>
  <c r="D85" i="101" s="1"/>
  <c r="F89" i="101"/>
  <c r="C89" i="101"/>
  <c r="I89" i="101"/>
  <c r="E89" i="101"/>
  <c r="J89" i="101"/>
  <c r="H89" i="101"/>
  <c r="C90" i="101"/>
  <c r="G89" i="101"/>
  <c r="C91" i="101" l="1"/>
  <c r="C92" i="101" s="1"/>
  <c r="D90" i="101"/>
  <c r="D86" i="101"/>
  <c r="E85" i="101" l="1"/>
  <c r="D91" i="101"/>
  <c r="D92" i="101" s="1"/>
  <c r="E86" i="101" l="1"/>
  <c r="E90" i="101"/>
  <c r="F85" i="101" l="1"/>
  <c r="E91" i="101"/>
  <c r="E92" i="101" s="1"/>
  <c r="B17" i="57"/>
  <c r="C17" i="57" l="1"/>
  <c r="F17" i="57"/>
  <c r="E17" i="57"/>
  <c r="F86" i="101"/>
  <c r="F90" i="101"/>
  <c r="D17" i="57" l="1"/>
  <c r="F91" i="101"/>
  <c r="F92" i="101" s="1"/>
  <c r="G85" i="101"/>
  <c r="G86" i="101" l="1"/>
  <c r="G90" i="101"/>
  <c r="G92" i="101" s="1"/>
  <c r="G91" i="101" l="1"/>
  <c r="H85" i="101"/>
  <c r="H90" i="101" l="1"/>
  <c r="H92" i="101" s="1"/>
  <c r="H86" i="101"/>
  <c r="H91" i="101" l="1"/>
  <c r="I85" i="101"/>
  <c r="I90" i="101" l="1"/>
  <c r="I92" i="101" s="1"/>
  <c r="I86" i="101"/>
  <c r="I91" i="101" l="1"/>
  <c r="J85" i="101"/>
  <c r="J90" i="101" l="1"/>
  <c r="J92" i="101" s="1"/>
  <c r="J86" i="101"/>
  <c r="J91" i="101" s="1"/>
  <c r="W45" i="101" l="1"/>
  <c r="V45" i="101"/>
  <c r="T45" i="101"/>
  <c r="U45" i="101"/>
  <c r="R45" i="101" l="1"/>
  <c r="R46" i="101" s="1"/>
  <c r="S45" i="101"/>
  <c r="S46" i="101" s="1"/>
  <c r="T46" i="101"/>
  <c r="T50" i="101"/>
  <c r="T51" i="101" s="1"/>
  <c r="U46" i="101"/>
  <c r="U50" i="101"/>
  <c r="U51" i="101" s="1"/>
  <c r="V50" i="101"/>
  <c r="V51" i="101" s="1"/>
  <c r="V46" i="101"/>
  <c r="W50" i="101"/>
  <c r="W51" i="101" s="1"/>
  <c r="W46" i="101"/>
  <c r="R50" i="101" l="1"/>
  <c r="R51" i="101" s="1"/>
  <c r="S50" i="101"/>
  <c r="S51" i="101" s="1"/>
  <c r="B18" i="57"/>
  <c r="C18" i="57" l="1"/>
  <c r="B21" i="57"/>
  <c r="B22" i="57" s="1"/>
  <c r="D18" i="57" l="1"/>
  <c r="C21" i="57"/>
  <c r="C22" i="57" s="1"/>
  <c r="E18" i="57" l="1"/>
  <c r="D21" i="57"/>
  <c r="D22" i="57" s="1"/>
  <c r="F18" i="57" l="1"/>
  <c r="F21" i="57" s="1"/>
  <c r="F22" i="57" s="1"/>
  <c r="E21" i="57"/>
  <c r="E22" i="57" s="1"/>
  <c r="D12" i="103" l="1"/>
  <c r="D13" i="103" s="1"/>
  <c r="C7" i="103"/>
  <c r="D11" i="58"/>
  <c r="E11" i="58" l="1"/>
  <c r="I11" i="58"/>
  <c r="J11" i="58"/>
  <c r="H11" i="58"/>
  <c r="E12" i="103"/>
  <c r="C8" i="103"/>
  <c r="F11" i="58"/>
  <c r="C11" i="58"/>
  <c r="G11" i="58"/>
  <c r="B6" i="58" l="1"/>
  <c r="E13" i="103"/>
  <c r="F11" i="103"/>
  <c r="H11" i="103"/>
  <c r="G11" i="103"/>
  <c r="I11" i="103"/>
  <c r="E11" i="103"/>
  <c r="F12" i="103" s="1"/>
  <c r="J11" i="103"/>
  <c r="L11" i="103"/>
  <c r="K11" i="103"/>
  <c r="F13" i="103" l="1"/>
  <c r="G12" i="103"/>
  <c r="C6" i="58"/>
  <c r="B10" i="58"/>
  <c r="B13" i="58" s="1"/>
  <c r="C10" i="58" l="1"/>
  <c r="C13" i="58" s="1"/>
  <c r="G13" i="103"/>
  <c r="H12" i="103"/>
  <c r="H13" i="103" l="1"/>
  <c r="I12" i="103"/>
  <c r="D6" i="58"/>
  <c r="J12" i="103" l="1"/>
  <c r="I13" i="103"/>
  <c r="D10" i="58"/>
  <c r="D13" i="58" s="1"/>
  <c r="E6" i="58" l="1"/>
  <c r="B8" i="57"/>
  <c r="K12" i="103"/>
  <c r="J13" i="103"/>
  <c r="B25" i="57" l="1"/>
  <c r="K13" i="103"/>
  <c r="L12" i="103"/>
  <c r="E10" i="58"/>
  <c r="E13" i="58" s="1"/>
  <c r="F6" i="58" l="1"/>
  <c r="C25" i="57"/>
  <c r="M12" i="103"/>
  <c r="L13" i="103"/>
  <c r="G6" i="58" l="1"/>
  <c r="M13" i="103"/>
  <c r="N12" i="103"/>
  <c r="D25" i="57"/>
  <c r="F10" i="58"/>
  <c r="F13" i="58" s="1"/>
  <c r="E25" i="57" l="1"/>
  <c r="G10" i="58"/>
  <c r="G13" i="58" s="1"/>
  <c r="O12" i="103"/>
  <c r="N13" i="103"/>
  <c r="H6" i="58" l="1"/>
  <c r="O13" i="103"/>
  <c r="P12" i="103"/>
  <c r="F25" i="57"/>
  <c r="H10" i="58" l="1"/>
  <c r="H13" i="58" s="1"/>
  <c r="Q12" i="103"/>
  <c r="P13" i="103"/>
  <c r="Q13" i="103" l="1"/>
  <c r="R12" i="103"/>
  <c r="I6" i="58"/>
  <c r="R13" i="103" l="1"/>
  <c r="S12" i="103"/>
  <c r="S13" i="103" s="1"/>
  <c r="I10" i="58"/>
  <c r="I13" i="58" s="1"/>
  <c r="J6" i="58" l="1"/>
  <c r="J10" i="58" l="1"/>
  <c r="J13" i="58" s="1"/>
  <c r="T10" i="111" l="1"/>
  <c r="T34" i="111" s="1"/>
  <c r="C5" i="108"/>
  <c r="B14" i="56"/>
  <c r="B70" i="16"/>
  <c r="C36" i="39"/>
  <c r="C11" i="16"/>
  <c r="B76" i="16" l="1"/>
  <c r="D5" i="112"/>
  <c r="C5" i="112"/>
  <c r="C7" i="112" s="1"/>
  <c r="C10" i="112" s="1"/>
  <c r="C69" i="39"/>
  <c r="D69" i="39" s="1"/>
  <c r="E12" i="108"/>
  <c r="E13" i="108" s="1"/>
  <c r="J12" i="108"/>
  <c r="J13" i="108" s="1"/>
  <c r="H12" i="108"/>
  <c r="H13" i="108" s="1"/>
  <c r="Q12" i="108"/>
  <c r="Q13" i="108" s="1"/>
  <c r="O12" i="108"/>
  <c r="O13" i="108" s="1"/>
  <c r="N12" i="108"/>
  <c r="N13" i="108" s="1"/>
  <c r="F12" i="108"/>
  <c r="F13" i="108" s="1"/>
  <c r="G12" i="108"/>
  <c r="G13" i="108" s="1"/>
  <c r="D19" i="108"/>
  <c r="D20" i="108" s="1"/>
  <c r="C99" i="39" s="1"/>
  <c r="C6" i="108"/>
  <c r="D12" i="108"/>
  <c r="D13" i="108" s="1"/>
  <c r="F27" i="39" s="1"/>
  <c r="E6" i="112" s="1"/>
  <c r="K12" i="108"/>
  <c r="K13" i="108" s="1"/>
  <c r="I12" i="108"/>
  <c r="I13" i="108" s="1"/>
  <c r="P12" i="108"/>
  <c r="P13" i="108" s="1"/>
  <c r="L12" i="108"/>
  <c r="L13" i="108" s="1"/>
  <c r="M12" i="108"/>
  <c r="M13" i="108" s="1"/>
  <c r="R12" i="108"/>
  <c r="R13" i="108" s="1"/>
  <c r="D84" i="16"/>
  <c r="D85" i="16"/>
  <c r="D83" i="16"/>
  <c r="D82" i="16"/>
  <c r="C38" i="39"/>
  <c r="E19" i="108" l="1"/>
  <c r="E20" i="108" s="1"/>
  <c r="D99" i="39" s="1"/>
  <c r="E5" i="112"/>
  <c r="F5" i="112" s="1"/>
  <c r="G5" i="112" s="1"/>
  <c r="H5" i="112" s="1"/>
  <c r="I5" i="112" s="1"/>
  <c r="J5" i="112" s="1"/>
  <c r="K5" i="112" s="1"/>
  <c r="L5" i="112" s="1"/>
  <c r="M5" i="112" s="1"/>
  <c r="N5" i="112" s="1"/>
  <c r="O5" i="112" s="1"/>
  <c r="P5" i="112" s="1"/>
  <c r="Q5" i="112" s="1"/>
  <c r="R5" i="112" s="1"/>
  <c r="S5" i="112" s="1"/>
  <c r="D7" i="112"/>
  <c r="D10" i="112" s="1"/>
  <c r="G27" i="39"/>
  <c r="F6" i="112" s="1"/>
  <c r="E65" i="39"/>
  <c r="F5" i="111"/>
  <c r="F30" i="111" s="1"/>
  <c r="C98" i="39"/>
  <c r="E82" i="16"/>
  <c r="D86" i="16"/>
  <c r="F19" i="108" l="1"/>
  <c r="F20" i="108" s="1"/>
  <c r="E99" i="39" s="1"/>
  <c r="F7" i="112"/>
  <c r="E7" i="112"/>
  <c r="H27" i="39"/>
  <c r="G6" i="112" s="1"/>
  <c r="G7" i="112" s="1"/>
  <c r="F65" i="39"/>
  <c r="G5" i="111"/>
  <c r="G30" i="111" s="1"/>
  <c r="D98" i="39"/>
  <c r="F82" i="16"/>
  <c r="H82" i="16"/>
  <c r="G19" i="108" l="1"/>
  <c r="G20" i="108" s="1"/>
  <c r="F99" i="39" s="1"/>
  <c r="I27" i="39"/>
  <c r="H6" i="112" s="1"/>
  <c r="H7" i="112" s="1"/>
  <c r="G65" i="39"/>
  <c r="H5" i="111"/>
  <c r="H30" i="111" s="1"/>
  <c r="E98" i="39"/>
  <c r="I82" i="16"/>
  <c r="H19" i="108" l="1"/>
  <c r="H20" i="108" s="1"/>
  <c r="G99" i="39" s="1"/>
  <c r="J27" i="39"/>
  <c r="I6" i="112" s="1"/>
  <c r="I7" i="112" s="1"/>
  <c r="H65" i="39"/>
  <c r="F98" i="39"/>
  <c r="I5" i="111"/>
  <c r="I30" i="111" s="1"/>
  <c r="I19" i="108"/>
  <c r="I20" i="108" s="1"/>
  <c r="H99" i="39" s="1"/>
  <c r="K82" i="16"/>
  <c r="J19" i="108" l="1"/>
  <c r="K19" i="108" s="1"/>
  <c r="K20" i="108" s="1"/>
  <c r="J99" i="39" s="1"/>
  <c r="K27" i="39"/>
  <c r="J6" i="112" s="1"/>
  <c r="J7" i="112" s="1"/>
  <c r="I65" i="39"/>
  <c r="G98" i="39"/>
  <c r="J5" i="111"/>
  <c r="J30" i="111" s="1"/>
  <c r="L19" i="108" l="1"/>
  <c r="L20" i="108" s="1"/>
  <c r="K99" i="39" s="1"/>
  <c r="J20" i="108"/>
  <c r="I99" i="39" s="1"/>
  <c r="L27" i="39"/>
  <c r="K6" i="112" s="1"/>
  <c r="K7" i="112" s="1"/>
  <c r="J65" i="39"/>
  <c r="H98" i="39"/>
  <c r="K5" i="111"/>
  <c r="K30" i="111" s="1"/>
  <c r="M19" i="108" l="1"/>
  <c r="M20" i="108" s="1"/>
  <c r="L99" i="39" s="1"/>
  <c r="M27" i="39"/>
  <c r="L6" i="112" s="1"/>
  <c r="L7" i="112" s="1"/>
  <c r="K65" i="39"/>
  <c r="L5" i="111"/>
  <c r="L30" i="111" s="1"/>
  <c r="I98" i="39"/>
  <c r="N19" i="108" l="1"/>
  <c r="N20" i="108" s="1"/>
  <c r="M99" i="39" s="1"/>
  <c r="N27" i="39"/>
  <c r="M6" i="112" s="1"/>
  <c r="M7" i="112" s="1"/>
  <c r="L65" i="39"/>
  <c r="M5" i="111"/>
  <c r="M30" i="111" s="1"/>
  <c r="J98" i="39"/>
  <c r="O19" i="108" l="1"/>
  <c r="O20" i="108" s="1"/>
  <c r="N99" i="39" s="1"/>
  <c r="O27" i="39"/>
  <c r="N6" i="112" s="1"/>
  <c r="N7" i="112" s="1"/>
  <c r="M65" i="39"/>
  <c r="N5" i="111"/>
  <c r="N30" i="111" s="1"/>
  <c r="K98" i="39"/>
  <c r="P19" i="108" l="1"/>
  <c r="P20" i="108" s="1"/>
  <c r="O99" i="39" s="1"/>
  <c r="P27" i="39"/>
  <c r="O6" i="112" s="1"/>
  <c r="O7" i="112" s="1"/>
  <c r="N65" i="39"/>
  <c r="L98" i="39"/>
  <c r="O5" i="111"/>
  <c r="O30" i="111" s="1"/>
  <c r="Q19" i="108" l="1"/>
  <c r="R19" i="108" s="1"/>
  <c r="R20" i="108" s="1"/>
  <c r="Q99" i="39" s="1"/>
  <c r="Q27" i="39"/>
  <c r="P6" i="112" s="1"/>
  <c r="P7" i="112" s="1"/>
  <c r="O65" i="39"/>
  <c r="P5" i="111"/>
  <c r="P30" i="111" s="1"/>
  <c r="M98" i="39"/>
  <c r="J23" i="13"/>
  <c r="I23" i="13"/>
  <c r="R23" i="13"/>
  <c r="N23" i="13"/>
  <c r="K23" i="13"/>
  <c r="Q23" i="13"/>
  <c r="F23" i="13"/>
  <c r="E23" i="13"/>
  <c r="H23" i="13"/>
  <c r="G23" i="13"/>
  <c r="L23" i="13"/>
  <c r="M23" i="13"/>
  <c r="P23" i="13"/>
  <c r="O23" i="13"/>
  <c r="D23" i="13"/>
  <c r="D25" i="13" s="1"/>
  <c r="D75" i="39"/>
  <c r="C75" i="39"/>
  <c r="Q20" i="108" l="1"/>
  <c r="P99" i="39" s="1"/>
  <c r="L18" i="39"/>
  <c r="H7" i="56" s="1"/>
  <c r="J25" i="13"/>
  <c r="H18" i="39"/>
  <c r="F25" i="13"/>
  <c r="J18" i="39"/>
  <c r="F7" i="56" s="1"/>
  <c r="H25" i="13"/>
  <c r="S18" i="39"/>
  <c r="Q25" i="13"/>
  <c r="M18" i="39"/>
  <c r="K25" i="13"/>
  <c r="G18" i="39"/>
  <c r="E25" i="13"/>
  <c r="R18" i="39"/>
  <c r="P25" i="13"/>
  <c r="P18" i="39"/>
  <c r="N25" i="13"/>
  <c r="O18" i="39"/>
  <c r="M25" i="13"/>
  <c r="T18" i="39"/>
  <c r="R25" i="13"/>
  <c r="Q18" i="39"/>
  <c r="O25" i="13"/>
  <c r="N18" i="39"/>
  <c r="L25" i="13"/>
  <c r="I18" i="39"/>
  <c r="E7" i="56" s="1"/>
  <c r="G25" i="13"/>
  <c r="K18" i="39"/>
  <c r="I25" i="13"/>
  <c r="R27" i="39"/>
  <c r="Q6" i="112" s="1"/>
  <c r="Q7" i="112" s="1"/>
  <c r="P65" i="39"/>
  <c r="N98" i="39"/>
  <c r="Q5" i="111"/>
  <c r="Q30" i="111" s="1"/>
  <c r="F18" i="39"/>
  <c r="I7" i="56" l="1"/>
  <c r="K7" i="56"/>
  <c r="G7" i="56"/>
  <c r="B4" i="57"/>
  <c r="B5" i="57" s="1"/>
  <c r="D7" i="56"/>
  <c r="C7" i="56"/>
  <c r="J7" i="56"/>
  <c r="S27" i="39"/>
  <c r="R6" i="112" s="1"/>
  <c r="R7" i="112" s="1"/>
  <c r="Q65" i="39"/>
  <c r="O98" i="39"/>
  <c r="R5" i="111"/>
  <c r="R30" i="111" s="1"/>
  <c r="F22" i="56"/>
  <c r="C22" i="56"/>
  <c r="B22" i="56"/>
  <c r="B7" i="56"/>
  <c r="T27" i="39" l="1"/>
  <c r="S6" i="112" s="1"/>
  <c r="S7" i="112" s="1"/>
  <c r="R65" i="39"/>
  <c r="P98" i="39"/>
  <c r="S5" i="111"/>
  <c r="S30" i="111" s="1"/>
  <c r="E22" i="56"/>
  <c r="D22" i="56"/>
  <c r="S65" i="39" l="1"/>
  <c r="Q98" i="39"/>
  <c r="T5" i="111"/>
  <c r="T30" i="111" s="1"/>
  <c r="T100" i="39" l="1"/>
  <c r="V21" i="111" l="1"/>
  <c r="C14" i="112" l="1"/>
  <c r="E14" i="112" s="1"/>
  <c r="G82" i="16"/>
  <c r="E83" i="16" s="1"/>
  <c r="H83" i="16" s="1"/>
  <c r="C63" i="39" s="1"/>
  <c r="C64" i="39"/>
  <c r="C22" i="111"/>
  <c r="D36" i="111" s="1"/>
  <c r="D14" i="112" l="1"/>
  <c r="E40" i="111"/>
  <c r="C16" i="112"/>
  <c r="C18" i="112" s="1"/>
  <c r="C20" i="112" s="1"/>
  <c r="C66" i="39"/>
  <c r="F14" i="112"/>
  <c r="I83" i="16"/>
  <c r="F83" i="16"/>
  <c r="G83" i="16" s="1"/>
  <c r="E84" i="16" s="1"/>
  <c r="C76" i="39" l="1"/>
  <c r="K83" i="16"/>
  <c r="H84" i="16"/>
  <c r="F84" i="16"/>
  <c r="G84" i="16" s="1"/>
  <c r="E85" i="16" s="1"/>
  <c r="E86" i="16" s="1"/>
  <c r="G14" i="112"/>
  <c r="H14" i="112" l="1"/>
  <c r="H85" i="16"/>
  <c r="D63" i="39" s="1"/>
  <c r="F85" i="16"/>
  <c r="I84" i="16"/>
  <c r="D16" i="112" l="1"/>
  <c r="D18" i="112" s="1"/>
  <c r="D20" i="112" s="1"/>
  <c r="D66" i="39"/>
  <c r="D76" i="39" s="1"/>
  <c r="H86" i="16"/>
  <c r="G85" i="16"/>
  <c r="F86" i="16"/>
  <c r="G86" i="16" s="1"/>
  <c r="I85" i="16"/>
  <c r="I14" i="112"/>
  <c r="K84" i="16"/>
  <c r="J14" i="112" l="1"/>
  <c r="I86" i="16"/>
  <c r="K85" i="16"/>
  <c r="K86" i="16" s="1"/>
  <c r="B71" i="16" l="1"/>
  <c r="B12" i="16"/>
  <c r="K14" i="112"/>
  <c r="B72" i="16" l="1"/>
  <c r="D11" i="111" s="1"/>
  <c r="D12" i="111" s="1"/>
  <c r="B75" i="16"/>
  <c r="L14" i="112"/>
  <c r="C37" i="39"/>
  <c r="C39" i="39" s="1"/>
  <c r="B13" i="16"/>
  <c r="E11" i="111" l="1"/>
  <c r="E12" i="111" s="1"/>
  <c r="E13" i="111" s="1"/>
  <c r="E16" i="111" s="1"/>
  <c r="B77" i="16"/>
  <c r="J82" i="16"/>
  <c r="C23" i="111"/>
  <c r="C85" i="39"/>
  <c r="J83" i="16"/>
  <c r="J84" i="16"/>
  <c r="J85" i="16"/>
  <c r="J86" i="16" s="1"/>
  <c r="E8" i="39"/>
  <c r="I16" i="13"/>
  <c r="I11" i="13" s="1"/>
  <c r="Q16" i="13"/>
  <c r="Q11" i="13" s="1"/>
  <c r="J16" i="13"/>
  <c r="J11" i="13" s="1"/>
  <c r="R16" i="13"/>
  <c r="R11" i="13" s="1"/>
  <c r="K16" i="13"/>
  <c r="K11" i="13" s="1"/>
  <c r="D16" i="13"/>
  <c r="D11" i="13" s="1"/>
  <c r="L16" i="13"/>
  <c r="L11" i="13" s="1"/>
  <c r="E16" i="13"/>
  <c r="E11" i="13" s="1"/>
  <c r="M16" i="13"/>
  <c r="M11" i="13" s="1"/>
  <c r="F16" i="13"/>
  <c r="F11" i="13" s="1"/>
  <c r="N16" i="13"/>
  <c r="N11" i="13" s="1"/>
  <c r="G16" i="13"/>
  <c r="G11" i="13" s="1"/>
  <c r="O16" i="13"/>
  <c r="O11" i="13" s="1"/>
  <c r="H16" i="13"/>
  <c r="H11" i="13" s="1"/>
  <c r="P16" i="13"/>
  <c r="P11" i="13" s="1"/>
  <c r="D42" i="39"/>
  <c r="D43" i="39"/>
  <c r="M14" i="112"/>
  <c r="C86" i="39" l="1"/>
  <c r="E90" i="39"/>
  <c r="D24" i="111"/>
  <c r="C24" i="111"/>
  <c r="T19" i="39"/>
  <c r="R11" i="110"/>
  <c r="R13" i="110" s="1"/>
  <c r="R18" i="13"/>
  <c r="L19" i="39"/>
  <c r="J11" i="110"/>
  <c r="J13" i="110" s="1"/>
  <c r="J18" i="13"/>
  <c r="M19" i="39"/>
  <c r="K18" i="13"/>
  <c r="K11" i="110"/>
  <c r="K13" i="110" s="1"/>
  <c r="S19" i="39"/>
  <c r="Q18" i="13"/>
  <c r="Q11" i="110"/>
  <c r="Q13" i="110" s="1"/>
  <c r="K19" i="39"/>
  <c r="K20" i="39" s="1"/>
  <c r="I18" i="13"/>
  <c r="I11" i="110"/>
  <c r="I13" i="110" s="1"/>
  <c r="I19" i="39"/>
  <c r="G18" i="13"/>
  <c r="G11" i="110"/>
  <c r="G13" i="110" s="1"/>
  <c r="P19" i="39"/>
  <c r="N18" i="13"/>
  <c r="N11" i="110"/>
  <c r="N13" i="110" s="1"/>
  <c r="G19" i="39"/>
  <c r="E18" i="13"/>
  <c r="E11" i="110"/>
  <c r="E13" i="110" s="1"/>
  <c r="C8" i="39"/>
  <c r="D8" i="39"/>
  <c r="E9" i="39"/>
  <c r="E25" i="56"/>
  <c r="F25" i="56"/>
  <c r="D25" i="56"/>
  <c r="D44" i="39"/>
  <c r="O19" i="39"/>
  <c r="M18" i="13"/>
  <c r="M11" i="110"/>
  <c r="M13" i="110" s="1"/>
  <c r="N19" i="39"/>
  <c r="L18" i="13"/>
  <c r="L11" i="110"/>
  <c r="L13" i="110" s="1"/>
  <c r="Q19" i="39"/>
  <c r="O18" i="13"/>
  <c r="O11" i="110"/>
  <c r="O13" i="110" s="1"/>
  <c r="N14" i="112"/>
  <c r="H19" i="39"/>
  <c r="F18" i="13"/>
  <c r="F11" i="110"/>
  <c r="F13" i="110" s="1"/>
  <c r="R19" i="39"/>
  <c r="P18" i="13"/>
  <c r="P11" i="110"/>
  <c r="P13" i="110" s="1"/>
  <c r="J19" i="39"/>
  <c r="H18" i="13"/>
  <c r="H11" i="110"/>
  <c r="H13" i="110" s="1"/>
  <c r="F19" i="39"/>
  <c r="D18" i="13"/>
  <c r="D11" i="110"/>
  <c r="D13" i="110" s="1"/>
  <c r="D26" i="13" l="1"/>
  <c r="D27" i="13" s="1"/>
  <c r="E27" i="13" s="1"/>
  <c r="G27" i="13" s="1"/>
  <c r="D28" i="13"/>
  <c r="E16" i="112"/>
  <c r="E91" i="39"/>
  <c r="I89" i="39"/>
  <c r="L89" i="39"/>
  <c r="G89" i="39"/>
  <c r="K89" i="39"/>
  <c r="E89" i="39"/>
  <c r="H89" i="39"/>
  <c r="J89" i="39"/>
  <c r="F89" i="39"/>
  <c r="R20" i="39"/>
  <c r="O14" i="112"/>
  <c r="G20" i="39"/>
  <c r="C8" i="56"/>
  <c r="C6" i="56" s="1"/>
  <c r="C9" i="56" s="1"/>
  <c r="I20" i="39"/>
  <c r="B7" i="57"/>
  <c r="E8" i="56"/>
  <c r="M20" i="39"/>
  <c r="I8" i="56"/>
  <c r="I6" i="56" s="1"/>
  <c r="I9" i="56" s="1"/>
  <c r="N8" i="112"/>
  <c r="N70" i="39"/>
  <c r="M18" i="110"/>
  <c r="M16" i="110"/>
  <c r="K8" i="112"/>
  <c r="K70" i="39"/>
  <c r="J18" i="110"/>
  <c r="J16" i="110"/>
  <c r="E8" i="112"/>
  <c r="E70" i="39"/>
  <c r="D16" i="110"/>
  <c r="D17" i="110" s="1"/>
  <c r="F7" i="111" s="1"/>
  <c r="D18" i="110"/>
  <c r="O8" i="112"/>
  <c r="O70" i="39"/>
  <c r="N18" i="110"/>
  <c r="N16" i="110"/>
  <c r="G8" i="56"/>
  <c r="G6" i="56" s="1"/>
  <c r="G9" i="56" s="1"/>
  <c r="L20" i="39"/>
  <c r="H8" i="56"/>
  <c r="H6" i="56" s="1"/>
  <c r="H9" i="56" s="1"/>
  <c r="J8" i="112"/>
  <c r="J70" i="39"/>
  <c r="I18" i="110"/>
  <c r="I16" i="110"/>
  <c r="F20" i="39"/>
  <c r="B8" i="56"/>
  <c r="B6" i="56" s="1"/>
  <c r="B9" i="56" s="1"/>
  <c r="G8" i="112"/>
  <c r="G70" i="39"/>
  <c r="F18" i="110"/>
  <c r="F16" i="110"/>
  <c r="O20" i="39"/>
  <c r="K8" i="56"/>
  <c r="K6" i="56" s="1"/>
  <c r="K9" i="56" s="1"/>
  <c r="D9" i="39"/>
  <c r="R8" i="112"/>
  <c r="R70" i="39"/>
  <c r="Q16" i="110"/>
  <c r="Q18" i="110"/>
  <c r="C9" i="39"/>
  <c r="P20" i="39"/>
  <c r="S8" i="112"/>
  <c r="S70" i="39"/>
  <c r="T70" i="39"/>
  <c r="T75" i="39" s="1"/>
  <c r="T76" i="39" s="1"/>
  <c r="R18" i="110"/>
  <c r="R16" i="110"/>
  <c r="P8" i="112"/>
  <c r="P70" i="39"/>
  <c r="O16" i="110"/>
  <c r="O18" i="110"/>
  <c r="Q20" i="39"/>
  <c r="J20" i="39"/>
  <c r="F8" i="56"/>
  <c r="F6" i="56" s="1"/>
  <c r="F9" i="56" s="1"/>
  <c r="H20" i="39"/>
  <c r="D8" i="56"/>
  <c r="D6" i="56" s="1"/>
  <c r="D9" i="56" s="1"/>
  <c r="F8" i="112"/>
  <c r="F70" i="39"/>
  <c r="E18" i="110"/>
  <c r="E16" i="110"/>
  <c r="H8" i="112"/>
  <c r="H70" i="39"/>
  <c r="G18" i="110"/>
  <c r="G16" i="110"/>
  <c r="S20" i="39"/>
  <c r="L8" i="112"/>
  <c r="L70" i="39"/>
  <c r="K16" i="110"/>
  <c r="K18" i="110"/>
  <c r="T20" i="39"/>
  <c r="N20" i="39"/>
  <c r="J8" i="56"/>
  <c r="J6" i="56" s="1"/>
  <c r="J9" i="56" s="1"/>
  <c r="I8" i="112"/>
  <c r="I70" i="39"/>
  <c r="H18" i="110"/>
  <c r="H16" i="110"/>
  <c r="Q8" i="112"/>
  <c r="Q70" i="39"/>
  <c r="P18" i="110"/>
  <c r="P16" i="110"/>
  <c r="M8" i="112"/>
  <c r="M70" i="39"/>
  <c r="L16" i="110"/>
  <c r="L18" i="110"/>
  <c r="E26" i="13" l="1"/>
  <c r="E17" i="110"/>
  <c r="G7" i="111" s="1"/>
  <c r="H31" i="111"/>
  <c r="H49" i="111" s="1"/>
  <c r="G71" i="39"/>
  <c r="F31" i="111"/>
  <c r="F49" i="111" s="1"/>
  <c r="E71" i="39"/>
  <c r="L71" i="39"/>
  <c r="M31" i="111"/>
  <c r="M49" i="111" s="1"/>
  <c r="K71" i="39"/>
  <c r="L31" i="111"/>
  <c r="L49" i="111" s="1"/>
  <c r="I71" i="39"/>
  <c r="J31" i="111"/>
  <c r="J49" i="111" s="1"/>
  <c r="G31" i="111"/>
  <c r="G49" i="111" s="1"/>
  <c r="F71" i="39"/>
  <c r="F90" i="39"/>
  <c r="J71" i="39"/>
  <c r="K31" i="111"/>
  <c r="K49" i="111" s="1"/>
  <c r="F26" i="39"/>
  <c r="C14" i="56"/>
  <c r="H71" i="39"/>
  <c r="I31" i="111"/>
  <c r="I49" i="111" s="1"/>
  <c r="O17" i="110"/>
  <c r="Q7" i="111" s="1"/>
  <c r="L17" i="110"/>
  <c r="N7" i="111" s="1"/>
  <c r="K17" i="110"/>
  <c r="M7" i="111" s="1"/>
  <c r="G17" i="110"/>
  <c r="I7" i="111" s="1"/>
  <c r="R17" i="110"/>
  <c r="T7" i="111" s="1"/>
  <c r="P17" i="110"/>
  <c r="R7" i="111" s="1"/>
  <c r="F17" i="112"/>
  <c r="E19" i="110"/>
  <c r="G25" i="39" s="1"/>
  <c r="F73" i="39" s="1"/>
  <c r="E20" i="110"/>
  <c r="F62" i="39" s="1"/>
  <c r="P22" i="39"/>
  <c r="O45" i="101"/>
  <c r="G22" i="39"/>
  <c r="F45" i="101"/>
  <c r="Q17" i="112"/>
  <c r="P20" i="110"/>
  <c r="Q62" i="39" s="1"/>
  <c r="P19" i="110"/>
  <c r="R25" i="39" s="1"/>
  <c r="Q73" i="39" s="1"/>
  <c r="N22" i="39"/>
  <c r="M45" i="101"/>
  <c r="S22" i="39"/>
  <c r="J22" i="39"/>
  <c r="I45" i="101"/>
  <c r="S17" i="112"/>
  <c r="T9" i="111"/>
  <c r="T33" i="111" s="1"/>
  <c r="R20" i="110"/>
  <c r="S62" i="39" s="1"/>
  <c r="R19" i="110"/>
  <c r="T25" i="39" s="1"/>
  <c r="S73" i="39" s="1"/>
  <c r="L22" i="39"/>
  <c r="K45" i="101"/>
  <c r="E17" i="112"/>
  <c r="D19" i="110"/>
  <c r="F25" i="39" s="1"/>
  <c r="E73" i="39" s="1"/>
  <c r="D20" i="110"/>
  <c r="E62" i="39" s="1"/>
  <c r="M17" i="110"/>
  <c r="O7" i="111" s="1"/>
  <c r="M22" i="39"/>
  <c r="L45" i="101"/>
  <c r="P14" i="112"/>
  <c r="F22" i="39"/>
  <c r="E45" i="101"/>
  <c r="N17" i="112"/>
  <c r="M20" i="110"/>
  <c r="N62" i="39" s="1"/>
  <c r="M19" i="110"/>
  <c r="O25" i="39" s="1"/>
  <c r="N73" i="39" s="1"/>
  <c r="E6" i="56"/>
  <c r="E9" i="56" s="1"/>
  <c r="E23" i="56"/>
  <c r="E21" i="56" s="1"/>
  <c r="E24" i="56" s="1"/>
  <c r="E26" i="56" s="1"/>
  <c r="B23" i="56"/>
  <c r="B21" i="56" s="1"/>
  <c r="C23" i="56"/>
  <c r="C21" i="56" s="1"/>
  <c r="C24" i="56" s="1"/>
  <c r="D23" i="56"/>
  <c r="D21" i="56" s="1"/>
  <c r="D24" i="56" s="1"/>
  <c r="D26" i="56" s="1"/>
  <c r="F23" i="56"/>
  <c r="H17" i="110"/>
  <c r="J7" i="111" s="1"/>
  <c r="T22" i="39"/>
  <c r="H17" i="112"/>
  <c r="G20" i="110"/>
  <c r="H62" i="39" s="1"/>
  <c r="G19" i="110"/>
  <c r="I25" i="39" s="1"/>
  <c r="H73" i="39" s="1"/>
  <c r="Q22" i="39"/>
  <c r="P45" i="101"/>
  <c r="R17" i="112"/>
  <c r="Q20" i="110"/>
  <c r="R62" i="39" s="1"/>
  <c r="Q19" i="110"/>
  <c r="S25" i="39" s="1"/>
  <c r="R73" i="39" s="1"/>
  <c r="O22" i="39"/>
  <c r="N45" i="101"/>
  <c r="I17" i="110"/>
  <c r="K7" i="111" s="1"/>
  <c r="M17" i="112"/>
  <c r="L19" i="110"/>
  <c r="N25" i="39" s="1"/>
  <c r="M73" i="39" s="1"/>
  <c r="L20" i="110"/>
  <c r="M62" i="39" s="1"/>
  <c r="I17" i="112"/>
  <c r="H20" i="110"/>
  <c r="I62" i="39" s="1"/>
  <c r="H19" i="110"/>
  <c r="J25" i="39" s="1"/>
  <c r="I73" i="39" s="1"/>
  <c r="L17" i="112"/>
  <c r="K20" i="110"/>
  <c r="L62" i="39" s="1"/>
  <c r="K19" i="110"/>
  <c r="M25" i="39" s="1"/>
  <c r="L73" i="39" s="1"/>
  <c r="P17" i="112"/>
  <c r="O20" i="110"/>
  <c r="P62" i="39" s="1"/>
  <c r="O19" i="110"/>
  <c r="Q25" i="39" s="1"/>
  <c r="P73" i="39" s="1"/>
  <c r="Q17" i="110"/>
  <c r="S7" i="111" s="1"/>
  <c r="C13" i="16"/>
  <c r="F17" i="110"/>
  <c r="H7" i="111" s="1"/>
  <c r="J17" i="112"/>
  <c r="I20" i="110"/>
  <c r="J62" i="39" s="1"/>
  <c r="I19" i="110"/>
  <c r="K25" i="39" s="1"/>
  <c r="J73" i="39" s="1"/>
  <c r="K22" i="39"/>
  <c r="J45" i="101"/>
  <c r="B24" i="57"/>
  <c r="R22" i="39"/>
  <c r="Q45" i="101"/>
  <c r="H22" i="39"/>
  <c r="E18" i="39"/>
  <c r="G45" i="101"/>
  <c r="G17" i="112"/>
  <c r="F19" i="110"/>
  <c r="H25" i="39" s="1"/>
  <c r="G73" i="39" s="1"/>
  <c r="F20" i="110"/>
  <c r="G62" i="39" s="1"/>
  <c r="N17" i="110"/>
  <c r="P7" i="111" s="1"/>
  <c r="J17" i="110"/>
  <c r="L7" i="111" s="1"/>
  <c r="I22" i="39"/>
  <c r="H45" i="101"/>
  <c r="E19" i="39"/>
  <c r="O17" i="112"/>
  <c r="N19" i="110"/>
  <c r="P25" i="39" s="1"/>
  <c r="O73" i="39" s="1"/>
  <c r="N20" i="110"/>
  <c r="O62" i="39" s="1"/>
  <c r="K17" i="112"/>
  <c r="J19" i="110"/>
  <c r="L25" i="39" s="1"/>
  <c r="K73" i="39" s="1"/>
  <c r="J20" i="110"/>
  <c r="K62" i="39" s="1"/>
  <c r="E72" i="39" l="1"/>
  <c r="F6" i="111"/>
  <c r="F48" i="111" s="1"/>
  <c r="F50" i="111" s="1"/>
  <c r="F16" i="112"/>
  <c r="G90" i="39"/>
  <c r="F91" i="39"/>
  <c r="T8" i="111"/>
  <c r="T32" i="111" s="1"/>
  <c r="F24" i="39"/>
  <c r="N24" i="39"/>
  <c r="R24" i="39"/>
  <c r="I24" i="39"/>
  <c r="N50" i="101"/>
  <c r="N51" i="101" s="1"/>
  <c r="N46" i="101"/>
  <c r="K46" i="101"/>
  <c r="K50" i="101"/>
  <c r="K51" i="101" s="1"/>
  <c r="O24" i="39"/>
  <c r="K24" i="39"/>
  <c r="D27" i="56"/>
  <c r="D28" i="56" s="1"/>
  <c r="M24" i="39"/>
  <c r="S24" i="39"/>
  <c r="I46" i="101"/>
  <c r="I50" i="101"/>
  <c r="I51" i="101" s="1"/>
  <c r="F50" i="101"/>
  <c r="F51" i="101" s="1"/>
  <c r="F46" i="101"/>
  <c r="C24" i="57"/>
  <c r="H24" i="39"/>
  <c r="P50" i="101"/>
  <c r="P51" i="101" s="1"/>
  <c r="P46" i="101"/>
  <c r="T24" i="39"/>
  <c r="P24" i="39"/>
  <c r="H50" i="101"/>
  <c r="H51" i="101" s="1"/>
  <c r="H46" i="101"/>
  <c r="G46" i="101"/>
  <c r="G50" i="101"/>
  <c r="G51" i="101" s="1"/>
  <c r="J46" i="101"/>
  <c r="J50" i="101"/>
  <c r="J51" i="101" s="1"/>
  <c r="B24" i="56"/>
  <c r="F21" i="56"/>
  <c r="F24" i="56" s="1"/>
  <c r="F26" i="56" s="1"/>
  <c r="E50" i="101"/>
  <c r="E51" i="101" s="1"/>
  <c r="E46" i="101"/>
  <c r="Q14" i="112"/>
  <c r="J24" i="39"/>
  <c r="M50" i="101"/>
  <c r="M51" i="101" s="1"/>
  <c r="M46" i="101"/>
  <c r="G24" i="39"/>
  <c r="B10" i="56"/>
  <c r="B11" i="56" s="1"/>
  <c r="L24" i="39"/>
  <c r="Q46" i="101"/>
  <c r="Q50" i="101"/>
  <c r="Q51" i="101" s="1"/>
  <c r="Q24" i="39"/>
  <c r="E27" i="56"/>
  <c r="E28" i="56" s="1"/>
  <c r="L50" i="101"/>
  <c r="L51" i="101" s="1"/>
  <c r="L46" i="101"/>
  <c r="O50" i="101"/>
  <c r="O51" i="101" s="1"/>
  <c r="O46" i="101"/>
  <c r="D14" i="56" l="1"/>
  <c r="G26" i="39"/>
  <c r="G16" i="112"/>
  <c r="H90" i="39"/>
  <c r="G91" i="39"/>
  <c r="L32" i="39"/>
  <c r="I97" i="39"/>
  <c r="I100" i="39" s="1"/>
  <c r="K61" i="39"/>
  <c r="K66" i="39" s="1"/>
  <c r="J61" i="39"/>
  <c r="J66" i="39" s="1"/>
  <c r="H97" i="39"/>
  <c r="H100" i="39" s="1"/>
  <c r="K32" i="39"/>
  <c r="H61" i="39"/>
  <c r="H66" i="39" s="1"/>
  <c r="I32" i="39"/>
  <c r="F97" i="39"/>
  <c r="F100" i="39" s="1"/>
  <c r="Q61" i="39"/>
  <c r="Q66" i="39" s="1"/>
  <c r="O97" i="39"/>
  <c r="O100" i="39" s="1"/>
  <c r="R32" i="39"/>
  <c r="R14" i="112"/>
  <c r="P61" i="39"/>
  <c r="P66" i="39" s="1"/>
  <c r="Q32" i="39"/>
  <c r="N97" i="39"/>
  <c r="N100" i="39" s="1"/>
  <c r="O61" i="39"/>
  <c r="O66" i="39" s="1"/>
  <c r="M97" i="39"/>
  <c r="M100" i="39" s="1"/>
  <c r="P32" i="39"/>
  <c r="L61" i="39"/>
  <c r="L66" i="39" s="1"/>
  <c r="J97" i="39"/>
  <c r="J100" i="39" s="1"/>
  <c r="M32" i="39"/>
  <c r="R61" i="39"/>
  <c r="R66" i="39" s="1"/>
  <c r="P97" i="39"/>
  <c r="P100" i="39" s="1"/>
  <c r="S32" i="39"/>
  <c r="N61" i="39"/>
  <c r="N66" i="39" s="1"/>
  <c r="L97" i="39"/>
  <c r="L100" i="39" s="1"/>
  <c r="O32" i="39"/>
  <c r="D24" i="57"/>
  <c r="B12" i="56"/>
  <c r="B13" i="56" s="1"/>
  <c r="I61" i="39"/>
  <c r="I66" i="39" s="1"/>
  <c r="G97" i="39"/>
  <c r="G100" i="39" s="1"/>
  <c r="J32" i="39"/>
  <c r="F27" i="56"/>
  <c r="F28" i="56" s="1"/>
  <c r="T32" i="39"/>
  <c r="Q97" i="39"/>
  <c r="Q100" i="39" s="1"/>
  <c r="S61" i="39"/>
  <c r="S66" i="39" s="1"/>
  <c r="G61" i="39"/>
  <c r="G66" i="39" s="1"/>
  <c r="E97" i="39"/>
  <c r="E100" i="39" s="1"/>
  <c r="H32" i="39"/>
  <c r="F28" i="39"/>
  <c r="E61" i="39"/>
  <c r="E66" i="39" s="1"/>
  <c r="C97" i="39"/>
  <c r="C100" i="39" s="1"/>
  <c r="F32" i="39"/>
  <c r="G28" i="39"/>
  <c r="F61" i="39"/>
  <c r="F66" i="39" s="1"/>
  <c r="D97" i="39"/>
  <c r="D100" i="39" s="1"/>
  <c r="G32" i="39"/>
  <c r="C10" i="56"/>
  <c r="C11" i="56" s="1"/>
  <c r="M61" i="39"/>
  <c r="M66" i="39" s="1"/>
  <c r="K97" i="39"/>
  <c r="K100" i="39" s="1"/>
  <c r="N32" i="39"/>
  <c r="H26" i="39" l="1"/>
  <c r="E14" i="56"/>
  <c r="B29" i="56" s="1"/>
  <c r="H16" i="112"/>
  <c r="I90" i="39"/>
  <c r="H91" i="39"/>
  <c r="F72" i="39"/>
  <c r="G6" i="111"/>
  <c r="G48" i="111" s="1"/>
  <c r="G50" i="111" s="1"/>
  <c r="C12" i="56"/>
  <c r="C13" i="56" s="1"/>
  <c r="D104" i="39"/>
  <c r="S14" i="112"/>
  <c r="D10" i="56"/>
  <c r="D11" i="56" s="1"/>
  <c r="C102" i="39"/>
  <c r="E24" i="57"/>
  <c r="B5" i="58"/>
  <c r="B8" i="58" s="1"/>
  <c r="B15" i="56"/>
  <c r="C104" i="39"/>
  <c r="F14" i="56" l="1"/>
  <c r="I26" i="39"/>
  <c r="J90" i="39"/>
  <c r="I91" i="39"/>
  <c r="I16" i="112"/>
  <c r="E29" i="56"/>
  <c r="E30" i="56" s="1"/>
  <c r="C37" i="56" s="1"/>
  <c r="C29" i="56"/>
  <c r="F29" i="56"/>
  <c r="F30" i="56" s="1"/>
  <c r="C38" i="56" s="1"/>
  <c r="D29" i="56"/>
  <c r="D30" i="56" s="1"/>
  <c r="C36" i="56" s="1"/>
  <c r="G72" i="39"/>
  <c r="H6" i="111"/>
  <c r="H48" i="111" s="1"/>
  <c r="H50" i="111" s="1"/>
  <c r="H28" i="39"/>
  <c r="E104" i="39" s="1"/>
  <c r="C103" i="39"/>
  <c r="C110" i="39" s="1"/>
  <c r="C111" i="39" s="1"/>
  <c r="D101" i="39"/>
  <c r="D102" i="39" s="1"/>
  <c r="D12" i="56"/>
  <c r="D13" i="56" s="1"/>
  <c r="B9" i="57"/>
  <c r="E10" i="56"/>
  <c r="C5" i="58"/>
  <c r="C8" i="58" s="1"/>
  <c r="C15" i="58" s="1"/>
  <c r="C15" i="56"/>
  <c r="F24" i="57"/>
  <c r="B15" i="58"/>
  <c r="J26" i="39" l="1"/>
  <c r="G14" i="56"/>
  <c r="K90" i="39"/>
  <c r="J91" i="39"/>
  <c r="J16" i="112"/>
  <c r="I6" i="111"/>
  <c r="I48" i="111" s="1"/>
  <c r="I50" i="111" s="1"/>
  <c r="H72" i="39"/>
  <c r="I28" i="39"/>
  <c r="F104" i="39" s="1"/>
  <c r="C112" i="39"/>
  <c r="C25" i="56"/>
  <c r="C26" i="56" s="1"/>
  <c r="B25" i="56"/>
  <c r="B26" i="56" s="1"/>
  <c r="E11" i="56"/>
  <c r="C105" i="39"/>
  <c r="C106" i="39"/>
  <c r="F10" i="56"/>
  <c r="F11" i="56" s="1"/>
  <c r="B26" i="57"/>
  <c r="B10" i="57"/>
  <c r="B11" i="57" s="1"/>
  <c r="D5" i="58"/>
  <c r="D8" i="58" s="1"/>
  <c r="D15" i="58" s="1"/>
  <c r="D15" i="56"/>
  <c r="E101" i="39"/>
  <c r="E102" i="39" s="1"/>
  <c r="D103" i="39"/>
  <c r="H14" i="56" l="1"/>
  <c r="K26" i="39"/>
  <c r="K16" i="112"/>
  <c r="K91" i="39"/>
  <c r="L90" i="39"/>
  <c r="J6" i="111"/>
  <c r="J48" i="111" s="1"/>
  <c r="J50" i="111" s="1"/>
  <c r="I72" i="39"/>
  <c r="J28" i="39"/>
  <c r="G104" i="39" s="1"/>
  <c r="D110" i="39"/>
  <c r="D111" i="39" s="1"/>
  <c r="D112" i="39"/>
  <c r="E12" i="56"/>
  <c r="E13" i="56" s="1"/>
  <c r="C26" i="57"/>
  <c r="B27" i="57"/>
  <c r="B28" i="57" s="1"/>
  <c r="C31" i="57" s="1"/>
  <c r="D105" i="39"/>
  <c r="D106" i="39"/>
  <c r="G10" i="56"/>
  <c r="G11" i="56" s="1"/>
  <c r="B27" i="56"/>
  <c r="B28" i="56" s="1"/>
  <c r="B30" i="56" s="1"/>
  <c r="C33" i="56" s="1"/>
  <c r="F12" i="56"/>
  <c r="F13" i="56" s="1"/>
  <c r="C27" i="56"/>
  <c r="C28" i="56" s="1"/>
  <c r="C30" i="56" s="1"/>
  <c r="C35" i="56" s="1"/>
  <c r="F101" i="39"/>
  <c r="F102" i="39" s="1"/>
  <c r="E103" i="39"/>
  <c r="L16" i="112" l="1"/>
  <c r="M90" i="39"/>
  <c r="L91" i="39"/>
  <c r="I14" i="56"/>
  <c r="L26" i="39"/>
  <c r="J72" i="39"/>
  <c r="K6" i="111"/>
  <c r="K48" i="111" s="1"/>
  <c r="K50" i="111" s="1"/>
  <c r="K28" i="39"/>
  <c r="H104" i="39" s="1"/>
  <c r="E110" i="39"/>
  <c r="E111" i="39" s="1"/>
  <c r="E112" i="39"/>
  <c r="E5" i="58"/>
  <c r="E8" i="58" s="1"/>
  <c r="E15" i="56"/>
  <c r="D35" i="56"/>
  <c r="H10" i="56"/>
  <c r="H11" i="56" s="1"/>
  <c r="G12" i="56"/>
  <c r="G13" i="56" s="1"/>
  <c r="F5" i="58"/>
  <c r="F8" i="58" s="1"/>
  <c r="F15" i="58" s="1"/>
  <c r="F15" i="56"/>
  <c r="D36" i="56"/>
  <c r="D37" i="56"/>
  <c r="D38" i="56"/>
  <c r="E105" i="39"/>
  <c r="E106" i="39"/>
  <c r="E26" i="57"/>
  <c r="E27" i="57" s="1"/>
  <c r="E28" i="57" s="1"/>
  <c r="C35" i="57" s="1"/>
  <c r="D26" i="57"/>
  <c r="C27" i="57"/>
  <c r="C28" i="57" s="1"/>
  <c r="C33" i="57" s="1"/>
  <c r="G101" i="39"/>
  <c r="G102" i="39" s="1"/>
  <c r="F103" i="39"/>
  <c r="L6" i="111" l="1"/>
  <c r="L48" i="111" s="1"/>
  <c r="L50" i="111" s="1"/>
  <c r="K72" i="39"/>
  <c r="L28" i="39"/>
  <c r="I104" i="39" s="1"/>
  <c r="J14" i="56"/>
  <c r="M26" i="39"/>
  <c r="M16" i="112"/>
  <c r="N90" i="39"/>
  <c r="M91" i="39"/>
  <c r="F110" i="39"/>
  <c r="F111" i="39" s="1"/>
  <c r="F112" i="39"/>
  <c r="I10" i="56"/>
  <c r="I11" i="56" s="1"/>
  <c r="G5" i="58"/>
  <c r="G8" i="58" s="1"/>
  <c r="G15" i="58" s="1"/>
  <c r="G15" i="56"/>
  <c r="H101" i="39"/>
  <c r="H102" i="39" s="1"/>
  <c r="G103" i="39"/>
  <c r="H12" i="56"/>
  <c r="H13" i="56" s="1"/>
  <c r="F26" i="57"/>
  <c r="F27" i="57" s="1"/>
  <c r="F28" i="57" s="1"/>
  <c r="C36" i="57" s="1"/>
  <c r="D27" i="57"/>
  <c r="D28" i="57" s="1"/>
  <c r="C34" i="57" s="1"/>
  <c r="F105" i="39"/>
  <c r="F106" i="39"/>
  <c r="E15" i="58"/>
  <c r="L72" i="39" l="1"/>
  <c r="M6" i="111"/>
  <c r="M48" i="111" s="1"/>
  <c r="M50" i="111" s="1"/>
  <c r="M28" i="39"/>
  <c r="J104" i="39" s="1"/>
  <c r="N16" i="112"/>
  <c r="N91" i="39"/>
  <c r="O90" i="39"/>
  <c r="N26" i="39"/>
  <c r="K14" i="56"/>
  <c r="G110" i="39"/>
  <c r="G111" i="39" s="1"/>
  <c r="G112" i="39"/>
  <c r="H5" i="58"/>
  <c r="H8" i="58" s="1"/>
  <c r="H15" i="58" s="1"/>
  <c r="H15" i="56"/>
  <c r="I12" i="56"/>
  <c r="I13" i="56" s="1"/>
  <c r="H103" i="39"/>
  <c r="I101" i="39"/>
  <c r="I102" i="39" s="1"/>
  <c r="J10" i="56"/>
  <c r="J11" i="56" s="1"/>
  <c r="G105" i="39"/>
  <c r="G106" i="39"/>
  <c r="O16" i="112" l="1"/>
  <c r="O91" i="39"/>
  <c r="P90" i="39"/>
  <c r="O26" i="39"/>
  <c r="M72" i="39"/>
  <c r="N6" i="111"/>
  <c r="N48" i="111" s="1"/>
  <c r="N50" i="111" s="1"/>
  <c r="N52" i="111" s="1"/>
  <c r="N28" i="39"/>
  <c r="K104" i="39" s="1"/>
  <c r="H110" i="39"/>
  <c r="H111" i="39" s="1"/>
  <c r="H112" i="39"/>
  <c r="I5" i="58"/>
  <c r="I8" i="58" s="1"/>
  <c r="I15" i="56"/>
  <c r="I103" i="39"/>
  <c r="J101" i="39"/>
  <c r="J102" i="39" s="1"/>
  <c r="H105" i="39"/>
  <c r="H106" i="39"/>
  <c r="K10" i="56"/>
  <c r="K11" i="56" s="1"/>
  <c r="J12" i="56"/>
  <c r="J13" i="56" s="1"/>
  <c r="O6" i="111" l="1"/>
  <c r="O48" i="111" s="1"/>
  <c r="O50" i="111" s="1"/>
  <c r="O52" i="111" s="1"/>
  <c r="N72" i="39"/>
  <c r="O28" i="39"/>
  <c r="L104" i="39" s="1"/>
  <c r="P16" i="112"/>
  <c r="P91" i="39"/>
  <c r="Q90" i="39"/>
  <c r="P26" i="39"/>
  <c r="I110" i="39"/>
  <c r="I111" i="39" s="1"/>
  <c r="I112" i="39"/>
  <c r="K12" i="56"/>
  <c r="K13" i="56" s="1"/>
  <c r="K15" i="56" s="1"/>
  <c r="I15" i="58"/>
  <c r="B17" i="58"/>
  <c r="I105" i="39"/>
  <c r="I106" i="39"/>
  <c r="J103" i="39"/>
  <c r="K101" i="39"/>
  <c r="K102" i="39" s="1"/>
  <c r="J5" i="58"/>
  <c r="J8" i="58" s="1"/>
  <c r="J15" i="58" s="1"/>
  <c r="J15" i="56"/>
  <c r="O72" i="39" l="1"/>
  <c r="P6" i="111"/>
  <c r="P48" i="111" s="1"/>
  <c r="P50" i="111" s="1"/>
  <c r="P52" i="111" s="1"/>
  <c r="P28" i="39"/>
  <c r="M104" i="39" s="1"/>
  <c r="Q16" i="112"/>
  <c r="R90" i="39"/>
  <c r="Q91" i="39"/>
  <c r="Q26" i="39"/>
  <c r="J110" i="39"/>
  <c r="J111" i="39" s="1"/>
  <c r="J112" i="39"/>
  <c r="K103" i="39"/>
  <c r="L101" i="39"/>
  <c r="L102" i="39" s="1"/>
  <c r="J105" i="39"/>
  <c r="J106" i="39"/>
  <c r="P72" i="39" l="1"/>
  <c r="Q6" i="111"/>
  <c r="Q48" i="111" s="1"/>
  <c r="Q50" i="111" s="1"/>
  <c r="Q52" i="111" s="1"/>
  <c r="Q28" i="39"/>
  <c r="N104" i="39" s="1"/>
  <c r="R26" i="39"/>
  <c r="R16" i="112"/>
  <c r="S90" i="39"/>
  <c r="R91" i="39"/>
  <c r="K110" i="39"/>
  <c r="K111" i="39" s="1"/>
  <c r="K112" i="39"/>
  <c r="M101" i="39"/>
  <c r="M102" i="39" s="1"/>
  <c r="L103" i="39"/>
  <c r="K105" i="39"/>
  <c r="K106" i="39"/>
  <c r="S16" i="112" l="1"/>
  <c r="S91" i="39"/>
  <c r="T26" i="39" s="1"/>
  <c r="Q72" i="39"/>
  <c r="R6" i="111"/>
  <c r="R48" i="111" s="1"/>
  <c r="R50" i="111" s="1"/>
  <c r="R52" i="111" s="1"/>
  <c r="R28" i="39"/>
  <c r="O104" i="39" s="1"/>
  <c r="S26" i="39"/>
  <c r="L110" i="39"/>
  <c r="L111" i="39" s="1"/>
  <c r="L112" i="39"/>
  <c r="L105" i="39"/>
  <c r="L106" i="39"/>
  <c r="N101" i="39"/>
  <c r="N102" i="39" s="1"/>
  <c r="M103" i="39"/>
  <c r="R72" i="39" l="1"/>
  <c r="S6" i="111"/>
  <c r="S48" i="111" s="1"/>
  <c r="S50" i="111" s="1"/>
  <c r="S52" i="111" s="1"/>
  <c r="S28" i="39"/>
  <c r="P104" i="39" s="1"/>
  <c r="S72" i="39"/>
  <c r="T6" i="111"/>
  <c r="T48" i="111" s="1"/>
  <c r="T50" i="111" s="1"/>
  <c r="T52" i="111" s="1"/>
  <c r="T28" i="39"/>
  <c r="Q104" i="39" s="1"/>
  <c r="M110" i="39"/>
  <c r="M111" i="39" s="1"/>
  <c r="M112" i="39"/>
  <c r="M105" i="39"/>
  <c r="M106" i="39"/>
  <c r="O101" i="39"/>
  <c r="O102" i="39" s="1"/>
  <c r="N103" i="39"/>
  <c r="N110" i="39" l="1"/>
  <c r="N111" i="39" s="1"/>
  <c r="N112" i="39"/>
  <c r="N105" i="39"/>
  <c r="N106" i="39"/>
  <c r="P101" i="39"/>
  <c r="P102" i="39" s="1"/>
  <c r="O103" i="39"/>
  <c r="O110" i="39" l="1"/>
  <c r="O111" i="39" s="1"/>
  <c r="O112" i="39"/>
  <c r="O105" i="39"/>
  <c r="O106" i="39"/>
  <c r="Q101" i="39"/>
  <c r="Q102" i="39" s="1"/>
  <c r="P103" i="39"/>
  <c r="P110" i="39" l="1"/>
  <c r="P111" i="39" s="1"/>
  <c r="P112" i="39"/>
  <c r="P105" i="39"/>
  <c r="P106" i="39"/>
  <c r="Q103" i="39"/>
  <c r="R101" i="39"/>
  <c r="R102" i="39" s="1"/>
  <c r="Q110" i="39" l="1"/>
  <c r="Q111" i="39" s="1"/>
  <c r="Q112" i="39"/>
  <c r="R103" i="39"/>
  <c r="S101" i="39"/>
  <c r="S102" i="39" s="1"/>
  <c r="Q105" i="39"/>
  <c r="Q106" i="39"/>
  <c r="R110" i="39" l="1"/>
  <c r="R111" i="39" s="1"/>
  <c r="R112" i="39"/>
  <c r="U112" i="39" s="1"/>
  <c r="R105" i="39"/>
  <c r="R106" i="39"/>
  <c r="S103" i="39"/>
  <c r="T101" i="39"/>
  <c r="T102" i="39" s="1"/>
  <c r="T103" i="39" s="1"/>
  <c r="R113" i="39" l="1"/>
  <c r="R107" i="39" s="1"/>
  <c r="R108" i="39" s="1"/>
  <c r="C113" i="39"/>
  <c r="C107" i="39" s="1"/>
  <c r="C108" i="39" s="1"/>
  <c r="D113" i="39"/>
  <c r="D107" i="39" s="1"/>
  <c r="D108" i="39" s="1"/>
  <c r="E113" i="39"/>
  <c r="E107" i="39" s="1"/>
  <c r="E108" i="39" s="1"/>
  <c r="F113" i="39"/>
  <c r="F107" i="39" s="1"/>
  <c r="F108" i="39" s="1"/>
  <c r="G113" i="39"/>
  <c r="G107" i="39" s="1"/>
  <c r="G108" i="39" s="1"/>
  <c r="H113" i="39"/>
  <c r="H107" i="39" s="1"/>
  <c r="H108" i="39" s="1"/>
  <c r="I113" i="39"/>
  <c r="I107" i="39" s="1"/>
  <c r="I108" i="39" s="1"/>
  <c r="J113" i="39"/>
  <c r="J107" i="39" s="1"/>
  <c r="J108" i="39" s="1"/>
  <c r="K113" i="39"/>
  <c r="K107" i="39" s="1"/>
  <c r="K108" i="39" s="1"/>
  <c r="L113" i="39"/>
  <c r="L107" i="39" s="1"/>
  <c r="L108" i="39" s="1"/>
  <c r="M113" i="39"/>
  <c r="M107" i="39" s="1"/>
  <c r="M108" i="39" s="1"/>
  <c r="N113" i="39"/>
  <c r="N107" i="39" s="1"/>
  <c r="N108" i="39" s="1"/>
  <c r="O113" i="39"/>
  <c r="O107" i="39" s="1"/>
  <c r="O108" i="39" s="1"/>
  <c r="P113" i="39"/>
  <c r="P107" i="39" s="1"/>
  <c r="P108" i="39" s="1"/>
  <c r="S110" i="39"/>
  <c r="S111" i="39" s="1"/>
  <c r="S112" i="39"/>
  <c r="T110" i="39"/>
  <c r="T112" i="39"/>
  <c r="Q113" i="39"/>
  <c r="Q107" i="39" s="1"/>
  <c r="Q108" i="39" s="1"/>
  <c r="S105" i="39"/>
  <c r="S106" i="39"/>
  <c r="T105" i="39"/>
  <c r="T106" i="39"/>
  <c r="T111" i="39" l="1"/>
  <c r="T113" i="39" s="1"/>
  <c r="T107" i="39" s="1"/>
  <c r="T108" i="39" s="1"/>
  <c r="S113" i="39"/>
  <c r="S107" i="39" s="1"/>
  <c r="S108" i="39" s="1"/>
  <c r="M29" i="39"/>
  <c r="K29" i="39"/>
  <c r="N29" i="39"/>
  <c r="I29" i="39"/>
  <c r="T29" i="39"/>
  <c r="S29" i="39"/>
  <c r="J29" i="39"/>
  <c r="H29" i="39"/>
  <c r="F29" i="39"/>
  <c r="L29" i="39"/>
  <c r="R29" i="39"/>
  <c r="Q29" i="39"/>
  <c r="P29" i="39"/>
  <c r="O29" i="39"/>
  <c r="G29" i="39"/>
  <c r="O74" i="39" l="1"/>
  <c r="O75" i="39" s="1"/>
  <c r="O76" i="39" s="1"/>
  <c r="P30" i="39"/>
  <c r="P4" i="111" s="1"/>
  <c r="F74" i="39"/>
  <c r="F75" i="39" s="1"/>
  <c r="F76" i="39" s="1"/>
  <c r="G30" i="39"/>
  <c r="G4" i="111" s="1"/>
  <c r="H74" i="39"/>
  <c r="H75" i="39" s="1"/>
  <c r="H76" i="39" s="1"/>
  <c r="I30" i="39"/>
  <c r="I4" i="111" s="1"/>
  <c r="J74" i="39"/>
  <c r="J75" i="39" s="1"/>
  <c r="J76" i="39" s="1"/>
  <c r="K30" i="39"/>
  <c r="K4" i="111" s="1"/>
  <c r="I74" i="39"/>
  <c r="I75" i="39" s="1"/>
  <c r="I76" i="39" s="1"/>
  <c r="J30" i="39"/>
  <c r="J4" i="111" s="1"/>
  <c r="L74" i="39"/>
  <c r="L75" i="39" s="1"/>
  <c r="L76" i="39" s="1"/>
  <c r="M30" i="39"/>
  <c r="M4" i="111" s="1"/>
  <c r="N74" i="39"/>
  <c r="N75" i="39" s="1"/>
  <c r="N76" i="39" s="1"/>
  <c r="O30" i="39"/>
  <c r="O4" i="111" s="1"/>
  <c r="E74" i="39"/>
  <c r="E75" i="39" s="1"/>
  <c r="E76" i="39" s="1"/>
  <c r="F30" i="39"/>
  <c r="R74" i="39"/>
  <c r="R75" i="39" s="1"/>
  <c r="R76" i="39" s="1"/>
  <c r="S30" i="39"/>
  <c r="S4" i="111" s="1"/>
  <c r="G74" i="39"/>
  <c r="G75" i="39" s="1"/>
  <c r="G76" i="39" s="1"/>
  <c r="H30" i="39"/>
  <c r="H4" i="111" s="1"/>
  <c r="S74" i="39"/>
  <c r="S75" i="39" s="1"/>
  <c r="S76" i="39" s="1"/>
  <c r="T30" i="39"/>
  <c r="T4" i="111" s="1"/>
  <c r="K74" i="39"/>
  <c r="K75" i="39" s="1"/>
  <c r="K76" i="39" s="1"/>
  <c r="L30" i="39"/>
  <c r="L4" i="111" s="1"/>
  <c r="P74" i="39"/>
  <c r="P75" i="39" s="1"/>
  <c r="P76" i="39" s="1"/>
  <c r="Q30" i="39"/>
  <c r="Q4" i="111" s="1"/>
  <c r="Q74" i="39"/>
  <c r="Q75" i="39" s="1"/>
  <c r="Q76" i="39" s="1"/>
  <c r="R30" i="39"/>
  <c r="R4" i="111" s="1"/>
  <c r="M74" i="39"/>
  <c r="M75" i="39" s="1"/>
  <c r="M76" i="39" s="1"/>
  <c r="N30" i="39"/>
  <c r="N4" i="111" s="1"/>
  <c r="L11" i="111" l="1"/>
  <c r="L12" i="111" s="1"/>
  <c r="L29" i="111"/>
  <c r="L35" i="111" s="1"/>
  <c r="L36" i="111" s="1"/>
  <c r="L51" i="111"/>
  <c r="L52" i="111" s="1"/>
  <c r="S11" i="111"/>
  <c r="S12" i="111" s="1"/>
  <c r="S29" i="111"/>
  <c r="S35" i="111" s="1"/>
  <c r="S36" i="111" s="1"/>
  <c r="S51" i="111"/>
  <c r="J29" i="111"/>
  <c r="J35" i="111" s="1"/>
  <c r="J36" i="111" s="1"/>
  <c r="J51" i="111"/>
  <c r="J52" i="111" s="1"/>
  <c r="J11" i="111"/>
  <c r="J12" i="111" s="1"/>
  <c r="R9" i="112"/>
  <c r="R10" i="112" s="1"/>
  <c r="T11" i="111"/>
  <c r="T12" i="111" s="1"/>
  <c r="T29" i="111"/>
  <c r="T35" i="111" s="1"/>
  <c r="T36" i="111" s="1"/>
  <c r="T51" i="111"/>
  <c r="G29" i="111"/>
  <c r="G35" i="111" s="1"/>
  <c r="G36" i="111" s="1"/>
  <c r="G51" i="111"/>
  <c r="G52" i="111" s="1"/>
  <c r="G11" i="111"/>
  <c r="G12" i="111" s="1"/>
  <c r="E9" i="112"/>
  <c r="E10" i="112" s="1"/>
  <c r="E77" i="39"/>
  <c r="F77" i="39" s="1"/>
  <c r="M11" i="111"/>
  <c r="M12" i="111" s="1"/>
  <c r="M29" i="111"/>
  <c r="M35" i="111" s="1"/>
  <c r="M36" i="111" s="1"/>
  <c r="M51" i="111"/>
  <c r="M52" i="111" s="1"/>
  <c r="J9" i="112"/>
  <c r="J10" i="112" s="1"/>
  <c r="P29" i="111"/>
  <c r="P35" i="111" s="1"/>
  <c r="P36" i="111" s="1"/>
  <c r="P51" i="111"/>
  <c r="P11" i="111"/>
  <c r="P12" i="111" s="1"/>
  <c r="K9" i="112"/>
  <c r="K10" i="112" s="1"/>
  <c r="K11" i="111"/>
  <c r="K12" i="111" s="1"/>
  <c r="K29" i="111"/>
  <c r="K35" i="111" s="1"/>
  <c r="K36" i="111" s="1"/>
  <c r="K51" i="111"/>
  <c r="K52" i="111" s="1"/>
  <c r="S9" i="112"/>
  <c r="S10" i="112" s="1"/>
  <c r="N9" i="112"/>
  <c r="N10" i="112" s="1"/>
  <c r="O9" i="112"/>
  <c r="O10" i="112" s="1"/>
  <c r="I9" i="112"/>
  <c r="I10" i="112" s="1"/>
  <c r="F31" i="39"/>
  <c r="F4" i="111"/>
  <c r="F9" i="112"/>
  <c r="F10" i="112" s="1"/>
  <c r="Q29" i="111"/>
  <c r="Q35" i="111" s="1"/>
  <c r="Q36" i="111" s="1"/>
  <c r="Q51" i="111"/>
  <c r="Q11" i="111"/>
  <c r="Q12" i="111" s="1"/>
  <c r="I29" i="111"/>
  <c r="I35" i="111" s="1"/>
  <c r="I36" i="111" s="1"/>
  <c r="I51" i="111"/>
  <c r="I52" i="111" s="1"/>
  <c r="I11" i="111"/>
  <c r="I12" i="111" s="1"/>
  <c r="N29" i="111"/>
  <c r="N35" i="111" s="1"/>
  <c r="N36" i="111" s="1"/>
  <c r="N51" i="111"/>
  <c r="N11" i="111"/>
  <c r="N12" i="111" s="1"/>
  <c r="M9" i="112"/>
  <c r="M10" i="112" s="1"/>
  <c r="L9" i="112"/>
  <c r="L10" i="112" s="1"/>
  <c r="O29" i="111"/>
  <c r="O35" i="111" s="1"/>
  <c r="O36" i="111" s="1"/>
  <c r="O51" i="111"/>
  <c r="O11" i="111"/>
  <c r="O12" i="111" s="1"/>
  <c r="R29" i="111"/>
  <c r="R35" i="111" s="1"/>
  <c r="R36" i="111" s="1"/>
  <c r="R51" i="111"/>
  <c r="R11" i="111"/>
  <c r="R12" i="111" s="1"/>
  <c r="H29" i="111"/>
  <c r="H35" i="111" s="1"/>
  <c r="H36" i="111" s="1"/>
  <c r="H51" i="111"/>
  <c r="H52" i="111" s="1"/>
  <c r="H11" i="111"/>
  <c r="H12" i="111" s="1"/>
  <c r="Q9" i="112"/>
  <c r="Q10" i="112" s="1"/>
  <c r="P9" i="112"/>
  <c r="P10" i="112" s="1"/>
  <c r="G9" i="112"/>
  <c r="G10" i="112" s="1"/>
  <c r="H9" i="112"/>
  <c r="H10" i="112" s="1"/>
  <c r="G77" i="39" l="1"/>
  <c r="H77" i="39" s="1"/>
  <c r="F29" i="111"/>
  <c r="F35" i="111" s="1"/>
  <c r="F36" i="111" s="1"/>
  <c r="G40" i="111" s="1"/>
  <c r="G41" i="111" s="1"/>
  <c r="F51" i="111"/>
  <c r="F52" i="111" s="1"/>
  <c r="D53" i="111" s="1"/>
  <c r="F11" i="111"/>
  <c r="F16" i="111" s="1"/>
  <c r="E15" i="112"/>
  <c r="E18" i="112" s="1"/>
  <c r="E20" i="112" s="1"/>
  <c r="G31" i="39"/>
  <c r="I77" i="39" l="1"/>
  <c r="J77" i="39" s="1"/>
  <c r="H40" i="111"/>
  <c r="H41" i="111" s="1"/>
  <c r="H42" i="111" s="1"/>
  <c r="F15" i="112"/>
  <c r="F18" i="112" s="1"/>
  <c r="F20" i="112" s="1"/>
  <c r="H31" i="39"/>
  <c r="F12" i="111"/>
  <c r="F17" i="111"/>
  <c r="F18" i="111" s="1"/>
  <c r="F40" i="111"/>
  <c r="F41" i="111" s="1"/>
  <c r="F42" i="111" s="1"/>
  <c r="D37" i="111"/>
  <c r="G42" i="111" l="1"/>
  <c r="I40" i="111"/>
  <c r="I41" i="111" s="1"/>
  <c r="I42" i="111" s="1"/>
  <c r="G15" i="112"/>
  <c r="G18" i="112" s="1"/>
  <c r="G20" i="112" s="1"/>
  <c r="I31" i="39"/>
  <c r="D13" i="111"/>
  <c r="C25" i="111"/>
  <c r="G16" i="111"/>
  <c r="K77" i="39"/>
  <c r="J40" i="111" l="1"/>
  <c r="J41" i="111" s="1"/>
  <c r="J42" i="111" s="1"/>
  <c r="H15" i="112"/>
  <c r="H18" i="112" s="1"/>
  <c r="H20" i="112" s="1"/>
  <c r="J31" i="39"/>
  <c r="L77" i="39"/>
  <c r="G17" i="111"/>
  <c r="G18" i="111" s="1"/>
  <c r="H16" i="111"/>
  <c r="K40" i="111" l="1"/>
  <c r="K41" i="111" s="1"/>
  <c r="K42" i="111" s="1"/>
  <c r="M77" i="39"/>
  <c r="I15" i="112"/>
  <c r="I18" i="112" s="1"/>
  <c r="I20" i="112" s="1"/>
  <c r="K31" i="39"/>
  <c r="H17" i="111"/>
  <c r="H18" i="111" s="1"/>
  <c r="I16" i="111"/>
  <c r="L40" i="111" l="1"/>
  <c r="L41" i="111" s="1"/>
  <c r="L42" i="111" s="1"/>
  <c r="D43" i="111" s="1"/>
  <c r="J15" i="112"/>
  <c r="J18" i="112" s="1"/>
  <c r="J20" i="112" s="1"/>
  <c r="L31" i="39"/>
  <c r="N77" i="39"/>
  <c r="I17" i="111"/>
  <c r="I18" i="111" s="1"/>
  <c r="J16" i="111"/>
  <c r="M40" i="111" l="1"/>
  <c r="K15" i="112"/>
  <c r="K18" i="112" s="1"/>
  <c r="K20" i="112" s="1"/>
  <c r="M31" i="39"/>
  <c r="O77" i="39"/>
  <c r="M41" i="111"/>
  <c r="M42" i="111" s="1"/>
  <c r="N40" i="111"/>
  <c r="J17" i="111"/>
  <c r="J18" i="111" s="1"/>
  <c r="K16" i="111"/>
  <c r="L15" i="112" l="1"/>
  <c r="L18" i="112" s="1"/>
  <c r="L20" i="112" s="1"/>
  <c r="N31" i="39"/>
  <c r="P77" i="39"/>
  <c r="K17" i="111"/>
  <c r="K18" i="111" s="1"/>
  <c r="D19" i="111" s="1"/>
  <c r="L16" i="111"/>
  <c r="N41" i="111"/>
  <c r="N42" i="111" s="1"/>
  <c r="O40" i="111"/>
  <c r="Q77" i="39" l="1"/>
  <c r="O41" i="111"/>
  <c r="O42" i="111" s="1"/>
  <c r="P40" i="111"/>
  <c r="L17" i="111"/>
  <c r="L18" i="111" s="1"/>
  <c r="M16" i="111"/>
  <c r="M15" i="112"/>
  <c r="M18" i="112" s="1"/>
  <c r="M20" i="112" s="1"/>
  <c r="O31" i="39"/>
  <c r="P41" i="111" l="1"/>
  <c r="P42" i="111" s="1"/>
  <c r="Q40" i="111"/>
  <c r="M17" i="111"/>
  <c r="M18" i="111" s="1"/>
  <c r="N16" i="111"/>
  <c r="R77" i="39"/>
  <c r="N15" i="112"/>
  <c r="N18" i="112" s="1"/>
  <c r="N20" i="112" s="1"/>
  <c r="P31" i="39"/>
  <c r="N17" i="111" l="1"/>
  <c r="N18" i="111" s="1"/>
  <c r="O16" i="111"/>
  <c r="O15" i="112"/>
  <c r="O18" i="112" s="1"/>
  <c r="O20" i="112" s="1"/>
  <c r="Q31" i="39"/>
  <c r="S77" i="39"/>
  <c r="Q41" i="111"/>
  <c r="Q42" i="111" s="1"/>
  <c r="R40" i="111"/>
  <c r="T77" i="39" l="1"/>
  <c r="P15" i="112"/>
  <c r="P18" i="112" s="1"/>
  <c r="P20" i="112" s="1"/>
  <c r="R31" i="39"/>
  <c r="R41" i="111"/>
  <c r="R42" i="111" s="1"/>
  <c r="S40" i="111"/>
  <c r="O17" i="111"/>
  <c r="O18" i="111" s="1"/>
  <c r="P16" i="111"/>
  <c r="P17" i="111" l="1"/>
  <c r="P18" i="111" s="1"/>
  <c r="Q16" i="111"/>
  <c r="Q15" i="112"/>
  <c r="Q18" i="112" s="1"/>
  <c r="Q20" i="112" s="1"/>
  <c r="S31" i="39"/>
  <c r="S41" i="111"/>
  <c r="S42" i="111" s="1"/>
  <c r="T40" i="111"/>
  <c r="T41" i="111" s="1"/>
  <c r="T42" i="111" s="1"/>
  <c r="R15" i="112" l="1"/>
  <c r="R18" i="112" s="1"/>
  <c r="R20" i="112" s="1"/>
  <c r="T31" i="39"/>
  <c r="S15" i="112" s="1"/>
  <c r="S18" i="112" s="1"/>
  <c r="S20" i="112" s="1"/>
  <c r="Q17" i="111"/>
  <c r="Q18" i="111" s="1"/>
  <c r="R16" i="111"/>
  <c r="R17" i="111" l="1"/>
  <c r="R18" i="111" s="1"/>
  <c r="S16" i="111"/>
  <c r="S17" i="111" l="1"/>
  <c r="S18" i="111" s="1"/>
  <c r="T16" i="111"/>
  <c r="T17" i="111" s="1"/>
  <c r="T18" i="1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<sst xmlns="http://schemas.openxmlformats.org/spreadsheetml/2006/main" count="994" uniqueCount="596">
  <si>
    <t>Naphtha</t>
  </si>
  <si>
    <t>Product</t>
  </si>
  <si>
    <t>Labour</t>
  </si>
  <si>
    <t>Variable Overheads</t>
  </si>
  <si>
    <t>Fixed Overheads</t>
  </si>
  <si>
    <t>Selling Overheads</t>
  </si>
  <si>
    <t>Description</t>
  </si>
  <si>
    <t>Operating Period</t>
  </si>
  <si>
    <t>Operating Revenue</t>
  </si>
  <si>
    <t>Total Operating Cost</t>
  </si>
  <si>
    <t>Depreciation</t>
  </si>
  <si>
    <t>NPV</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</si>
  <si>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</si>
  <si>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</si>
  <si>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</si>
  <si>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</si>
  <si>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</si>
  <si>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</si>
  <si>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</si>
  <si>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</si>
  <si>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</si>
  <si>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</si>
  <si>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</si>
  <si>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</si>
  <si>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B</t>
  </si>
  <si>
    <t>Tonne</t>
  </si>
  <si>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</si>
  <si>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</si>
  <si>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</si>
  <si>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</si>
  <si>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</si>
  <si>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</si>
  <si>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</si>
  <si>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</si>
  <si>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</si>
  <si>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</si>
  <si>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</si>
  <si>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</si>
  <si>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</si>
  <si>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</si>
  <si>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</si>
  <si>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</si>
  <si>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Steam</t>
  </si>
  <si>
    <t>INR / Tonne</t>
  </si>
  <si>
    <t>Total Fixed Cost</t>
  </si>
  <si>
    <t>Unit</t>
  </si>
  <si>
    <t>MT</t>
  </si>
  <si>
    <t>Total</t>
  </si>
  <si>
    <t>TOTAL SALES</t>
  </si>
  <si>
    <t>Price (INR / Tonne)</t>
  </si>
  <si>
    <t>Annual Production</t>
  </si>
  <si>
    <t>Value in (INR Crore)</t>
  </si>
  <si>
    <t>Product &amp; Co-Product</t>
  </si>
  <si>
    <t>Expenditure phasing / Capacity Utilization</t>
  </si>
  <si>
    <t>Overheads</t>
  </si>
  <si>
    <t>Capex (In INR Crore)</t>
  </si>
  <si>
    <t>Total Investment (In INR Crore)</t>
  </si>
  <si>
    <t xml:space="preserve">All Figures are in INR Crore </t>
  </si>
  <si>
    <t>Plant &amp; Machinery</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</si>
  <si>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</si>
  <si>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</si>
  <si>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</si>
  <si>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</si>
  <si>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</si>
  <si>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</si>
  <si>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</si>
  <si>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</si>
  <si>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</si>
  <si>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</si>
  <si>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</si>
  <si>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</si>
  <si>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</si>
  <si>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</si>
  <si>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</si>
  <si>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</si>
  <si>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</si>
  <si>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</si>
  <si>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</si>
  <si>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</si>
  <si>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</si>
  <si>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</si>
  <si>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</si>
  <si>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</si>
  <si>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</si>
  <si>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</si>
  <si>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</si>
  <si>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</si>
  <si>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</si>
  <si>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</si>
  <si>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</si>
  <si>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</si>
  <si>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</si>
  <si>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</si>
  <si>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</si>
  <si>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</si>
  <si>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</si>
  <si>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</si>
  <si>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</si>
  <si>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</si>
  <si>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</si>
  <si>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</si>
  <si>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Actual</t>
  </si>
  <si>
    <t>Chemical Products' Price</t>
  </si>
  <si>
    <t>Derived</t>
  </si>
  <si>
    <t>Tonnes</t>
  </si>
  <si>
    <t>Boiler Feed Water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</si>
  <si>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</si>
  <si>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</si>
  <si>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</si>
  <si>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</si>
  <si>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</si>
  <si>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</si>
  <si>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</si>
  <si>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</si>
  <si>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</si>
  <si>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</si>
  <si>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</si>
  <si>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</si>
  <si>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</si>
  <si>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</si>
  <si>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</si>
  <si>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Gross Margin (EBITDA/PBITDA)</t>
  </si>
  <si>
    <t>Inflation (after adjustment of dollar appreciation)</t>
  </si>
  <si>
    <t xml:space="preserve">Unit </t>
  </si>
  <si>
    <t>Break Even Point (at optimum capacity utilization)</t>
  </si>
  <si>
    <t>Year of Operation</t>
  </si>
  <si>
    <t>Total  Cost of Sales</t>
  </si>
  <si>
    <t>Gross Profit</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</si>
  <si>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</si>
  <si>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</si>
  <si>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</si>
  <si>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</si>
  <si>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</si>
  <si>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</si>
  <si>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</si>
  <si>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</si>
  <si>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</si>
  <si>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</si>
  <si>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</si>
  <si>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</si>
  <si>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</si>
  <si>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</si>
  <si>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</si>
  <si>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</si>
  <si>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</si>
  <si>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</si>
  <si>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</si>
  <si>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</si>
  <si>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</si>
  <si>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</si>
  <si>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</si>
  <si>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</si>
  <si>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</si>
  <si>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</si>
  <si>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</si>
  <si>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</si>
  <si>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</si>
  <si>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</si>
  <si>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</si>
  <si>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</si>
  <si>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</si>
  <si>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</si>
  <si>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</si>
  <si>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</si>
  <si>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</si>
  <si>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</si>
  <si>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</si>
  <si>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</si>
  <si>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</si>
  <si>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</si>
  <si>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</si>
  <si>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</si>
  <si>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</si>
  <si>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</si>
  <si>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</si>
  <si>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</si>
  <si>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</si>
  <si>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</si>
  <si>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</si>
  <si>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</si>
  <si>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</si>
  <si>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</si>
  <si>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</si>
  <si>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</si>
  <si>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</si>
  <si>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</si>
  <si>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</si>
  <si>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</si>
  <si>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</si>
  <si>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</si>
  <si>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</si>
  <si>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</si>
  <si>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</si>
  <si>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</si>
  <si>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</si>
  <si>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</si>
  <si>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</si>
  <si>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</si>
  <si>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</si>
  <si>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</si>
  <si>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</si>
  <si>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</si>
  <si>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</si>
  <si>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</si>
  <si>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</si>
  <si>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</si>
  <si>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</si>
  <si>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</si>
  <si>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</si>
  <si>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</si>
  <si>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</si>
  <si>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</si>
  <si>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Annual Sales Revenue @ 100 Percent Capacity Utilization</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</si>
  <si>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</si>
  <si>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</si>
  <si>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</si>
  <si>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</si>
  <si>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</si>
  <si>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</si>
  <si>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</si>
  <si>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</si>
  <si>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</si>
  <si>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</si>
  <si>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</si>
  <si>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</si>
  <si>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</si>
  <si>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</si>
  <si>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</si>
  <si>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</si>
  <si>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</si>
  <si>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</si>
  <si>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</si>
  <si>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</si>
  <si>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</si>
  <si>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</si>
  <si>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</si>
  <si>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</si>
  <si>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</si>
  <si>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</si>
  <si>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</si>
  <si>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</si>
  <si>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</si>
  <si>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</si>
  <si>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</si>
  <si>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</si>
  <si>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</si>
  <si>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</si>
  <si>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</si>
  <si>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</si>
  <si>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</si>
  <si>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</si>
  <si>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</si>
  <si>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</si>
  <si>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</si>
  <si>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</si>
  <si>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</si>
  <si>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</si>
  <si>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</si>
  <si>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</si>
  <si>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</si>
  <si>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</si>
  <si>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</si>
  <si>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</si>
  <si>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</si>
  <si>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</si>
  <si>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average of this item is not required</t>
  </si>
  <si>
    <t>This sheet may not be necessary, "Norms" sheet can be directly linked to other worksheets.</t>
  </si>
  <si>
    <t>Interest cost not mentioned??</t>
  </si>
  <si>
    <t>Annual Sales</t>
  </si>
  <si>
    <t>For Hazira</t>
  </si>
  <si>
    <t> (Rs/MT NH3)</t>
  </si>
  <si>
    <t>2021-22</t>
  </si>
  <si>
    <t>For Shahjahanpur</t>
  </si>
  <si>
    <t xml:space="preserve">(Rs/MT NH3) </t>
  </si>
  <si>
    <t xml:space="preserve">Variable Cost </t>
  </si>
  <si>
    <t>Fixed  Cost</t>
  </si>
  <si>
    <t>Maintenance and repairs (2.0% of fixed-capital investment)(Capex)</t>
  </si>
  <si>
    <t>Varaible Cost</t>
  </si>
  <si>
    <t>Fixed Cost</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</si>
  <si>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</si>
  <si>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</si>
  <si>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</si>
  <si>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</si>
  <si>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</si>
  <si>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</si>
  <si>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</si>
  <si>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</si>
  <si>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Long Term Loans</t>
  </si>
  <si>
    <t>Moratorium</t>
  </si>
  <si>
    <t>Tenure</t>
  </si>
  <si>
    <t>Loan</t>
  </si>
  <si>
    <t>Annual Installment</t>
  </si>
  <si>
    <t>-2 (6 Months Equity)</t>
  </si>
  <si>
    <t>Loan Repayment</t>
  </si>
  <si>
    <t>Loan Outstanding</t>
  </si>
  <si>
    <t>Total cost</t>
  </si>
  <si>
    <t>Years</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</si>
  <si>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</si>
  <si>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</si>
  <si>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</si>
  <si>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</si>
  <si>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</si>
  <si>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</si>
  <si>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</si>
  <si>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</si>
  <si>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</si>
  <si>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</si>
  <si>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</si>
  <si>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</si>
  <si>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</si>
  <si>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</si>
  <si>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</si>
  <si>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</si>
  <si>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</si>
  <si>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</si>
  <si>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</si>
  <si>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</si>
  <si>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</si>
  <si>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</si>
  <si>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</si>
  <si>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</si>
  <si>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</si>
  <si>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</si>
  <si>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</si>
  <si>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</si>
  <si>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</si>
  <si>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</si>
  <si>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</si>
  <si>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</si>
  <si>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</si>
  <si>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</si>
  <si>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Ammonia</t>
  </si>
  <si>
    <t>SL.</t>
  </si>
  <si>
    <t>Item</t>
  </si>
  <si>
    <t>2</t>
  </si>
  <si>
    <t>3</t>
  </si>
  <si>
    <t>4</t>
  </si>
  <si>
    <t>5</t>
  </si>
  <si>
    <t>6</t>
  </si>
  <si>
    <t>7</t>
  </si>
  <si>
    <t>8</t>
  </si>
  <si>
    <t>9</t>
  </si>
  <si>
    <t>10</t>
  </si>
  <si>
    <t>11</t>
  </si>
  <si>
    <t>12</t>
  </si>
  <si>
    <t>13</t>
  </si>
  <si>
    <t>14</t>
  </si>
  <si>
    <t>15</t>
  </si>
  <si>
    <t>NO.</t>
  </si>
  <si>
    <t>ASSETS</t>
  </si>
  <si>
    <t>LIABILITIES</t>
  </si>
  <si>
    <t>Retained Earnings</t>
  </si>
  <si>
    <t>Working Capital Margin</t>
  </si>
  <si>
    <t>Income bef. Depr.,Int.&amp; Taxes</t>
  </si>
  <si>
    <t>Interest LT loan</t>
  </si>
  <si>
    <t xml:space="preserve">Depreciation </t>
  </si>
  <si>
    <t>Taxes on Income</t>
  </si>
  <si>
    <t>Profit after Tax</t>
  </si>
  <si>
    <t>EBIDTA%</t>
  </si>
  <si>
    <t>CASH FLOW STATEMENT</t>
  </si>
  <si>
    <t>Construction Period</t>
  </si>
  <si>
    <t>Sl.No.</t>
  </si>
  <si>
    <t>1</t>
  </si>
  <si>
    <t>SOURCE OF FUNDS</t>
  </si>
  <si>
    <t>Increase in LT Loan</t>
  </si>
  <si>
    <t>TOTAL (A)</t>
  </si>
  <si>
    <t>APPLICATION OF FUNDS</t>
  </si>
  <si>
    <t>Cost of Construction</t>
  </si>
  <si>
    <t>Interest on LT Loan</t>
  </si>
  <si>
    <t>TOTAL (B)</t>
  </si>
  <si>
    <t>C</t>
  </si>
  <si>
    <t>Cash surplus for period</t>
  </si>
  <si>
    <t>D</t>
  </si>
  <si>
    <t>INCOME TAX CALCULATION</t>
  </si>
  <si>
    <t>16</t>
  </si>
  <si>
    <t>17</t>
  </si>
  <si>
    <t>18</t>
  </si>
  <si>
    <t>Profit before Tax</t>
  </si>
  <si>
    <t>Add - Dep.as per Books</t>
  </si>
  <si>
    <t>Less - Depreciation for 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</si>
  <si>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</si>
  <si>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</si>
  <si>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</si>
  <si>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</si>
  <si>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</si>
  <si>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</si>
  <si>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</si>
  <si>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</si>
  <si>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</si>
  <si>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</si>
  <si>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</si>
  <si>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</si>
  <si>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</si>
  <si>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</si>
  <si>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</si>
  <si>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</si>
  <si>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</si>
  <si>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</si>
  <si>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</si>
  <si>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</si>
  <si>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</si>
  <si>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</si>
  <si>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</si>
  <si>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</si>
  <si>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</si>
  <si>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</si>
  <si>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</si>
  <si>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</si>
  <si>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</si>
  <si>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</si>
  <si>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</si>
  <si>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</si>
  <si>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</si>
  <si>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</si>
  <si>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</si>
  <si>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</si>
  <si>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</si>
  <si>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</si>
  <si>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</si>
  <si>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Equity IRR</t>
  </si>
  <si>
    <t>Project IRR</t>
  </si>
  <si>
    <t>WNA production</t>
  </si>
  <si>
    <t>%</t>
  </si>
  <si>
    <t>Capacity Utilisation</t>
  </si>
  <si>
    <t>OSBL Facilities</t>
  </si>
  <si>
    <t>Cooling Tower</t>
  </si>
  <si>
    <t>STG for power generation</t>
  </si>
  <si>
    <t>Storage tanks-WNA</t>
  </si>
  <si>
    <t>Storage tank-AN</t>
  </si>
  <si>
    <t>Instrument air package</t>
  </si>
  <si>
    <t>Sl No.</t>
  </si>
  <si>
    <t>Capacity</t>
  </si>
  <si>
    <t>Cost, Rs Cr.</t>
  </si>
  <si>
    <t>M3/hr</t>
  </si>
  <si>
    <t>MW</t>
  </si>
  <si>
    <t>NM3/hr</t>
  </si>
  <si>
    <t>Units</t>
  </si>
  <si>
    <t>Rs/m3</t>
  </si>
  <si>
    <t>DM water/BFW water</t>
  </si>
  <si>
    <t>Process water/Treated water/cooling water make up</t>
  </si>
  <si>
    <t>Sub-Total</t>
  </si>
  <si>
    <t>gm/MT</t>
  </si>
  <si>
    <t>Platinum catalyst loss</t>
  </si>
  <si>
    <t>Platinum catalyst</t>
  </si>
  <si>
    <t>INR/gm</t>
  </si>
  <si>
    <t>Chemicals</t>
  </si>
  <si>
    <t>INR lakhs</t>
  </si>
  <si>
    <t>Pt-Rh Catalyst guaze</t>
  </si>
  <si>
    <t>Administrative Overhead @25% of salary &amp; wages</t>
  </si>
  <si>
    <t xml:space="preserve">Plant Overhead and Administrative Costs </t>
  </si>
  <si>
    <t>Total  Production Cost-AN</t>
  </si>
  <si>
    <t>Total  Production Cost- WNA</t>
  </si>
  <si>
    <t>AN Production</t>
  </si>
  <si>
    <t>Construction Period Months</t>
  </si>
  <si>
    <t>Interest Rate (Term Loan)</t>
  </si>
  <si>
    <t>Cumulative</t>
  </si>
  <si>
    <t>Cumultive</t>
  </si>
  <si>
    <t>Phasing</t>
  </si>
  <si>
    <t>Half yearly</t>
  </si>
  <si>
    <t>First half yr</t>
  </si>
  <si>
    <t>Secod half yr</t>
  </si>
  <si>
    <t>Third half yr</t>
  </si>
  <si>
    <t>Fourth half yr</t>
  </si>
  <si>
    <t>Project cost with out IDC</t>
  </si>
  <si>
    <t>Rs lakhs</t>
  </si>
  <si>
    <t>Rs Lakhs</t>
  </si>
  <si>
    <t>Debt:Equity</t>
  </si>
  <si>
    <t>Balance</t>
  </si>
  <si>
    <t>Half yrly</t>
  </si>
  <si>
    <t>Total project cost with IDC</t>
  </si>
  <si>
    <t>Book</t>
  </si>
  <si>
    <t>IT</t>
  </si>
  <si>
    <t>Miscellaneous</t>
  </si>
  <si>
    <t>Civil Works-building &amp; site development</t>
  </si>
  <si>
    <t xml:space="preserve"> Total Depreciation</t>
  </si>
  <si>
    <t>Stream days</t>
  </si>
  <si>
    <t>Working Capital Requirement</t>
  </si>
  <si>
    <t xml:space="preserve">Total Working Capital Requirement </t>
  </si>
  <si>
    <t>Sources of Working Capital</t>
  </si>
  <si>
    <t xml:space="preserve"> Increase in the Margin Money</t>
  </si>
  <si>
    <t>Working Capital Loan (75% of WC)</t>
  </si>
  <si>
    <t>Increase in Working Capital loan</t>
  </si>
  <si>
    <t xml:space="preserve">Receivables </t>
  </si>
  <si>
    <t>Inventory -Finished products-WNA, no inventory for AN</t>
  </si>
  <si>
    <t>Inventory -Ammonia</t>
  </si>
  <si>
    <t>Credit from KFL-Ammonia</t>
  </si>
  <si>
    <t>WNA sales qty (MT)</t>
  </si>
  <si>
    <t>Variable Cost- WNA &amp; AN</t>
  </si>
  <si>
    <t>Fixed Cost- WNA &amp; AN</t>
  </si>
  <si>
    <t>Insurance (0.5% of project cost)</t>
  </si>
  <si>
    <t>WORKING CAPITAL REQUIREMENT</t>
  </si>
  <si>
    <t>Fixed cost (Salary &amp; wages, RM etc)</t>
  </si>
  <si>
    <t>Margin Money for Working Capital (25%)</t>
  </si>
  <si>
    <t>Interest of long term loan</t>
  </si>
  <si>
    <t>Interest on short term loan</t>
  </si>
  <si>
    <t>Interest (Rs Cr.)</t>
  </si>
  <si>
    <t>-2</t>
  </si>
  <si>
    <t>Profit for Taxation</t>
  </si>
  <si>
    <t>-</t>
  </si>
  <si>
    <t>WC Margin Money Return</t>
  </si>
  <si>
    <t>Add Book Depreciation</t>
  </si>
  <si>
    <t>Add Interest on Term Loan</t>
  </si>
  <si>
    <t>IRR on Project (Post Tax)</t>
  </si>
  <si>
    <t>Check</t>
  </si>
  <si>
    <t>Project NPV</t>
  </si>
  <si>
    <t>Net Equity Cash Flow</t>
  </si>
  <si>
    <t>Interest Payment On Term Loan</t>
  </si>
  <si>
    <t>Term Loan  Repayment</t>
  </si>
  <si>
    <t>Lenders Fund Requirement</t>
  </si>
  <si>
    <t>Funds Available</t>
  </si>
  <si>
    <t>Ratio</t>
  </si>
  <si>
    <t xml:space="preserve">Average DSCR </t>
  </si>
  <si>
    <t>Working Capital Margin Money increase</t>
  </si>
  <si>
    <t>WC Loans Outstanding Return</t>
  </si>
  <si>
    <t>Project cost</t>
  </si>
  <si>
    <t>Less : Term Loan repayment</t>
  </si>
  <si>
    <t>Depreciation provision</t>
  </si>
  <si>
    <t>Increase in ST (WC) Loan</t>
  </si>
  <si>
    <t>Increase in Working Capital</t>
  </si>
  <si>
    <t>Repayment of LT loans</t>
  </si>
  <si>
    <t>Interest on WC loan</t>
  </si>
  <si>
    <t>Provision for Tax</t>
  </si>
  <si>
    <t>Cumulative Cash at end of period</t>
  </si>
  <si>
    <t>Cash In Hand</t>
  </si>
  <si>
    <t>Projected Balance Sheet</t>
  </si>
  <si>
    <t>Promoters contribution- Equity</t>
  </si>
  <si>
    <t>Promoters contribution-Equity</t>
  </si>
  <si>
    <t xml:space="preserve">Long Term Loans </t>
  </si>
  <si>
    <t>WC loans</t>
  </si>
  <si>
    <t>Reserves &amp; Surplus (retained earnings)</t>
  </si>
  <si>
    <t>Gross Fixed assets</t>
  </si>
  <si>
    <t>Accu. Depreciation</t>
  </si>
  <si>
    <t xml:space="preserve">Net Fixed Asset </t>
  </si>
  <si>
    <t>Current Assets (WC)</t>
  </si>
  <si>
    <t>Check (Asset-Liabilities)</t>
  </si>
  <si>
    <t>IRR &amp; PAYBACK PERIOD</t>
  </si>
  <si>
    <t>INR Cr</t>
  </si>
  <si>
    <t>Terminal Value/salvage value @ 5%</t>
  </si>
  <si>
    <t>Net Project Cash Flow</t>
  </si>
  <si>
    <t>CAPEX less WC Margin</t>
  </si>
  <si>
    <t>IRR on Equity</t>
  </si>
  <si>
    <t>Rate</t>
  </si>
  <si>
    <t>Terminal Value /salvage value @ 5%</t>
  </si>
  <si>
    <t>DEPRECIATION CALCULATION</t>
  </si>
  <si>
    <t>Book Depreciation- SLM</t>
  </si>
  <si>
    <t>Depreciation for IT-WDV method</t>
  </si>
  <si>
    <t>Total Depreciation</t>
  </si>
  <si>
    <t>INR Cr.</t>
  </si>
  <si>
    <t>Interest on Working Capital  Loan</t>
  </si>
  <si>
    <t>GST Paid on Inputs</t>
  </si>
  <si>
    <t>Input Credit Available</t>
  </si>
  <si>
    <t>GST on Outputs</t>
  </si>
  <si>
    <t>ITC available over 5 years after commissioning</t>
  </si>
  <si>
    <t>ITC Carried Forward</t>
  </si>
  <si>
    <t>Calculation of Input Tax Credit on GST</t>
  </si>
  <si>
    <t>Input</t>
  </si>
  <si>
    <t>GST Rate</t>
  </si>
  <si>
    <t>Output</t>
  </si>
  <si>
    <t>AN</t>
  </si>
  <si>
    <t>GST Paid on Plant &amp; Machinery</t>
  </si>
  <si>
    <t>Total GST on products</t>
  </si>
  <si>
    <t>Calculation of ITC on GST</t>
  </si>
  <si>
    <t>Actual GST payable</t>
  </si>
  <si>
    <t>Total ITC available (GST on input+plant &amp; machinery)</t>
  </si>
  <si>
    <t>GST Collected on products Sales</t>
  </si>
  <si>
    <t>Net GST payable</t>
  </si>
  <si>
    <t>Project payback  period</t>
  </si>
  <si>
    <t>Cumulative cash flow</t>
  </si>
  <si>
    <t>Payback period</t>
  </si>
  <si>
    <t>Equity payback  period</t>
  </si>
  <si>
    <t>Cumulative equity cash flow</t>
  </si>
  <si>
    <t>Equity Payback period</t>
  </si>
  <si>
    <t>65 million USD</t>
  </si>
  <si>
    <t>Erection and foundation at 10% of plant machinery</t>
  </si>
  <si>
    <t>Case 1 :</t>
  </si>
  <si>
    <t xml:space="preserve">Project IRR </t>
  </si>
  <si>
    <t>Project Payback Period</t>
  </si>
  <si>
    <t>Equity Payback Period</t>
  </si>
  <si>
    <t>Raw Material Price Increases by 10%</t>
  </si>
  <si>
    <t>Gross Margin (%)</t>
  </si>
  <si>
    <t>PAT Margin (%)</t>
  </si>
  <si>
    <t>PBT Margin (%)</t>
  </si>
  <si>
    <t xml:space="preserve">Case 2: </t>
  </si>
  <si>
    <t>Project Cost decreases by 5%</t>
  </si>
  <si>
    <t>Case 3 :</t>
  </si>
  <si>
    <t xml:space="preserve">Selling Price increases by 10%	</t>
  </si>
  <si>
    <t>Salary and Wages</t>
  </si>
  <si>
    <t>2x115</t>
  </si>
  <si>
    <t>Sewage Treatment Plant</t>
  </si>
  <si>
    <t>KLD</t>
  </si>
  <si>
    <t>Effluent Treatment plant with ZLD facility</t>
  </si>
  <si>
    <t>M3/day</t>
  </si>
  <si>
    <t xml:space="preserve">Case 4: </t>
  </si>
  <si>
    <t>Current Selling Prices of Ammonium Nitrate and Weak Nitric Acid</t>
  </si>
  <si>
    <t>75127 MTPA Ammonium Nitrate Plant</t>
  </si>
  <si>
    <t>59125 MTPA Weak Nitric 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</si>
</sst>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 #,##0.00_ ;_ * \-#,##0.00_ ;_ * &quot;-&quot;??_ ;_ @_ "/>
    <numFmt numFmtId="164" formatCode="_(* #,##0.00_);_(* \(#,##0.00\);_(* &quot;-&quot;??_);_(@_)"/>
    <numFmt numFmtId="165" formatCode="_(* #,##0_);_(* \(#,##0\);_(* &quot;-&quot;??_);_(@_)"/>
    <numFmt numFmtId="166" formatCode="0.0"/>
    <numFmt numFmtId="167" formatCode="0.0%"/>
    <numFmt numFmtId="168" formatCode="_(* #,##0_);_(* \(#,##0\);_(* &quot;-&quot;_);@_)"/>
    <numFmt numFmtId="169" formatCode="0%_);\(0%\)"/>
    <numFmt numFmtId="170" formatCode="General_)"/>
    <numFmt numFmtId="171" formatCode="#,##0.0"/>
    <numFmt numFmtId="172" formatCode="0.00_)"/>
    <numFmt numFmtId="173" formatCode="0.0_)"/>
    <numFmt numFmtId="174" formatCode="0.000000_)"/>
    <numFmt numFmtId="175" formatCode=";;;"/>
    <numFmt numFmtId="176" formatCode="0.0000"/>
    <numFmt numFmtId="177" formatCode="0.000"/>
  </numFmts>
  <fonts count="62" x14ac:knownFonts="1">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sz val="10"/>
      <name val="Courier"/>
      <family val="3"/>
    </font>
    <font>
      <b/>
      <sz val="11"/>
      <name val="Calibri"/>
      <family val="2"/>
      <scheme val="minor"/>
    </font>
    <font>
      <sz val="10"/>
      <name val="Courier"/>
    </font>
    <font>
      <b/>
      <sz val="12"/>
      <name val="Arial"/>
      <family val="2"/>
    </font>
    <font>
      <b/>
      <sz val="11"/>
      <name val="Arial"/>
      <family val="2"/>
    </font>
    <font>
      <b/>
      <sz val="11"/>
      <color theme="1"/>
      <name val="Arial"/>
      <family val="2"/>
    </font>
    <font>
      <sz val="10"/>
      <name val="Calibri"/>
      <family val="2"/>
      <scheme val="minor"/>
    </font>
  </fonts>
  <fills count="23">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rgb="FF92D050"/>
        <bgColor indexed="64"/>
      </patternFill>
    </fill>
    <fill>
      <patternFill patternType="solid">
        <fgColor theme="7" tint="0.39997558519241921"/>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1">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164" fontId="1" fillId="0" borderId="0" applyFont="0" applyFill="0" applyBorder="0" applyAlignment="0" applyProtection="0"/>
    <xf numFmtId="0" fontId="1" fillId="0" borderId="0"/>
    <xf numFmtId="168" fontId="10" fillId="0" borderId="0"/>
    <xf numFmtId="0" fontId="16" fillId="5" borderId="0" applyNumberFormat="0" applyBorder="0" applyAlignment="0" applyProtection="0"/>
    <xf numFmtId="0" fontId="20" fillId="8" borderId="14" applyNumberFormat="0" applyAlignment="0" applyProtection="0"/>
    <xf numFmtId="0" fontId="22" fillId="9" borderId="17" applyNumberFormat="0" applyAlignment="0" applyProtection="0"/>
    <xf numFmtId="43" fontId="10" fillId="0" borderId="0" applyFont="0" applyFill="0" applyBorder="0" applyAlignment="0" applyProtection="0"/>
    <xf numFmtId="0" fontId="23" fillId="0" borderId="0" applyNumberFormat="0" applyFill="0" applyBorder="0" applyAlignment="0" applyProtection="0"/>
    <xf numFmtId="0" fontId="15" fillId="4" borderId="0" applyNumberFormat="0" applyBorder="0" applyAlignment="0" applyProtection="0"/>
    <xf numFmtId="49" fontId="12" fillId="0" borderId="19" applyFill="0" applyProtection="0">
      <alignment horizontal="right" wrapText="1"/>
    </xf>
    <xf numFmtId="49" fontId="13" fillId="0" borderId="0" applyProtection="0">
      <alignment wrapText="1"/>
    </xf>
    <xf numFmtId="49" fontId="14" fillId="0" borderId="20" applyFill="0" applyProtection="0">
      <alignment horizontal="right" wrapText="1"/>
    </xf>
    <xf numFmtId="49" fontId="14" fillId="0" borderId="0" applyProtection="0">
      <alignment wrapText="1"/>
    </xf>
    <xf numFmtId="0" fontId="29" fillId="0" borderId="0" applyNumberFormat="0" applyFill="0" applyBorder="0" applyAlignment="0" applyProtection="0">
      <alignment vertical="top"/>
      <protection locked="0"/>
    </xf>
    <xf numFmtId="0" fontId="18" fillId="7" borderId="14" applyNumberFormat="0" applyAlignment="0" applyProtection="0"/>
    <xf numFmtId="0" fontId="21" fillId="0" borderId="16" applyNumberFormat="0" applyFill="0" applyAlignment="0" applyProtection="0"/>
    <xf numFmtId="0" fontId="17" fillId="6" borderId="0" applyNumberFormat="0" applyBorder="0" applyAlignment="0" applyProtection="0"/>
    <xf numFmtId="0" fontId="1" fillId="0" borderId="0"/>
    <xf numFmtId="0" fontId="10" fillId="10" borderId="18" applyNumberFormat="0" applyAlignment="0" applyProtection="0"/>
    <xf numFmtId="0" fontId="19" fillId="8" borderId="15" applyNumberFormat="0" applyAlignment="0" applyProtection="0"/>
    <xf numFmtId="9" fontId="10" fillId="0" borderId="0" applyFont="0" applyFill="0" applyBorder="0" applyAlignment="0" applyProtection="0"/>
    <xf numFmtId="9" fontId="1" fillId="0" borderId="0" applyFont="0" applyFill="0" applyBorder="0" applyAlignment="0" applyProtection="0"/>
    <xf numFmtId="168" fontId="25" fillId="0" borderId="0" applyNumberFormat="0" applyFill="0" applyBorder="0" applyAlignment="0" applyProtection="0"/>
    <xf numFmtId="168" fontId="10" fillId="11" borderId="0" applyNumberFormat="0" applyFont="0" applyBorder="0" applyAlignment="0" applyProtection="0"/>
    <xf numFmtId="0" fontId="10" fillId="0" borderId="0" applyFill="0" applyBorder="0" applyProtection="0"/>
    <xf numFmtId="168" fontId="10" fillId="12" borderId="0" applyNumberFormat="0" applyFont="0" applyBorder="0" applyAlignment="0" applyProtection="0"/>
    <xf numFmtId="169" fontId="10" fillId="0" borderId="0" applyFill="0" applyBorder="0" applyAlignment="0" applyProtection="0"/>
    <xf numFmtId="0" fontId="26" fillId="0" borderId="0" applyNumberFormat="0" applyAlignment="0" applyProtection="0"/>
    <xf numFmtId="0" fontId="25" fillId="0" borderId="19" applyFill="0" applyProtection="0">
      <alignment horizontal="left" wrapText="1"/>
    </xf>
    <xf numFmtId="0" fontId="25" fillId="0" borderId="0" applyFill="0" applyProtection="0">
      <alignment wrapText="1"/>
    </xf>
    <xf numFmtId="0" fontId="25" fillId="0" borderId="23" applyFill="0" applyProtection="0">
      <alignment wrapText="1"/>
    </xf>
    <xf numFmtId="168" fontId="27" fillId="0" borderId="22" applyNumberFormat="0" applyFill="0" applyAlignment="0" applyProtection="0"/>
    <xf numFmtId="0" fontId="28" fillId="0" borderId="0" applyAlignment="0" applyProtection="0"/>
    <xf numFmtId="0" fontId="27" fillId="0" borderId="21" applyNumberFormat="0" applyFill="0" applyAlignment="0" applyProtection="0"/>
    <xf numFmtId="49" fontId="11" fillId="0" borderId="0" applyAlignment="0" applyProtection="0"/>
    <xf numFmtId="0" fontId="24"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0" fillId="0" borderId="0"/>
    <xf numFmtId="168" fontId="10" fillId="0" borderId="0"/>
    <xf numFmtId="9" fontId="10" fillId="0" borderId="0" applyFont="0" applyFill="0" applyBorder="0" applyAlignment="0" applyProtection="0"/>
    <xf numFmtId="0" fontId="30" fillId="0" borderId="0"/>
    <xf numFmtId="0" fontId="3" fillId="0" borderId="0"/>
    <xf numFmtId="0" fontId="31" fillId="0" borderId="0" applyNumberFormat="0" applyFill="0" applyBorder="0" applyProtection="0">
      <alignment vertical="top" wrapText="1"/>
    </xf>
    <xf numFmtId="0" fontId="3" fillId="0" borderId="0"/>
    <xf numFmtId="9" fontId="3" fillId="0" borderId="0" applyFont="0" applyFill="0" applyBorder="0" applyAlignment="0" applyProtection="0"/>
    <xf numFmtId="0" fontId="55" fillId="0" borderId="0"/>
    <xf numFmtId="0" fontId="3" fillId="0" borderId="0"/>
    <xf numFmtId="164" fontId="3" fillId="0" borderId="0" applyFont="0" applyFill="0" applyBorder="0" applyAlignment="0" applyProtection="0"/>
    <xf numFmtId="0" fontId="57" fillId="0" borderId="0"/>
    <xf numFmtId="0" fontId="57"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9" fontId="3" fillId="0" borderId="0" applyFont="0" applyFill="0" applyBorder="0" applyAlignment="0" applyProtection="0"/>
    <xf numFmtId="0" fontId="57" fillId="0" borderId="0"/>
    <xf numFmtId="0" fontId="55" fillId="0" borderId="0"/>
  </cellStyleXfs>
  <cellXfs count="754">
    <xf numFmtId="0" fontId="0" fillId="0" borderId="0" xfId="0"/>
    <xf numFmtId="0" fontId="2" fillId="0" borderId="0" xfId="0" applyFont="1"/>
    <xf numFmtId="165" fontId="3" fillId="0" borderId="0" xfId="1" applyNumberFormat="1" applyFont="1" applyBorder="1" applyAlignment="1">
      <alignment horizontal="center" vertical="center"/>
    </xf>
    <xf numFmtId="1" fontId="2" fillId="0" borderId="0" xfId="0" applyNumberFormat="1" applyFont="1" applyAlignment="1">
      <alignment horizontal="center" vertical="center"/>
    </xf>
    <xf numFmtId="165" fontId="5"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0" fontId="3" fillId="0" borderId="25" xfId="0" applyFont="1" applyBorder="1" applyAlignment="1" applyProtection="1">
      <alignment horizontal="center" vertical="center"/>
      <protection locked="0"/>
    </xf>
    <xf numFmtId="2" fontId="2" fillId="0" borderId="0" xfId="0" applyNumberFormat="1" applyFont="1" applyAlignment="1">
      <alignment horizontal="center"/>
    </xf>
    <xf numFmtId="2" fontId="5" fillId="0" borderId="0" xfId="43" applyNumberFormat="1" applyFont="1" applyAlignment="1">
      <alignment horizontal="center" vertical="center"/>
    </xf>
    <xf numFmtId="0" fontId="3" fillId="0" borderId="0" xfId="43" applyAlignment="1">
      <alignment horizontal="center" vertical="center"/>
    </xf>
    <xf numFmtId="2" fontId="3" fillId="0" borderId="0" xfId="43" applyNumberFormat="1" applyAlignment="1">
      <alignment horizontal="center" vertical="center"/>
    </xf>
    <xf numFmtId="0" fontId="2" fillId="0" borderId="0" xfId="0" applyFont="1" applyAlignment="1">
      <alignment horizontal="center"/>
    </xf>
    <xf numFmtId="1" fontId="2" fillId="0" borderId="8" xfId="0" applyNumberFormat="1" applyFont="1" applyBorder="1" applyAlignment="1">
      <alignment horizontal="center"/>
    </xf>
    <xf numFmtId="2" fontId="8" fillId="0" borderId="0" xfId="0" applyNumberFormat="1" applyFont="1" applyAlignment="1">
      <alignment horizontal="center" vertical="center"/>
    </xf>
    <xf numFmtId="2" fontId="2" fillId="0" borderId="8" xfId="0" applyNumberFormat="1" applyFont="1" applyBorder="1" applyAlignment="1">
      <alignment horizontal="center"/>
    </xf>
    <xf numFmtId="2" fontId="6" fillId="0" borderId="1" xfId="0" applyNumberFormat="1" applyFont="1" applyBorder="1" applyAlignment="1">
      <alignment horizontal="center" vertical="center"/>
    </xf>
    <xf numFmtId="2" fontId="8" fillId="0" borderId="1" xfId="0" applyNumberFormat="1" applyFont="1" applyBorder="1" applyAlignment="1">
      <alignment horizontal="center"/>
    </xf>
    <xf numFmtId="2" fontId="6" fillId="0" borderId="8" xfId="0" applyNumberFormat="1" applyFont="1" applyBorder="1" applyAlignment="1">
      <alignment horizontal="center" vertical="center"/>
    </xf>
    <xf numFmtId="0" fontId="2" fillId="0" borderId="25" xfId="0" applyFont="1" applyBorder="1" applyAlignment="1">
      <alignment horizontal="center" vertical="center"/>
    </xf>
    <xf numFmtId="2" fontId="7" fillId="0" borderId="0" xfId="0" applyNumberFormat="1" applyFont="1" applyAlignment="1">
      <alignment horizontal="center" vertical="center"/>
    </xf>
    <xf numFmtId="3" fontId="7" fillId="0" borderId="0" xfId="0" applyNumberFormat="1" applyFont="1" applyAlignment="1">
      <alignment horizontal="center" vertical="center"/>
    </xf>
    <xf numFmtId="2" fontId="7" fillId="0" borderId="0" xfId="5" applyNumberFormat="1" applyFont="1" applyFill="1" applyBorder="1" applyAlignment="1">
      <alignment horizontal="center" vertical="center"/>
    </xf>
    <xf numFmtId="0" fontId="8" fillId="0" borderId="13" xfId="0" applyFont="1" applyBorder="1" applyAlignment="1">
      <alignment horizontal="center" vertical="center"/>
    </xf>
    <xf numFmtId="3" fontId="6" fillId="0" borderId="13" xfId="0" applyNumberFormat="1" applyFont="1" applyBorder="1" applyAlignment="1">
      <alignment horizontal="center" vertical="center"/>
    </xf>
    <xf numFmtId="2" fontId="6" fillId="0" borderId="13" xfId="0" applyNumberFormat="1" applyFont="1" applyBorder="1" applyAlignment="1">
      <alignment horizontal="center" vertical="center"/>
    </xf>
    <xf numFmtId="2" fontId="2" fillId="0" borderId="0" xfId="5" applyNumberFormat="1" applyFont="1" applyFill="1" applyBorder="1" applyAlignment="1">
      <alignment horizontal="center"/>
    </xf>
    <xf numFmtId="2" fontId="0" fillId="0" borderId="0" xfId="0" applyNumberFormat="1"/>
    <xf numFmtId="0" fontId="2" fillId="0" borderId="0" xfId="0" applyFont="1" applyAlignment="1">
      <alignment horizontal="left"/>
    </xf>
    <xf numFmtId="165" fontId="2" fillId="0" borderId="0" xfId="1" applyNumberFormat="1" applyFont="1" applyAlignment="1"/>
    <xf numFmtId="0" fontId="2" fillId="0" borderId="24" xfId="0" applyFont="1" applyBorder="1" applyAlignment="1">
      <alignment horizontal="center"/>
    </xf>
    <xf numFmtId="0" fontId="5"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Alignment="1" applyProtection="1">
      <alignment horizontal="center" vertical="center"/>
      <protection locked="0"/>
    </xf>
    <xf numFmtId="1" fontId="3" fillId="0" borderId="24" xfId="0" applyNumberFormat="1" applyFont="1" applyBorder="1" applyAlignment="1">
      <alignment horizontal="center" vertical="center"/>
    </xf>
    <xf numFmtId="0" fontId="5" fillId="0" borderId="25" xfId="41" applyFont="1" applyBorder="1" applyAlignment="1">
      <alignment horizontal="center" vertical="center"/>
    </xf>
    <xf numFmtId="9" fontId="3" fillId="0" borderId="0" xfId="41" applyNumberFormat="1" applyAlignment="1">
      <alignment horizontal="center" vertical="center"/>
    </xf>
    <xf numFmtId="0" fontId="5" fillId="0" borderId="0" xfId="41" applyFont="1" applyAlignment="1">
      <alignment horizontal="center" vertical="center"/>
    </xf>
    <xf numFmtId="0" fontId="5" fillId="0" borderId="24" xfId="41" applyFont="1" applyBorder="1" applyAlignment="1">
      <alignment horizontal="center" vertical="center"/>
    </xf>
    <xf numFmtId="0" fontId="5" fillId="0" borderId="10" xfId="41" applyFont="1" applyBorder="1" applyAlignment="1">
      <alignment horizontal="center" vertical="center"/>
    </xf>
    <xf numFmtId="0" fontId="5" fillId="0" borderId="25" xfId="43" applyFont="1" applyBorder="1" applyAlignment="1">
      <alignment vertical="center"/>
    </xf>
    <xf numFmtId="2" fontId="5" fillId="0" borderId="24" xfId="43" applyNumberFormat="1" applyFont="1" applyBorder="1" applyAlignment="1">
      <alignment horizontal="center" vertical="center"/>
    </xf>
    <xf numFmtId="0" fontId="3" fillId="0" borderId="24" xfId="43" applyBorder="1" applyAlignment="1">
      <alignment horizontal="center" vertical="center"/>
    </xf>
    <xf numFmtId="0" fontId="3" fillId="0" borderId="25" xfId="43" applyBorder="1" applyAlignment="1">
      <alignment vertical="center"/>
    </xf>
    <xf numFmtId="2" fontId="3" fillId="0" borderId="24" xfId="43" applyNumberFormat="1" applyBorder="1" applyAlignment="1">
      <alignment horizontal="center" vertical="center"/>
    </xf>
    <xf numFmtId="0" fontId="5" fillId="0" borderId="25" xfId="43" applyFont="1" applyBorder="1" applyAlignment="1">
      <alignment horizontal="center" vertical="center"/>
    </xf>
    <xf numFmtId="0" fontId="5" fillId="0" borderId="10" xfId="43" applyFont="1" applyBorder="1" applyAlignment="1">
      <alignment vertical="center"/>
    </xf>
    <xf numFmtId="10" fontId="5" fillId="0" borderId="11" xfId="51" applyNumberFormat="1" applyFont="1" applyBorder="1" applyAlignment="1">
      <alignment horizontal="center" vertical="center"/>
    </xf>
    <xf numFmtId="2" fontId="3" fillId="0" borderId="0" xfId="43" applyNumberFormat="1"/>
    <xf numFmtId="0" fontId="33" fillId="0" borderId="0" xfId="43" applyFont="1" applyAlignment="1">
      <alignment vertical="center"/>
    </xf>
    <xf numFmtId="0" fontId="33" fillId="0" borderId="24" xfId="43" applyFont="1" applyBorder="1" applyAlignment="1">
      <alignment vertical="center"/>
    </xf>
    <xf numFmtId="10" fontId="5" fillId="0" borderId="1" xfId="51" applyNumberFormat="1" applyFont="1" applyBorder="1" applyAlignment="1">
      <alignment horizontal="center" vertical="center"/>
    </xf>
    <xf numFmtId="0" fontId="3" fillId="0" borderId="0" xfId="43" applyAlignment="1">
      <alignment horizontal="center"/>
    </xf>
    <xf numFmtId="0" fontId="3" fillId="0" borderId="24" xfId="43" applyBorder="1" applyAlignment="1">
      <alignment horizontal="center"/>
    </xf>
    <xf numFmtId="0" fontId="3" fillId="0" borderId="5" xfId="43" applyBorder="1" applyAlignment="1">
      <alignment horizontal="center"/>
    </xf>
    <xf numFmtId="0" fontId="3" fillId="0" borderId="12" xfId="43" applyBorder="1" applyAlignment="1">
      <alignment horizontal="center"/>
    </xf>
    <xf numFmtId="2" fontId="3" fillId="0" borderId="0" xfId="41" applyNumberFormat="1" applyAlignment="1">
      <alignment horizontal="center" vertical="center"/>
    </xf>
    <xf numFmtId="2" fontId="3" fillId="0" borderId="24" xfId="41" applyNumberFormat="1" applyBorder="1" applyAlignment="1">
      <alignment horizontal="center" vertical="center"/>
    </xf>
    <xf numFmtId="2" fontId="3" fillId="0" borderId="1" xfId="41" applyNumberFormat="1" applyBorder="1" applyAlignment="1">
      <alignment horizontal="center" vertical="center"/>
    </xf>
    <xf numFmtId="2" fontId="3" fillId="0" borderId="11" xfId="41" applyNumberFormat="1" applyBorder="1" applyAlignment="1">
      <alignment horizontal="center" vertical="center"/>
    </xf>
    <xf numFmtId="0" fontId="2" fillId="0" borderId="10" xfId="0" applyFont="1" applyBorder="1" applyAlignment="1">
      <alignment horizontal="center" vertical="center"/>
    </xf>
    <xf numFmtId="9" fontId="0" fillId="0" borderId="0" xfId="3" applyFont="1"/>
    <xf numFmtId="0" fontId="5" fillId="0" borderId="5" xfId="0" applyFont="1" applyBorder="1" applyAlignment="1">
      <alignment horizontal="center" vertical="center"/>
    </xf>
    <xf numFmtId="0" fontId="8" fillId="0" borderId="1" xfId="0" applyFont="1" applyBorder="1"/>
    <xf numFmtId="2" fontId="3" fillId="0" borderId="0" xfId="41" applyNumberFormat="1" applyAlignment="1">
      <alignment vertical="center"/>
    </xf>
    <xf numFmtId="2" fontId="5" fillId="0" borderId="0" xfId="41" applyNumberFormat="1" applyFont="1" applyAlignment="1">
      <alignment vertical="center"/>
    </xf>
    <xf numFmtId="0" fontId="5" fillId="0" borderId="25" xfId="41" applyFont="1" applyBorder="1" applyAlignment="1">
      <alignment vertical="center"/>
    </xf>
    <xf numFmtId="0" fontId="3" fillId="0" borderId="25" xfId="41" applyBorder="1" applyAlignment="1">
      <alignment vertical="center"/>
    </xf>
    <xf numFmtId="2" fontId="3" fillId="0" borderId="24" xfId="41" applyNumberFormat="1" applyBorder="1" applyAlignment="1">
      <alignment vertical="center"/>
    </xf>
    <xf numFmtId="2" fontId="5" fillId="0" borderId="24" xfId="41" applyNumberFormat="1" applyFont="1" applyBorder="1" applyAlignment="1">
      <alignment vertical="center"/>
    </xf>
    <xf numFmtId="0" fontId="5" fillId="0" borderId="10" xfId="41" applyFont="1" applyBorder="1" applyAlignment="1">
      <alignment vertical="center"/>
    </xf>
    <xf numFmtId="2" fontId="5" fillId="0" borderId="1" xfId="41" applyNumberFormat="1" applyFont="1" applyBorder="1" applyAlignment="1">
      <alignment vertical="center"/>
    </xf>
    <xf numFmtId="0" fontId="3" fillId="0" borderId="1" xfId="41" applyBorder="1" applyAlignment="1">
      <alignment vertical="center"/>
    </xf>
    <xf numFmtId="0" fontId="3" fillId="0" borderId="11" xfId="41" applyBorder="1" applyAlignment="1">
      <alignment vertical="center"/>
    </xf>
    <xf numFmtId="1" fontId="0" fillId="0" borderId="0" xfId="0" applyNumberFormat="1"/>
    <xf numFmtId="2" fontId="37" fillId="0" borderId="0" xfId="3" applyNumberFormat="1" applyFont="1" applyAlignment="1">
      <alignment horizontal="center"/>
    </xf>
    <xf numFmtId="4" fontId="2" fillId="0" borderId="0" xfId="0" applyNumberFormat="1" applyFont="1"/>
    <xf numFmtId="0" fontId="9" fillId="15" borderId="8"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38" fillId="15" borderId="2" xfId="0" applyFont="1" applyFill="1" applyBorder="1" applyAlignment="1">
      <alignment horizontal="center"/>
    </xf>
    <xf numFmtId="0" fontId="0" fillId="0" borderId="12" xfId="0" applyBorder="1"/>
    <xf numFmtId="0" fontId="41" fillId="0" borderId="0" xfId="0" applyFont="1" applyAlignment="1">
      <alignment horizontal="left"/>
    </xf>
    <xf numFmtId="2" fontId="2" fillId="0" borderId="0" xfId="0" applyNumberFormat="1" applyFont="1" applyAlignment="1">
      <alignment horizontal="left"/>
    </xf>
    <xf numFmtId="0" fontId="0" fillId="13" borderId="0" xfId="0" applyFill="1"/>
    <xf numFmtId="0" fontId="2" fillId="13" borderId="0" xfId="0" applyFont="1" applyFill="1" applyAlignment="1">
      <alignment horizontal="center"/>
    </xf>
    <xf numFmtId="0" fontId="2" fillId="13" borderId="0" xfId="0" applyFont="1" applyFill="1"/>
    <xf numFmtId="2" fontId="2" fillId="13" borderId="0" xfId="0" applyNumberFormat="1" applyFont="1" applyFill="1" applyAlignment="1">
      <alignment horizontal="center"/>
    </xf>
    <xf numFmtId="2" fontId="6" fillId="13" borderId="0" xfId="0" applyNumberFormat="1" applyFont="1" applyFill="1" applyAlignment="1">
      <alignment horizontal="center" vertical="center"/>
    </xf>
    <xf numFmtId="0" fontId="8" fillId="13" borderId="0" xfId="0" applyFont="1" applyFill="1"/>
    <xf numFmtId="0" fontId="39" fillId="15" borderId="7" xfId="0" applyFont="1" applyFill="1" applyBorder="1" applyAlignment="1">
      <alignment horizontal="center"/>
    </xf>
    <xf numFmtId="0" fontId="39" fillId="15" borderId="8" xfId="0" applyFont="1" applyFill="1" applyBorder="1" applyAlignment="1">
      <alignment horizontal="center"/>
    </xf>
    <xf numFmtId="0" fontId="39" fillId="15" borderId="9" xfId="0" applyFont="1" applyFill="1" applyBorder="1" applyAlignment="1">
      <alignment horizontal="center"/>
    </xf>
    <xf numFmtId="0" fontId="39" fillId="15" borderId="2" xfId="0" applyFont="1" applyFill="1" applyBorder="1" applyAlignment="1">
      <alignment horizontal="center"/>
    </xf>
    <xf numFmtId="0" fontId="39" fillId="15" borderId="13" xfId="0" applyFont="1" applyFill="1" applyBorder="1" applyAlignment="1">
      <alignment horizontal="center"/>
    </xf>
    <xf numFmtId="166" fontId="39" fillId="15" borderId="6" xfId="0" applyNumberFormat="1" applyFont="1" applyFill="1" applyBorder="1" applyAlignment="1">
      <alignment horizontal="center"/>
    </xf>
    <xf numFmtId="0" fontId="9" fillId="15" borderId="8" xfId="4" applyFont="1" applyFill="1" applyBorder="1" applyAlignment="1">
      <alignment horizontal="center" vertical="center" wrapText="1"/>
    </xf>
    <xf numFmtId="0" fontId="39" fillId="15" borderId="0" xfId="0" applyFont="1" applyFill="1" applyAlignment="1">
      <alignment horizontal="center" vertical="center"/>
    </xf>
    <xf numFmtId="0" fontId="9" fillId="15" borderId="2" xfId="0" applyFont="1" applyFill="1" applyBorder="1" applyAlignment="1">
      <alignment vertical="center"/>
    </xf>
    <xf numFmtId="0" fontId="9" fillId="15" borderId="3" xfId="0" applyFont="1" applyFill="1" applyBorder="1" applyAlignment="1">
      <alignment horizontal="center"/>
    </xf>
    <xf numFmtId="1" fontId="9" fillId="15" borderId="6" xfId="0" applyNumberFormat="1" applyFont="1" applyFill="1" applyBorder="1" applyAlignment="1">
      <alignment horizontal="center" vertical="center"/>
    </xf>
    <xf numFmtId="1" fontId="9" fillId="15" borderId="13" xfId="0" applyNumberFormat="1" applyFont="1" applyFill="1" applyBorder="1" applyAlignment="1">
      <alignment horizontal="center"/>
    </xf>
    <xf numFmtId="2" fontId="9" fillId="15" borderId="1" xfId="4" applyNumberFormat="1" applyFont="1" applyFill="1" applyBorder="1" applyAlignment="1">
      <alignment horizontal="center" vertical="center"/>
    </xf>
    <xf numFmtId="2" fontId="9" fillId="15" borderId="1" xfId="4" applyNumberFormat="1" applyFont="1" applyFill="1" applyBorder="1" applyAlignment="1">
      <alignment horizontal="center" vertical="center" wrapText="1"/>
    </xf>
    <xf numFmtId="0" fontId="9" fillId="15" borderId="8" xfId="4" applyFont="1" applyFill="1" applyBorder="1" applyAlignment="1">
      <alignment vertical="center"/>
    </xf>
    <xf numFmtId="0" fontId="9" fillId="15" borderId="0" xfId="4" applyNumberFormat="1" applyFont="1" applyFill="1" applyBorder="1" applyAlignment="1">
      <alignment horizontal="center" vertical="center"/>
    </xf>
    <xf numFmtId="2" fontId="9" fillId="15" borderId="1" xfId="0" applyNumberFormat="1" applyFont="1" applyFill="1" applyBorder="1" applyAlignment="1">
      <alignment horizontal="center" vertical="center"/>
    </xf>
    <xf numFmtId="0" fontId="3" fillId="17" borderId="0" xfId="41" applyFill="1"/>
    <xf numFmtId="0" fontId="5" fillId="17" borderId="0" xfId="41" applyFont="1" applyFill="1" applyAlignment="1">
      <alignment horizontal="center"/>
    </xf>
    <xf numFmtId="0" fontId="5" fillId="17" borderId="0" xfId="41" applyFont="1" applyFill="1"/>
    <xf numFmtId="2" fontId="5" fillId="17" borderId="0" xfId="41" applyNumberFormat="1" applyFont="1" applyFill="1"/>
    <xf numFmtId="0" fontId="3" fillId="17" borderId="0" xfId="41" applyFill="1" applyAlignment="1">
      <alignment vertical="center"/>
    </xf>
    <xf numFmtId="2" fontId="3" fillId="17" borderId="0" xfId="41" applyNumberFormat="1" applyFill="1"/>
    <xf numFmtId="166" fontId="3" fillId="17" borderId="0" xfId="41" applyNumberFormat="1" applyFill="1"/>
    <xf numFmtId="0" fontId="3" fillId="17" borderId="0" xfId="41" applyFill="1" applyAlignment="1">
      <alignment horizontal="center"/>
    </xf>
    <xf numFmtId="0" fontId="5" fillId="17" borderId="0" xfId="41" applyFont="1" applyFill="1" applyAlignment="1">
      <alignment horizontal="center" vertical="center"/>
    </xf>
    <xf numFmtId="0" fontId="3" fillId="17" borderId="0" xfId="41" applyFill="1" applyAlignment="1">
      <alignment horizontal="center" vertical="center"/>
    </xf>
    <xf numFmtId="166" fontId="3" fillId="17" borderId="0" xfId="41" applyNumberFormat="1" applyFill="1" applyAlignment="1">
      <alignment horizontal="center" vertical="center"/>
    </xf>
    <xf numFmtId="166" fontId="3" fillId="17" borderId="0" xfId="41" applyNumberFormat="1" applyFill="1" applyAlignment="1">
      <alignment horizontal="center"/>
    </xf>
    <xf numFmtId="0" fontId="33" fillId="17" borderId="0" xfId="43" applyFont="1" applyFill="1"/>
    <xf numFmtId="0" fontId="3" fillId="17" borderId="0" xfId="43" applyFill="1"/>
    <xf numFmtId="2" fontId="35" fillId="17" borderId="0" xfId="43" applyNumberFormat="1" applyFont="1" applyFill="1"/>
    <xf numFmtId="2" fontId="3" fillId="17" borderId="0" xfId="43" applyNumberFormat="1" applyFill="1"/>
    <xf numFmtId="0" fontId="33" fillId="17" borderId="0" xfId="43" applyFont="1" applyFill="1" applyAlignment="1">
      <alignment vertical="center"/>
    </xf>
    <xf numFmtId="2" fontId="34" fillId="17" borderId="0" xfId="43" applyNumberFormat="1" applyFont="1" applyFill="1" applyAlignment="1">
      <alignment vertical="center"/>
    </xf>
    <xf numFmtId="166" fontId="3" fillId="17" borderId="0" xfId="43" applyNumberFormat="1" applyFill="1"/>
    <xf numFmtId="10" fontId="34" fillId="17" borderId="0" xfId="51" applyNumberFormat="1" applyFont="1" applyFill="1" applyAlignment="1">
      <alignment vertical="center"/>
    </xf>
    <xf numFmtId="0" fontId="5" fillId="0" borderId="25" xfId="41" applyFont="1" applyBorder="1" applyAlignment="1">
      <alignment horizontal="center" vertical="center" wrapText="1"/>
    </xf>
    <xf numFmtId="0" fontId="5" fillId="0" borderId="24" xfId="41" applyFont="1" applyBorder="1" applyAlignment="1">
      <alignment horizontal="center" vertical="center" wrapText="1"/>
    </xf>
    <xf numFmtId="2" fontId="5" fillId="0" borderId="11" xfId="41" applyNumberFormat="1" applyFont="1" applyBorder="1" applyAlignment="1">
      <alignment horizontal="center" vertical="center"/>
    </xf>
    <xf numFmtId="0" fontId="9" fillId="15" borderId="7" xfId="0" applyFont="1" applyFill="1" applyBorder="1" applyAlignment="1">
      <alignment horizontal="center" vertical="center"/>
    </xf>
    <xf numFmtId="0" fontId="9"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Border="1" applyAlignment="1">
      <alignment horizontal="center"/>
    </xf>
    <xf numFmtId="0" fontId="42" fillId="14" borderId="0" xfId="0" applyFont="1" applyFill="1" applyAlignment="1">
      <alignment horizontal="left" wrapText="1"/>
    </xf>
    <xf numFmtId="9" fontId="5" fillId="0" borderId="0" xfId="41" applyNumberFormat="1" applyFont="1" applyAlignment="1">
      <alignment horizontal="center" vertical="center"/>
    </xf>
    <xf numFmtId="0" fontId="3" fillId="0" borderId="25" xfId="41" applyBorder="1" applyAlignment="1">
      <alignment horizontal="center" vertical="center"/>
    </xf>
    <xf numFmtId="3" fontId="3" fillId="0" borderId="0" xfId="41" applyNumberFormat="1" applyAlignment="1">
      <alignment vertical="center"/>
    </xf>
    <xf numFmtId="3" fontId="3" fillId="0" borderId="24" xfId="41" applyNumberFormat="1" applyBorder="1"/>
    <xf numFmtId="0" fontId="3" fillId="0" borderId="25" xfId="41" applyBorder="1" applyAlignment="1">
      <alignment horizontal="center" vertical="center" wrapText="1"/>
    </xf>
    <xf numFmtId="3" fontId="3" fillId="0" borderId="10" xfId="41" applyNumberFormat="1" applyBorder="1" applyAlignment="1">
      <alignment horizontal="left" vertical="center" wrapText="1"/>
    </xf>
    <xf numFmtId="2" fontId="5" fillId="0" borderId="1" xfId="41" applyNumberFormat="1" applyFont="1" applyBorder="1" applyAlignment="1">
      <alignment horizontal="center" vertical="center"/>
    </xf>
    <xf numFmtId="0" fontId="9" fillId="15" borderId="2"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9" fillId="15" borderId="13" xfId="0"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2" fontId="5" fillId="0" borderId="4" xfId="0" applyNumberFormat="1" applyFont="1" applyBorder="1" applyAlignment="1">
      <alignment horizontal="center" vertical="center"/>
    </xf>
    <xf numFmtId="9" fontId="5" fillId="0" borderId="12" xfId="3" applyFont="1" applyBorder="1" applyAlignment="1">
      <alignment horizontal="center" vertical="center"/>
    </xf>
    <xf numFmtId="9" fontId="5" fillId="0" borderId="4" xfId="3" applyFont="1" applyBorder="1" applyAlignment="1">
      <alignment horizontal="center" vertical="center"/>
    </xf>
    <xf numFmtId="0" fontId="9" fillId="15" borderId="0" xfId="0" applyFont="1" applyFill="1" applyAlignment="1">
      <alignment horizontal="center" vertical="center"/>
    </xf>
    <xf numFmtId="14" fontId="9" fillId="15" borderId="7" xfId="0" applyNumberFormat="1" applyFont="1" applyFill="1" applyBorder="1" applyAlignment="1">
      <alignment horizontal="center" vertic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3" fillId="0" borderId="8" xfId="0" applyNumberFormat="1" applyFont="1" applyBorder="1" applyAlignment="1">
      <alignment horizontal="center" vertical="center" wrapText="1"/>
    </xf>
    <xf numFmtId="1" fontId="7" fillId="3" borderId="8" xfId="0" applyNumberFormat="1" applyFont="1" applyFill="1" applyBorder="1" applyAlignment="1">
      <alignment horizontal="center" vertical="center"/>
    </xf>
    <xf numFmtId="1" fontId="3" fillId="0" borderId="0" xfId="0" applyNumberFormat="1" applyFont="1" applyAlignment="1">
      <alignment horizontal="center" vertical="center" wrapText="1"/>
    </xf>
    <xf numFmtId="1" fontId="2" fillId="0" borderId="24" xfId="0" applyNumberFormat="1" applyFont="1" applyBorder="1" applyAlignment="1">
      <alignment horizontal="center"/>
    </xf>
    <xf numFmtId="1" fontId="3" fillId="0" borderId="1" xfId="0" applyNumberFormat="1" applyFont="1" applyBorder="1" applyAlignment="1">
      <alignment horizontal="center" vertical="center" wrapText="1"/>
    </xf>
    <xf numFmtId="1" fontId="2" fillId="0" borderId="11" xfId="0" applyNumberFormat="1" applyFont="1" applyBorder="1" applyAlignment="1">
      <alignment horizontal="center"/>
    </xf>
    <xf numFmtId="1" fontId="3" fillId="0" borderId="8" xfId="45" applyNumberFormat="1" applyFont="1" applyBorder="1" applyAlignment="1">
      <alignment horizontal="center" vertical="center"/>
    </xf>
    <xf numFmtId="1" fontId="3" fillId="0" borderId="0" xfId="45" applyNumberFormat="1" applyFont="1" applyAlignment="1">
      <alignment horizontal="center" vertical="center"/>
    </xf>
    <xf numFmtId="1" fontId="3" fillId="0" borderId="0" xfId="1" applyNumberFormat="1" applyFont="1" applyFill="1" applyBorder="1" applyAlignment="1">
      <alignment horizontal="center" vertical="center"/>
    </xf>
    <xf numFmtId="1" fontId="3" fillId="0" borderId="0" xfId="45" applyNumberFormat="1" applyFont="1" applyAlignment="1">
      <alignment horizontal="center" vertical="center" wrapText="1"/>
    </xf>
    <xf numFmtId="1" fontId="2" fillId="0" borderId="0" xfId="0" applyNumberFormat="1" applyFont="1" applyAlignment="1">
      <alignment horizontal="center" wrapText="1"/>
    </xf>
    <xf numFmtId="1" fontId="2" fillId="0" borderId="1" xfId="0" applyNumberFormat="1" applyFont="1" applyBorder="1" applyAlignment="1">
      <alignment horizontal="center" wrapText="1"/>
    </xf>
    <xf numFmtId="1" fontId="3" fillId="0" borderId="13" xfId="45" applyNumberFormat="1" applyFont="1" applyBorder="1" applyAlignment="1">
      <alignment horizontal="center" vertical="center" wrapText="1"/>
    </xf>
    <xf numFmtId="0" fontId="47" fillId="0" borderId="0" xfId="0" applyFont="1"/>
    <xf numFmtId="0" fontId="47" fillId="0" borderId="1" xfId="0" applyFont="1" applyBorder="1"/>
    <xf numFmtId="0" fontId="47" fillId="14" borderId="0" xfId="0" applyFont="1" applyFill="1"/>
    <xf numFmtId="0" fontId="47" fillId="18" borderId="0" xfId="0" applyFont="1" applyFill="1"/>
    <xf numFmtId="0" fontId="46" fillId="18" borderId="0" xfId="0" applyFont="1" applyFill="1"/>
    <xf numFmtId="0" fontId="2" fillId="18" borderId="0" xfId="0" applyFont="1" applyFill="1" applyAlignment="1">
      <alignment horizontal="center"/>
    </xf>
    <xf numFmtId="0" fontId="2" fillId="18" borderId="0" xfId="0" applyFont="1" applyFill="1"/>
    <xf numFmtId="0" fontId="7"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Alignment="1">
      <alignment horizontal="center" vertical="center"/>
    </xf>
    <xf numFmtId="1" fontId="3" fillId="0" borderId="1" xfId="1" applyNumberFormat="1" applyFont="1" applyFill="1" applyBorder="1" applyAlignment="1">
      <alignment horizontal="center" vertical="center"/>
    </xf>
    <xf numFmtId="1" fontId="39" fillId="15" borderId="9" xfId="0" applyNumberFormat="1" applyFont="1" applyFill="1" applyBorder="1" applyAlignment="1">
      <alignment horizontal="center"/>
    </xf>
    <xf numFmtId="1" fontId="5" fillId="0" borderId="11" xfId="41" applyNumberFormat="1" applyFont="1" applyBorder="1" applyAlignment="1">
      <alignment horizontal="center" vertical="center"/>
    </xf>
    <xf numFmtId="167" fontId="3" fillId="0" borderId="0" xfId="41" applyNumberFormat="1" applyAlignment="1">
      <alignment horizontal="center" vertical="center"/>
    </xf>
    <xf numFmtId="9" fontId="3" fillId="0" borderId="24" xfId="41" applyNumberFormat="1" applyBorder="1" applyAlignment="1">
      <alignment horizontal="center" vertical="center"/>
    </xf>
    <xf numFmtId="0" fontId="5" fillId="0" borderId="0" xfId="43" applyFont="1" applyAlignment="1">
      <alignment vertical="center"/>
    </xf>
    <xf numFmtId="0" fontId="9" fillId="15" borderId="2" xfId="43" applyFont="1" applyFill="1" applyBorder="1" applyAlignment="1">
      <alignment horizontal="center"/>
    </xf>
    <xf numFmtId="0" fontId="5" fillId="0" borderId="12" xfId="43" applyFont="1" applyBorder="1" applyAlignment="1">
      <alignment horizontal="center"/>
    </xf>
    <xf numFmtId="0" fontId="5" fillId="0" borderId="4" xfId="43" applyFont="1" applyBorder="1" applyAlignment="1">
      <alignment horizontal="center"/>
    </xf>
    <xf numFmtId="10" fontId="3" fillId="0" borderId="12" xfId="51"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Alignment="1">
      <alignment horizontal="center"/>
    </xf>
    <xf numFmtId="1" fontId="2" fillId="0" borderId="6" xfId="0" applyNumberFormat="1" applyFont="1" applyBorder="1" applyAlignment="1">
      <alignment horizontal="center" vertical="center"/>
    </xf>
    <xf numFmtId="0" fontId="44" fillId="0" borderId="0" xfId="0" applyFont="1"/>
    <xf numFmtId="0" fontId="50" fillId="18" borderId="0" xfId="0" applyFont="1" applyFill="1"/>
    <xf numFmtId="0" fontId="2" fillId="19" borderId="25" xfId="0" applyFont="1" applyFill="1" applyBorder="1"/>
    <xf numFmtId="0" fontId="8"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0" fontId="51"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6"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9" fillId="19" borderId="8" xfId="4" applyFont="1" applyFill="1" applyBorder="1" applyAlignment="1">
      <alignment horizontal="center" vertical="center"/>
    </xf>
    <xf numFmtId="0" fontId="9" fillId="19" borderId="8" xfId="4" applyFont="1" applyFill="1" applyBorder="1" applyAlignment="1">
      <alignment horizontal="center" vertical="center" wrapText="1"/>
    </xf>
    <xf numFmtId="0" fontId="47" fillId="19" borderId="0" xfId="0" applyFont="1" applyFill="1"/>
    <xf numFmtId="0" fontId="39" fillId="19" borderId="0" xfId="0" applyFont="1" applyFill="1" applyAlignment="1">
      <alignment horizontal="center" vertical="center"/>
    </xf>
    <xf numFmtId="1" fontId="2" fillId="19" borderId="0" xfId="0" applyNumberFormat="1" applyFont="1" applyFill="1" applyAlignment="1">
      <alignment horizontal="center" vertical="center"/>
    </xf>
    <xf numFmtId="1" fontId="2" fillId="19" borderId="1" xfId="0" applyNumberFormat="1" applyFont="1" applyFill="1" applyBorder="1" applyAlignment="1">
      <alignment horizontal="center" vertical="center"/>
    </xf>
    <xf numFmtId="1" fontId="3" fillId="19" borderId="24" xfId="41" applyNumberFormat="1" applyFill="1" applyBorder="1" applyAlignment="1">
      <alignment horizontal="center" vertical="center"/>
    </xf>
    <xf numFmtId="0" fontId="51" fillId="19" borderId="0" xfId="0" applyFont="1" applyFill="1"/>
    <xf numFmtId="166" fontId="43" fillId="19" borderId="0" xfId="41" applyNumberFormat="1" applyFont="1" applyFill="1" applyAlignment="1">
      <alignment vertical="center"/>
    </xf>
    <xf numFmtId="1" fontId="37" fillId="0" borderId="0" xfId="3" applyNumberFormat="1" applyFont="1" applyAlignment="1">
      <alignment horizontal="center"/>
    </xf>
    <xf numFmtId="0" fontId="52" fillId="0" borderId="0" xfId="0" applyFont="1" applyAlignment="1">
      <alignment vertical="center"/>
    </xf>
    <xf numFmtId="0" fontId="53" fillId="0" borderId="26" xfId="0" applyFont="1" applyBorder="1" applyAlignment="1">
      <alignment vertical="center"/>
    </xf>
    <xf numFmtId="0" fontId="53" fillId="0" borderId="27" xfId="0" applyFont="1" applyBorder="1" applyAlignment="1">
      <alignment horizontal="right" vertical="center"/>
    </xf>
    <xf numFmtId="0" fontId="53" fillId="0" borderId="28" xfId="0" applyFont="1" applyBorder="1" applyAlignment="1">
      <alignment vertical="center"/>
    </xf>
    <xf numFmtId="0" fontId="53" fillId="0" borderId="29" xfId="0" applyFont="1" applyBorder="1" applyAlignment="1">
      <alignment horizontal="right" vertical="center"/>
    </xf>
    <xf numFmtId="0" fontId="53" fillId="0" borderId="26" xfId="0" applyFont="1" applyBorder="1" applyAlignment="1">
      <alignment vertical="center" wrapText="1"/>
    </xf>
    <xf numFmtId="0" fontId="53" fillId="0" borderId="27" xfId="0" applyFont="1" applyBorder="1" applyAlignment="1">
      <alignment horizontal="right" vertical="center" wrapText="1"/>
    </xf>
    <xf numFmtId="0" fontId="53" fillId="0" borderId="28" xfId="0" applyFont="1" applyBorder="1" applyAlignment="1">
      <alignment vertical="center" wrapText="1"/>
    </xf>
    <xf numFmtId="0" fontId="53" fillId="0" borderId="29" xfId="0" applyFont="1" applyBorder="1" applyAlignment="1">
      <alignment horizontal="right" vertical="center" wrapText="1"/>
    </xf>
    <xf numFmtId="0" fontId="9" fillId="15" borderId="4" xfId="43" applyFont="1" applyFill="1" applyBorder="1" applyAlignment="1">
      <alignment horizontal="center" vertical="center"/>
    </xf>
    <xf numFmtId="0" fontId="9" fillId="15" borderId="12" xfId="0" applyFont="1" applyFill="1" applyBorder="1" applyAlignment="1">
      <alignment horizontal="center" vertical="center"/>
    </xf>
    <xf numFmtId="0" fontId="5" fillId="0" borderId="7" xfId="41" applyFont="1" applyBorder="1" applyAlignment="1">
      <alignment horizontal="center" vertical="center"/>
    </xf>
    <xf numFmtId="9" fontId="3" fillId="0" borderId="8" xfId="41" applyNumberFormat="1" applyBorder="1" applyAlignment="1">
      <alignment horizontal="center" vertical="center"/>
    </xf>
    <xf numFmtId="9" fontId="3" fillId="0" borderId="9" xfId="41" applyNumberFormat="1" applyBorder="1" applyAlignment="1">
      <alignment horizontal="center" vertical="center"/>
    </xf>
    <xf numFmtId="0" fontId="56" fillId="14" borderId="3" xfId="52" applyFont="1" applyFill="1" applyBorder="1" applyAlignment="1">
      <alignment horizontal="left"/>
    </xf>
    <xf numFmtId="0" fontId="56" fillId="14" borderId="6" xfId="52" applyFont="1" applyFill="1" applyBorder="1"/>
    <xf numFmtId="0" fontId="54" fillId="14" borderId="0" xfId="52" applyFont="1" applyFill="1"/>
    <xf numFmtId="0" fontId="56" fillId="14" borderId="0" xfId="52" applyFont="1" applyFill="1" applyAlignment="1">
      <alignment horizontal="left"/>
    </xf>
    <xf numFmtId="0" fontId="56" fillId="14" borderId="11" xfId="52" applyFont="1" applyFill="1" applyBorder="1"/>
    <xf numFmtId="0" fontId="54" fillId="14" borderId="4" xfId="52" applyFont="1" applyFill="1" applyBorder="1"/>
    <xf numFmtId="0" fontId="54" fillId="14" borderId="2" xfId="52" applyFont="1" applyFill="1" applyBorder="1" applyAlignment="1">
      <alignment horizontal="center"/>
    </xf>
    <xf numFmtId="0" fontId="54" fillId="14" borderId="2" xfId="52" applyFont="1" applyFill="1" applyBorder="1"/>
    <xf numFmtId="1" fontId="54" fillId="14" borderId="2" xfId="52" applyNumberFormat="1" applyFont="1" applyFill="1" applyBorder="1" applyAlignment="1">
      <alignment horizontal="center"/>
    </xf>
    <xf numFmtId="9" fontId="54" fillId="14" borderId="2" xfId="52" applyNumberFormat="1" applyFont="1" applyFill="1" applyBorder="1" applyAlignment="1">
      <alignment horizontal="center"/>
    </xf>
    <xf numFmtId="3" fontId="54" fillId="14" borderId="2" xfId="52" applyNumberFormat="1" applyFont="1" applyFill="1" applyBorder="1" applyAlignment="1">
      <alignment horizontal="center"/>
    </xf>
    <xf numFmtId="1" fontId="54" fillId="14" borderId="0" xfId="52" applyNumberFormat="1" applyFont="1" applyFill="1"/>
    <xf numFmtId="0" fontId="54" fillId="20" borderId="2" xfId="52" applyFont="1" applyFill="1" applyBorder="1"/>
    <xf numFmtId="0" fontId="54" fillId="20" borderId="2" xfId="52" quotePrefix="1" applyFont="1" applyFill="1" applyBorder="1" applyAlignment="1">
      <alignment horizontal="center"/>
    </xf>
    <xf numFmtId="0" fontId="54" fillId="20" borderId="2" xfId="52" applyFont="1" applyFill="1" applyBorder="1" applyAlignment="1">
      <alignment horizontal="center"/>
    </xf>
    <xf numFmtId="0" fontId="2" fillId="0" borderId="2" xfId="0" applyFont="1" applyBorder="1"/>
    <xf numFmtId="0" fontId="2" fillId="0" borderId="2" xfId="0" applyFont="1" applyBorder="1" applyAlignment="1">
      <alignment wrapText="1"/>
    </xf>
    <xf numFmtId="2" fontId="2" fillId="0" borderId="2" xfId="0" applyNumberFormat="1" applyFont="1" applyBorder="1"/>
    <xf numFmtId="166" fontId="2" fillId="0" borderId="2" xfId="0" applyNumberFormat="1" applyFont="1" applyBorder="1"/>
    <xf numFmtId="0" fontId="2" fillId="0" borderId="2" xfId="0" applyFont="1" applyBorder="1" applyAlignment="1">
      <alignment horizontal="center" vertical="center"/>
    </xf>
    <xf numFmtId="1" fontId="2" fillId="0" borderId="2" xfId="0" applyNumberFormat="1" applyFont="1" applyBorder="1"/>
    <xf numFmtId="0" fontId="7" fillId="0" borderId="0" xfId="0" applyFont="1" applyAlignment="1">
      <alignment horizontal="center" vertical="center" wrapText="1"/>
    </xf>
    <xf numFmtId="0" fontId="8" fillId="0" borderId="0" xfId="0" applyFont="1" applyAlignment="1">
      <alignment horizontal="center"/>
    </xf>
    <xf numFmtId="3" fontId="8" fillId="0" borderId="0" xfId="0" applyNumberFormat="1" applyFont="1" applyAlignment="1">
      <alignment horizontal="center"/>
    </xf>
    <xf numFmtId="3" fontId="2" fillId="22"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69" applyNumberFormat="1" applyFont="1" applyFill="1" applyBorder="1" applyAlignment="1">
      <alignment horizontal="center"/>
    </xf>
    <xf numFmtId="4" fontId="8" fillId="0" borderId="0" xfId="0" applyNumberFormat="1" applyFont="1" applyAlignment="1">
      <alignment horizontal="center"/>
    </xf>
    <xf numFmtId="9" fontId="2" fillId="0" borderId="0" xfId="0" applyNumberFormat="1" applyFont="1" applyAlignment="1">
      <alignment horizontal="center"/>
    </xf>
    <xf numFmtId="3" fontId="3" fillId="0" borderId="0" xfId="69" applyNumberFormat="1" applyFont="1" applyAlignment="1">
      <alignment horizontal="center" vertical="top"/>
    </xf>
    <xf numFmtId="1" fontId="9" fillId="15" borderId="13" xfId="0" applyNumberFormat="1" applyFont="1" applyFill="1" applyBorder="1" applyAlignment="1">
      <alignment horizontal="center" vertical="center"/>
    </xf>
    <xf numFmtId="1" fontId="39" fillId="15" borderId="2" xfId="0" applyNumberFormat="1" applyFont="1" applyFill="1" applyBorder="1" applyAlignment="1">
      <alignment horizontal="center"/>
    </xf>
    <xf numFmtId="9" fontId="9" fillId="15" borderId="13" xfId="3" applyFont="1" applyFill="1" applyBorder="1" applyAlignment="1">
      <alignment horizontal="center" vertical="center"/>
    </xf>
    <xf numFmtId="1" fontId="9" fillId="15" borderId="3" xfId="0" applyNumberFormat="1" applyFont="1" applyFill="1" applyBorder="1" applyAlignment="1">
      <alignment horizontal="center" vertical="center"/>
    </xf>
    <xf numFmtId="0" fontId="43" fillId="13" borderId="0" xfId="0" applyFont="1" applyFill="1"/>
    <xf numFmtId="0" fontId="2" fillId="0" borderId="2" xfId="0" applyFont="1" applyBorder="1" applyAlignment="1">
      <alignment horizontal="left"/>
    </xf>
    <xf numFmtId="0" fontId="9" fillId="15" borderId="2" xfId="0" applyFont="1" applyFill="1" applyBorder="1" applyAlignment="1">
      <alignment horizontal="center"/>
    </xf>
    <xf numFmtId="0" fontId="9" fillId="15" borderId="2" xfId="0" applyFont="1" applyFill="1" applyBorder="1" applyAlignment="1">
      <alignment horizontal="left"/>
    </xf>
    <xf numFmtId="1" fontId="9" fillId="15" borderId="2" xfId="0" applyNumberFormat="1" applyFont="1" applyFill="1" applyBorder="1" applyAlignment="1">
      <alignment horizontal="center"/>
    </xf>
    <xf numFmtId="1" fontId="3" fillId="0" borderId="8" xfId="0" applyNumberFormat="1" applyFont="1" applyBorder="1" applyAlignment="1">
      <alignment horizontal="center" vertical="center"/>
    </xf>
    <xf numFmtId="1" fontId="3" fillId="0" borderId="8" xfId="1" applyNumberFormat="1" applyFont="1" applyFill="1" applyBorder="1" applyAlignment="1">
      <alignment horizontal="center" vertical="center"/>
    </xf>
    <xf numFmtId="1" fontId="3" fillId="0" borderId="1" xfId="45" applyNumberFormat="1" applyFont="1" applyBorder="1" applyAlignment="1">
      <alignment horizontal="center" vertical="center"/>
    </xf>
    <xf numFmtId="4" fontId="3" fillId="0" borderId="0" xfId="0" applyNumberFormat="1" applyFont="1" applyAlignment="1">
      <alignment horizontal="center" vertical="center"/>
    </xf>
    <xf numFmtId="3" fontId="3" fillId="0" borderId="0" xfId="0" applyNumberFormat="1" applyFont="1" applyAlignment="1" applyProtection="1">
      <alignment horizontal="center" vertical="center"/>
      <protection locked="0"/>
    </xf>
    <xf numFmtId="10" fontId="3" fillId="0" borderId="8" xfId="0" applyNumberFormat="1" applyFont="1" applyBorder="1" applyAlignment="1">
      <alignment horizontal="center"/>
    </xf>
    <xf numFmtId="3" fontId="2" fillId="0" borderId="0" xfId="0" applyNumberFormat="1" applyFont="1"/>
    <xf numFmtId="0" fontId="48" fillId="0" borderId="0" xfId="0" applyFont="1" applyAlignment="1">
      <alignment horizontal="center"/>
    </xf>
    <xf numFmtId="0" fontId="43" fillId="0" borderId="0" xfId="0" applyFont="1" applyAlignment="1">
      <alignment horizontal="center"/>
    </xf>
    <xf numFmtId="2" fontId="43" fillId="0" borderId="0" xfId="0" applyNumberFormat="1" applyFont="1" applyAlignment="1">
      <alignment horizontal="center" vertical="center"/>
    </xf>
    <xf numFmtId="2" fontId="6" fillId="0" borderId="0" xfId="0" applyNumberFormat="1" applyFont="1" applyAlignment="1">
      <alignment horizontal="center" vertical="center"/>
    </xf>
    <xf numFmtId="2" fontId="8" fillId="0" borderId="0" xfId="0" applyNumberFormat="1" applyFont="1" applyAlignment="1">
      <alignment horizontal="center"/>
    </xf>
    <xf numFmtId="0" fontId="5" fillId="14" borderId="0" xfId="0" applyFont="1" applyFill="1" applyAlignment="1">
      <alignment horizontal="center" vertical="center"/>
    </xf>
    <xf numFmtId="0" fontId="3" fillId="14" borderId="2" xfId="0" applyFont="1" applyFill="1" applyBorder="1" applyAlignment="1">
      <alignment horizontal="center" vertical="center"/>
    </xf>
    <xf numFmtId="0" fontId="3" fillId="14" borderId="2" xfId="0" applyFont="1" applyFill="1" applyBorder="1" applyAlignment="1">
      <alignment vertical="center"/>
    </xf>
    <xf numFmtId="0" fontId="3" fillId="14" borderId="0" xfId="0" applyFont="1" applyFill="1" applyAlignment="1">
      <alignment horizontal="center" vertical="center"/>
    </xf>
    <xf numFmtId="0" fontId="3" fillId="14" borderId="0" xfId="0" applyFont="1" applyFill="1" applyAlignment="1">
      <alignment vertical="center"/>
    </xf>
    <xf numFmtId="172" fontId="3" fillId="14" borderId="0" xfId="0" applyNumberFormat="1" applyFont="1" applyFill="1" applyAlignment="1">
      <alignment vertical="center"/>
    </xf>
    <xf numFmtId="172" fontId="3" fillId="14" borderId="0" xfId="0" applyNumberFormat="1" applyFont="1" applyFill="1" applyAlignment="1">
      <alignment horizontal="right" vertical="center"/>
    </xf>
    <xf numFmtId="0" fontId="3" fillId="14" borderId="0" xfId="0" applyFont="1" applyFill="1" applyAlignment="1">
      <alignment horizontal="left" vertical="center"/>
    </xf>
    <xf numFmtId="0" fontId="3" fillId="14" borderId="0" xfId="0" applyFont="1" applyFill="1" applyAlignment="1">
      <alignment horizontal="right" vertical="center"/>
    </xf>
    <xf numFmtId="0" fontId="3" fillId="14" borderId="2" xfId="0" applyFont="1" applyFill="1" applyBorder="1" applyAlignment="1">
      <alignment horizontal="left" vertical="center"/>
    </xf>
    <xf numFmtId="0" fontId="3" fillId="14" borderId="2" xfId="41" applyFill="1" applyBorder="1" applyAlignment="1">
      <alignment horizontal="center" vertical="center"/>
    </xf>
    <xf numFmtId="0" fontId="43" fillId="14" borderId="2" xfId="0" applyFont="1" applyFill="1" applyBorder="1" applyAlignment="1">
      <alignment horizontal="center" vertical="center"/>
    </xf>
    <xf numFmtId="0" fontId="43" fillId="14" borderId="0" xfId="0" applyFont="1" applyFill="1" applyAlignment="1">
      <alignment horizontal="center" vertical="center"/>
    </xf>
    <xf numFmtId="0" fontId="3" fillId="14" borderId="0" xfId="41" applyFill="1" applyAlignment="1">
      <alignment horizontal="center" vertical="center"/>
    </xf>
    <xf numFmtId="0" fontId="3" fillId="14" borderId="12" xfId="0" applyFont="1" applyFill="1" applyBorder="1" applyAlignment="1">
      <alignment horizontal="center" vertical="center"/>
    </xf>
    <xf numFmtId="0" fontId="3" fillId="14" borderId="12" xfId="0" applyFont="1" applyFill="1" applyBorder="1" applyAlignment="1">
      <alignment vertical="center"/>
    </xf>
    <xf numFmtId="0" fontId="3" fillId="14" borderId="12" xfId="0" applyFont="1" applyFill="1" applyBorder="1" applyAlignment="1">
      <alignment horizontal="left" vertical="center"/>
    </xf>
    <xf numFmtId="0" fontId="5" fillId="14" borderId="2" xfId="0" applyFont="1" applyFill="1" applyBorder="1" applyAlignment="1">
      <alignment horizontal="center" vertical="center"/>
    </xf>
    <xf numFmtId="0" fontId="48" fillId="13" borderId="0" xfId="0" applyFont="1" applyFill="1"/>
    <xf numFmtId="1" fontId="43" fillId="0" borderId="0" xfId="0" applyNumberFormat="1" applyFont="1" applyAlignment="1">
      <alignment horizontal="center"/>
    </xf>
    <xf numFmtId="0" fontId="43" fillId="0" borderId="0" xfId="0" applyFont="1"/>
    <xf numFmtId="3" fontId="43" fillId="0" borderId="2" xfId="0" applyNumberFormat="1" applyFont="1" applyBorder="1" applyAlignment="1">
      <alignment horizontal="center"/>
    </xf>
    <xf numFmtId="173" fontId="3" fillId="14" borderId="2" xfId="0" applyNumberFormat="1" applyFont="1" applyFill="1" applyBorder="1" applyAlignment="1">
      <alignment vertical="center"/>
    </xf>
    <xf numFmtId="0" fontId="3" fillId="14" borderId="0" xfId="0" applyFont="1" applyFill="1" applyAlignment="1">
      <alignment horizontal="center"/>
    </xf>
    <xf numFmtId="0" fontId="5" fillId="14" borderId="0" xfId="0" applyFont="1" applyFill="1" applyAlignment="1">
      <alignment horizontal="left"/>
    </xf>
    <xf numFmtId="0" fontId="3" fillId="14" borderId="0" xfId="0" applyFont="1" applyFill="1"/>
    <xf numFmtId="0" fontId="3" fillId="14" borderId="0" xfId="0" applyFont="1" applyFill="1" applyAlignment="1">
      <alignment horizontal="right"/>
    </xf>
    <xf numFmtId="0" fontId="3" fillId="14" borderId="0" xfId="0" applyFont="1" applyFill="1" applyAlignment="1">
      <alignment horizontal="left"/>
    </xf>
    <xf numFmtId="171" fontId="3" fillId="14" borderId="5" xfId="0" applyNumberFormat="1" applyFont="1" applyFill="1" applyBorder="1" applyAlignment="1">
      <alignment horizontal="center"/>
    </xf>
    <xf numFmtId="0" fontId="3" fillId="14" borderId="2" xfId="0" applyFont="1" applyFill="1" applyBorder="1" applyAlignment="1">
      <alignment horizontal="center"/>
    </xf>
    <xf numFmtId="0" fontId="3" fillId="14" borderId="2" xfId="0" applyFont="1" applyFill="1" applyBorder="1"/>
    <xf numFmtId="172" fontId="3" fillId="14" borderId="0" xfId="0" applyNumberFormat="1" applyFont="1" applyFill="1" applyAlignment="1">
      <alignment horizontal="center"/>
    </xf>
    <xf numFmtId="172" fontId="3" fillId="14" borderId="2" xfId="0" applyNumberFormat="1" applyFont="1" applyFill="1" applyBorder="1" applyAlignment="1">
      <alignment horizontal="center"/>
    </xf>
    <xf numFmtId="0" fontId="3" fillId="14" borderId="2" xfId="0" applyFont="1" applyFill="1" applyBorder="1" applyAlignment="1">
      <alignment horizontal="left"/>
    </xf>
    <xf numFmtId="10" fontId="3" fillId="14" borderId="0" xfId="0" applyNumberFormat="1" applyFont="1" applyFill="1" applyAlignment="1">
      <alignment horizontal="center"/>
    </xf>
    <xf numFmtId="166" fontId="3" fillId="14" borderId="0" xfId="0" applyNumberFormat="1" applyFont="1" applyFill="1" applyAlignment="1">
      <alignment horizontal="center"/>
    </xf>
    <xf numFmtId="172" fontId="3" fillId="14" borderId="0" xfId="0" applyNumberFormat="1" applyFont="1" applyFill="1"/>
    <xf numFmtId="0" fontId="5" fillId="14" borderId="2" xfId="0" applyFont="1" applyFill="1" applyBorder="1"/>
    <xf numFmtId="172" fontId="5" fillId="14" borderId="2" xfId="0" applyNumberFormat="1" applyFont="1" applyFill="1" applyBorder="1" applyAlignment="1">
      <alignment horizontal="center"/>
    </xf>
    <xf numFmtId="0" fontId="5" fillId="14" borderId="0" xfId="0" applyFont="1" applyFill="1"/>
    <xf numFmtId="2" fontId="3" fillId="14" borderId="0" xfId="0" applyNumberFormat="1" applyFont="1" applyFill="1" applyAlignment="1">
      <alignment horizontal="center"/>
    </xf>
    <xf numFmtId="175" fontId="3" fillId="14" borderId="0" xfId="0" applyNumberFormat="1" applyFont="1" applyFill="1"/>
    <xf numFmtId="175" fontId="3" fillId="14" borderId="0" xfId="0" applyNumberFormat="1" applyFont="1" applyFill="1" applyAlignment="1">
      <alignment horizontal="center"/>
    </xf>
    <xf numFmtId="166" fontId="3" fillId="14" borderId="0" xfId="0" applyNumberFormat="1" applyFont="1" applyFill="1"/>
    <xf numFmtId="176" fontId="5" fillId="14" borderId="0" xfId="0" applyNumberFormat="1" applyFont="1" applyFill="1" applyAlignment="1">
      <alignment horizontal="center"/>
    </xf>
    <xf numFmtId="172" fontId="5" fillId="14" borderId="0" xfId="0" applyNumberFormat="1" applyFont="1" applyFill="1" applyAlignment="1">
      <alignment horizontal="center"/>
    </xf>
    <xf numFmtId="0" fontId="3" fillId="14" borderId="0" xfId="0" applyFont="1" applyFill="1" applyAlignment="1">
      <alignment horizontal="fill"/>
    </xf>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center" vertical="center"/>
    </xf>
    <xf numFmtId="0" fontId="3" fillId="0" borderId="0" xfId="0" applyFont="1"/>
    <xf numFmtId="0" fontId="3" fillId="0" borderId="6" xfId="0" applyFont="1" applyBorder="1"/>
    <xf numFmtId="0" fontId="3" fillId="0" borderId="5" xfId="0" applyFont="1" applyBorder="1" applyAlignment="1">
      <alignment horizontal="center"/>
    </xf>
    <xf numFmtId="172" fontId="3" fillId="0" borderId="0" xfId="0" applyNumberFormat="1" applyFont="1" applyAlignment="1">
      <alignment horizontal="center"/>
    </xf>
    <xf numFmtId="167" fontId="3" fillId="14" borderId="0" xfId="0" applyNumberFormat="1" applyFont="1" applyFill="1" applyAlignment="1">
      <alignment horizont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2" fontId="3" fillId="0" borderId="5" xfId="0" applyNumberFormat="1" applyFont="1" applyBorder="1" applyAlignment="1">
      <alignment horizontal="center" vertical="center"/>
    </xf>
    <xf numFmtId="166" fontId="3" fillId="0" borderId="5" xfId="0" applyNumberFormat="1" applyFont="1" applyBorder="1" applyAlignment="1">
      <alignment horizontal="center" vertical="center"/>
    </xf>
    <xf numFmtId="0" fontId="46" fillId="0" borderId="0" xfId="0" applyFont="1"/>
    <xf numFmtId="0" fontId="5" fillId="0" borderId="2" xfId="0" applyFont="1" applyBorder="1"/>
    <xf numFmtId="171" fontId="3" fillId="14" borderId="0" xfId="0" applyNumberFormat="1" applyFont="1" applyFill="1" applyAlignment="1">
      <alignment horizontal="center"/>
    </xf>
    <xf numFmtId="171" fontId="3" fillId="19" borderId="2" xfId="0" applyNumberFormat="1" applyFont="1" applyFill="1" applyBorder="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5" xfId="0" applyFont="1" applyBorder="1" applyAlignment="1">
      <alignment horizontal="left"/>
    </xf>
    <xf numFmtId="0" fontId="48" fillId="0" borderId="2" xfId="0" applyFont="1" applyBorder="1" applyAlignment="1">
      <alignment horizontal="center"/>
    </xf>
    <xf numFmtId="0" fontId="48" fillId="0" borderId="6" xfId="0" applyFont="1" applyBorder="1"/>
    <xf numFmtId="0" fontId="48" fillId="0" borderId="2" xfId="0" applyFont="1" applyBorder="1"/>
    <xf numFmtId="2" fontId="3" fillId="0" borderId="3" xfId="0" applyNumberFormat="1" applyFont="1" applyBorder="1" applyAlignment="1">
      <alignment horizontal="center"/>
    </xf>
    <xf numFmtId="1" fontId="3" fillId="0" borderId="3" xfId="0" applyNumberFormat="1" applyFont="1" applyBorder="1" applyAlignment="1">
      <alignment horizontal="center"/>
    </xf>
    <xf numFmtId="2" fontId="48" fillId="0" borderId="3" xfId="0" applyNumberFormat="1" applyFont="1" applyBorder="1" applyAlignment="1">
      <alignment horizontal="center"/>
    </xf>
    <xf numFmtId="0" fontId="48" fillId="0" borderId="0" xfId="0" applyFont="1"/>
    <xf numFmtId="0" fontId="3"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171" fontId="3" fillId="0" borderId="2" xfId="0" applyNumberFormat="1" applyFont="1" applyBorder="1" applyAlignment="1">
      <alignment horizontal="center" vertical="center"/>
    </xf>
    <xf numFmtId="172" fontId="3" fillId="0" borderId="0" xfId="0" applyNumberFormat="1" applyFont="1" applyAlignment="1">
      <alignment horizontal="center" vertical="center"/>
    </xf>
    <xf numFmtId="2" fontId="3" fillId="0" borderId="0" xfId="0" applyNumberFormat="1" applyFont="1" applyAlignment="1">
      <alignment horizontal="center" vertical="center"/>
    </xf>
    <xf numFmtId="172" fontId="3" fillId="0" borderId="0" xfId="0" applyNumberFormat="1" applyFont="1" applyAlignment="1">
      <alignment vertical="center"/>
    </xf>
    <xf numFmtId="0" fontId="3" fillId="0" borderId="0" xfId="0" applyFont="1" applyAlignment="1">
      <alignment horizontal="center" vertical="center"/>
    </xf>
    <xf numFmtId="0" fontId="3" fillId="0" borderId="2" xfId="0" applyFont="1" applyBorder="1" applyAlignment="1">
      <alignment horizontal="left" vertical="center"/>
    </xf>
    <xf numFmtId="0" fontId="5" fillId="0" borderId="2" xfId="0" applyFont="1" applyBorder="1" applyAlignment="1">
      <alignment horizontal="center" vertical="center"/>
    </xf>
    <xf numFmtId="0" fontId="3" fillId="0" borderId="5" xfId="0" applyFont="1" applyBorder="1" applyAlignment="1">
      <alignment horizontal="left" vertical="center"/>
    </xf>
    <xf numFmtId="171" fontId="3" fillId="0" borderId="5" xfId="0" applyNumberFormat="1" applyFont="1" applyBorder="1" applyAlignment="1">
      <alignment horizontal="center" vertical="center"/>
    </xf>
    <xf numFmtId="171" fontId="3" fillId="0" borderId="12" xfId="0" applyNumberFormat="1" applyFont="1" applyBorder="1" applyAlignment="1">
      <alignment horizontal="center" vertical="center"/>
    </xf>
    <xf numFmtId="0" fontId="3" fillId="0" borderId="4" xfId="0" applyFont="1" applyBorder="1" applyAlignment="1">
      <alignment horizontal="left" vertical="center"/>
    </xf>
    <xf numFmtId="171" fontId="3" fillId="0" borderId="4" xfId="0" applyNumberFormat="1" applyFont="1" applyBorder="1" applyAlignment="1">
      <alignment horizontal="center" vertical="center"/>
    </xf>
    <xf numFmtId="166" fontId="3" fillId="0" borderId="2" xfId="0" applyNumberFormat="1" applyFont="1" applyBorder="1" applyAlignment="1">
      <alignment horizontal="center" vertical="center"/>
    </xf>
    <xf numFmtId="1" fontId="3" fillId="0" borderId="2" xfId="0" applyNumberFormat="1" applyFont="1" applyBorder="1" applyAlignment="1">
      <alignment horizontal="center" vertical="center"/>
    </xf>
    <xf numFmtId="0" fontId="3" fillId="0" borderId="5" xfId="0" applyFont="1" applyBorder="1" applyAlignment="1">
      <alignment vertical="center"/>
    </xf>
    <xf numFmtId="0" fontId="5" fillId="0" borderId="2" xfId="0" applyFont="1" applyBorder="1" applyAlignment="1">
      <alignment horizontal="left" vertical="center"/>
    </xf>
    <xf numFmtId="0" fontId="3" fillId="0" borderId="2" xfId="59" applyFont="1" applyBorder="1" applyAlignment="1">
      <alignment horizontal="center" vertical="center"/>
    </xf>
    <xf numFmtId="0" fontId="39" fillId="15" borderId="2" xfId="4" applyFont="1" applyFill="1" applyBorder="1" applyAlignment="1">
      <alignment vertical="center"/>
    </xf>
    <xf numFmtId="0" fontId="9" fillId="15" borderId="2" xfId="4" applyNumberFormat="1" applyFont="1" applyFill="1" applyBorder="1" applyAlignment="1">
      <alignment horizontal="center" vertical="center"/>
    </xf>
    <xf numFmtId="9" fontId="9" fillId="15" borderId="2" xfId="3" applyFont="1" applyFill="1" applyBorder="1" applyAlignment="1">
      <alignment vertical="center"/>
    </xf>
    <xf numFmtId="2" fontId="9" fillId="15" borderId="2" xfId="4" applyNumberFormat="1" applyFont="1" applyFill="1" applyBorder="1" applyAlignment="1">
      <alignment horizontal="center" vertical="center"/>
    </xf>
    <xf numFmtId="2" fontId="9" fillId="15" borderId="2" xfId="4" applyNumberFormat="1" applyFont="1" applyFill="1" applyBorder="1" applyAlignment="1">
      <alignment horizontal="center" vertical="center" wrapText="1"/>
    </xf>
    <xf numFmtId="2" fontId="9" fillId="0" borderId="2" xfId="4" applyNumberFormat="1" applyFont="1" applyFill="1" applyBorder="1" applyAlignment="1">
      <alignment horizontal="center" vertical="center"/>
    </xf>
    <xf numFmtId="2" fontId="9" fillId="0" borderId="2" xfId="4" applyNumberFormat="1" applyFont="1" applyFill="1" applyBorder="1" applyAlignment="1">
      <alignment horizontal="center" vertical="center" wrapText="1"/>
    </xf>
    <xf numFmtId="0" fontId="8" fillId="0" borderId="2" xfId="0" applyFont="1" applyBorder="1" applyAlignment="1">
      <alignment horizontal="left" vertical="center"/>
    </xf>
    <xf numFmtId="1" fontId="8" fillId="0" borderId="2" xfId="0" applyNumberFormat="1" applyFont="1" applyBorder="1" applyAlignment="1">
      <alignment horizontal="center" vertical="center"/>
    </xf>
    <xf numFmtId="3" fontId="6" fillId="0" borderId="2" xfId="0" applyNumberFormat="1" applyFont="1" applyBorder="1" applyAlignment="1">
      <alignment horizontal="center" vertical="center"/>
    </xf>
    <xf numFmtId="2" fontId="48" fillId="0" borderId="2" xfId="0" applyNumberFormat="1" applyFont="1" applyBorder="1" applyAlignment="1">
      <alignment horizontal="left" vertical="center"/>
    </xf>
    <xf numFmtId="10" fontId="7" fillId="0" borderId="2" xfId="3" applyNumberFormat="1" applyFont="1" applyFill="1" applyBorder="1" applyAlignment="1">
      <alignment horizontal="center" vertical="center"/>
    </xf>
    <xf numFmtId="2" fontId="7" fillId="0" borderId="2" xfId="0" applyNumberFormat="1" applyFont="1" applyBorder="1" applyAlignment="1">
      <alignment horizontal="center" vertical="center"/>
    </xf>
    <xf numFmtId="2" fontId="7" fillId="0" borderId="2" xfId="3" applyNumberFormat="1" applyFont="1" applyFill="1" applyBorder="1" applyAlignment="1">
      <alignment horizontal="center" vertical="center"/>
    </xf>
    <xf numFmtId="1" fontId="9" fillId="15" borderId="2" xfId="0" applyNumberFormat="1" applyFont="1" applyFill="1" applyBorder="1" applyAlignment="1">
      <alignment horizontal="center" vertical="center"/>
    </xf>
    <xf numFmtId="3" fontId="9" fillId="15" borderId="2" xfId="0" applyNumberFormat="1" applyFont="1" applyFill="1" applyBorder="1" applyAlignment="1">
      <alignment horizontal="center" vertical="center"/>
    </xf>
    <xf numFmtId="2" fontId="6" fillId="0" borderId="2" xfId="0" applyNumberFormat="1" applyFont="1" applyBorder="1" applyAlignment="1">
      <alignment horizontal="center" vertical="center"/>
    </xf>
    <xf numFmtId="2" fontId="43" fillId="0" borderId="2" xfId="0" applyNumberFormat="1" applyFont="1" applyBorder="1" applyAlignment="1">
      <alignment horizontal="center"/>
    </xf>
    <xf numFmtId="1" fontId="43" fillId="0" borderId="2" xfId="0" applyNumberFormat="1" applyFont="1" applyBorder="1" applyAlignment="1">
      <alignment horizontal="center"/>
    </xf>
    <xf numFmtId="0" fontId="43" fillId="0" borderId="2" xfId="0" applyFont="1" applyBorder="1" applyAlignment="1">
      <alignment horizontal="center" vertical="center"/>
    </xf>
    <xf numFmtId="0" fontId="8" fillId="0" borderId="2" xfId="0" applyFont="1" applyBorder="1" applyAlignment="1">
      <alignment horizontal="center" vertical="center"/>
    </xf>
    <xf numFmtId="0" fontId="48" fillId="0" borderId="2" xfId="0" applyFont="1" applyBorder="1" applyAlignment="1">
      <alignment horizontal="center" vertical="center"/>
    </xf>
    <xf numFmtId="3" fontId="48" fillId="0" borderId="2" xfId="0" applyNumberFormat="1" applyFont="1" applyBorder="1" applyAlignment="1">
      <alignment horizontal="center" vertical="center"/>
    </xf>
    <xf numFmtId="0" fontId="2" fillId="0" borderId="2" xfId="0" quotePrefix="1" applyFont="1" applyBorder="1" applyAlignment="1">
      <alignment horizontal="center" vertical="center"/>
    </xf>
    <xf numFmtId="3" fontId="7" fillId="0" borderId="2" xfId="0" applyNumberFormat="1" applyFont="1" applyBorder="1" applyAlignment="1">
      <alignment horizontal="center" vertical="center"/>
    </xf>
    <xf numFmtId="2" fontId="7" fillId="0" borderId="2" xfId="5" applyNumberFormat="1" applyFont="1" applyFill="1" applyBorder="1" applyAlignment="1">
      <alignment horizontal="center" vertical="center"/>
    </xf>
    <xf numFmtId="167" fontId="7" fillId="0" borderId="2" xfId="3" applyNumberFormat="1" applyFont="1" applyFill="1" applyBorder="1" applyAlignment="1">
      <alignment horizontal="center" vertical="center"/>
    </xf>
    <xf numFmtId="2" fontId="8" fillId="0" borderId="2" xfId="0" applyNumberFormat="1" applyFont="1" applyBorder="1" applyAlignment="1">
      <alignment horizontal="center" vertical="center"/>
    </xf>
    <xf numFmtId="2" fontId="8" fillId="0" borderId="2" xfId="0" applyNumberFormat="1" applyFont="1" applyBorder="1" applyAlignment="1">
      <alignment horizontal="center"/>
    </xf>
    <xf numFmtId="9" fontId="43" fillId="0" borderId="2" xfId="3" applyFont="1" applyFill="1" applyBorder="1" applyAlignment="1">
      <alignment horizontal="center"/>
    </xf>
    <xf numFmtId="9" fontId="43" fillId="0" borderId="0" xfId="3" applyFont="1" applyFill="1" applyBorder="1" applyAlignment="1">
      <alignment horizontal="center"/>
    </xf>
    <xf numFmtId="0" fontId="39" fillId="15" borderId="2" xfId="67" applyFont="1" applyFill="1" applyBorder="1" applyAlignment="1">
      <alignment horizontal="center" vertical="top"/>
    </xf>
    <xf numFmtId="0" fontId="9" fillId="15" borderId="2" xfId="67" applyFont="1" applyFill="1" applyBorder="1" applyAlignment="1">
      <alignment horizontal="center" vertical="top"/>
    </xf>
    <xf numFmtId="0" fontId="3" fillId="14" borderId="2" xfId="67" applyFont="1" applyFill="1" applyBorder="1" applyAlignment="1">
      <alignment horizontal="center" vertical="top"/>
    </xf>
    <xf numFmtId="167" fontId="3" fillId="14" borderId="2" xfId="67" applyNumberFormat="1" applyFont="1" applyFill="1" applyBorder="1" applyAlignment="1">
      <alignment horizontal="center" vertical="top"/>
    </xf>
    <xf numFmtId="10" fontId="5" fillId="14" borderId="2" xfId="68" applyNumberFormat="1" applyFont="1" applyFill="1" applyBorder="1" applyAlignment="1" applyProtection="1">
      <alignment horizontal="center" vertical="top"/>
    </xf>
    <xf numFmtId="0" fontId="3" fillId="0" borderId="3" xfId="62" applyFont="1" applyBorder="1" applyAlignment="1">
      <alignment horizontal="center" vertical="top"/>
    </xf>
    <xf numFmtId="0" fontId="5" fillId="0" borderId="13" xfId="62" applyFont="1" applyBorder="1" applyAlignment="1">
      <alignment horizontal="left" vertical="top"/>
    </xf>
    <xf numFmtId="0" fontId="8" fillId="0" borderId="2" xfId="0" applyFont="1" applyBorder="1" applyAlignment="1">
      <alignment horizontal="center"/>
    </xf>
    <xf numFmtId="0" fontId="5" fillId="0" borderId="13" xfId="62" applyFont="1" applyBorder="1" applyAlignment="1">
      <alignment horizontal="center" vertical="top"/>
    </xf>
    <xf numFmtId="0" fontId="5" fillId="0" borderId="0" xfId="63" applyFont="1" applyAlignment="1">
      <alignment horizontal="left" vertical="top"/>
    </xf>
    <xf numFmtId="0" fontId="3" fillId="0" borderId="0" xfId="63" applyFont="1" applyAlignment="1">
      <alignment vertical="top"/>
    </xf>
    <xf numFmtId="0" fontId="2" fillId="0" borderId="3" xfId="0" applyFont="1" applyBorder="1"/>
    <xf numFmtId="1" fontId="2" fillId="0" borderId="6" xfId="0" applyNumberFormat="1" applyFont="1" applyBorder="1" applyAlignment="1">
      <alignment horizontal="center"/>
    </xf>
    <xf numFmtId="166" fontId="3" fillId="0" borderId="2" xfId="64" applyNumberFormat="1" applyFont="1" applyBorder="1" applyAlignment="1">
      <alignment horizontal="center" vertical="top"/>
    </xf>
    <xf numFmtId="0" fontId="3" fillId="0" borderId="3" xfId="64" applyFont="1" applyBorder="1" applyAlignment="1">
      <alignment horizontal="left" vertical="top"/>
    </xf>
    <xf numFmtId="3" fontId="3" fillId="0" borderId="2" xfId="0" applyNumberFormat="1" applyFont="1" applyBorder="1" applyAlignment="1">
      <alignment horizontal="center"/>
    </xf>
    <xf numFmtId="3" fontId="2" fillId="0" borderId="2" xfId="0" applyNumberFormat="1" applyFont="1" applyBorder="1" applyAlignment="1">
      <alignment horizontal="center"/>
    </xf>
    <xf numFmtId="0" fontId="3" fillId="0" borderId="2" xfId="64" quotePrefix="1" applyFont="1" applyBorder="1" applyAlignment="1">
      <alignment horizontal="left" vertical="top"/>
    </xf>
    <xf numFmtId="3" fontId="2" fillId="0" borderId="6" xfId="0" applyNumberFormat="1" applyFont="1" applyBorder="1" applyAlignment="1">
      <alignment horizontal="center"/>
    </xf>
    <xf numFmtId="0" fontId="5" fillId="0" borderId="2" xfId="64" quotePrefix="1" applyFont="1" applyBorder="1" applyAlignment="1">
      <alignment horizontal="left" vertical="top"/>
    </xf>
    <xf numFmtId="0" fontId="5" fillId="0" borderId="3" xfId="64" quotePrefix="1" applyFont="1" applyBorder="1" applyAlignment="1">
      <alignment horizontal="left" vertical="top"/>
    </xf>
    <xf numFmtId="0" fontId="5" fillId="0" borderId="3" xfId="64" applyFont="1" applyBorder="1" applyAlignment="1">
      <alignment horizontal="left" vertical="top"/>
    </xf>
    <xf numFmtId="0" fontId="2" fillId="0" borderId="6" xfId="0" applyFont="1" applyBorder="1" applyAlignment="1">
      <alignment horizontal="center"/>
    </xf>
    <xf numFmtId="166" fontId="2" fillId="0" borderId="6" xfId="0" applyNumberFormat="1" applyFont="1" applyBorder="1" applyAlignment="1">
      <alignment horizontal="center"/>
    </xf>
    <xf numFmtId="1" fontId="2" fillId="0" borderId="0" xfId="0" applyNumberFormat="1" applyFont="1"/>
    <xf numFmtId="0" fontId="3" fillId="14" borderId="0" xfId="52" applyFont="1" applyFill="1"/>
    <xf numFmtId="1" fontId="43" fillId="14" borderId="2" xfId="52" applyNumberFormat="1" applyFont="1" applyFill="1" applyBorder="1" applyAlignment="1">
      <alignment horizontal="center"/>
    </xf>
    <xf numFmtId="3" fontId="43" fillId="14" borderId="2" xfId="52" applyNumberFormat="1" applyFont="1" applyFill="1" applyBorder="1" applyAlignment="1">
      <alignment horizontal="center"/>
    </xf>
    <xf numFmtId="0" fontId="43" fillId="0" borderId="2" xfId="52" applyFont="1" applyBorder="1" applyAlignment="1">
      <alignment horizontal="center"/>
    </xf>
    <xf numFmtId="0" fontId="48" fillId="0" borderId="9" xfId="65" applyFont="1" applyBorder="1" applyAlignment="1">
      <alignment horizontal="right" vertical="top"/>
    </xf>
    <xf numFmtId="0" fontId="48" fillId="0" borderId="11" xfId="65" applyFont="1" applyBorder="1" applyAlignment="1">
      <alignment vertical="top"/>
    </xf>
    <xf numFmtId="3" fontId="43" fillId="0" borderId="0" xfId="65" applyNumberFormat="1" applyFont="1" applyAlignment="1">
      <alignment vertical="top"/>
    </xf>
    <xf numFmtId="3" fontId="43" fillId="0" borderId="24" xfId="65" applyNumberFormat="1" applyFont="1" applyBorder="1" applyAlignment="1">
      <alignment vertical="top"/>
    </xf>
    <xf numFmtId="3" fontId="43" fillId="0" borderId="0" xfId="65" applyNumberFormat="1" applyFont="1" applyAlignment="1">
      <alignment horizontal="right" vertical="top"/>
    </xf>
    <xf numFmtId="3" fontId="48" fillId="0" borderId="0" xfId="65" applyNumberFormat="1" applyFont="1" applyAlignment="1">
      <alignment vertical="top"/>
    </xf>
    <xf numFmtId="1" fontId="43" fillId="0" borderId="0" xfId="65" applyNumberFormat="1" applyFont="1" applyAlignment="1">
      <alignment vertical="top"/>
    </xf>
    <xf numFmtId="3" fontId="48" fillId="0" borderId="1" xfId="65" applyNumberFormat="1" applyFont="1" applyBorder="1" applyAlignment="1">
      <alignment vertical="top"/>
    </xf>
    <xf numFmtId="0" fontId="3" fillId="0" borderId="2" xfId="0" applyFont="1" applyBorder="1" applyAlignment="1">
      <alignment horizontal="left"/>
    </xf>
    <xf numFmtId="171" fontId="3" fillId="0" borderId="2" xfId="0" applyNumberFormat="1" applyFont="1" applyBorder="1" applyAlignment="1">
      <alignment horizontal="center"/>
    </xf>
    <xf numFmtId="0" fontId="5" fillId="0" borderId="2" xfId="0" applyFont="1" applyBorder="1" applyAlignment="1">
      <alignment horizontal="center"/>
    </xf>
    <xf numFmtId="171" fontId="3" fillId="14" borderId="2" xfId="0" applyNumberFormat="1" applyFont="1" applyFill="1" applyBorder="1" applyAlignment="1">
      <alignment horizontal="center"/>
    </xf>
    <xf numFmtId="3" fontId="3" fillId="14" borderId="2" xfId="0" applyNumberFormat="1" applyFont="1" applyFill="1" applyBorder="1" applyAlignment="1">
      <alignment horizontal="center"/>
    </xf>
    <xf numFmtId="167" fontId="3" fillId="14" borderId="2" xfId="0" applyNumberFormat="1" applyFont="1" applyFill="1" applyBorder="1" applyAlignment="1">
      <alignment horizontal="center"/>
    </xf>
    <xf numFmtId="172" fontId="3" fillId="0" borderId="2" xfId="0" applyNumberFormat="1" applyFont="1" applyBorder="1" applyAlignment="1">
      <alignment horizontal="center"/>
    </xf>
    <xf numFmtId="173" fontId="3" fillId="0" borderId="2" xfId="0" applyNumberFormat="1" applyFont="1" applyBorder="1" applyAlignment="1">
      <alignment horizontal="center"/>
    </xf>
    <xf numFmtId="173" fontId="3" fillId="14" borderId="2" xfId="0" applyNumberFormat="1" applyFont="1" applyFill="1" applyBorder="1" applyAlignment="1">
      <alignment horizontal="center"/>
    </xf>
    <xf numFmtId="174" fontId="3" fillId="14" borderId="2" xfId="0" applyNumberFormat="1" applyFont="1" applyFill="1" applyBorder="1" applyAlignment="1">
      <alignment horizontal="center"/>
    </xf>
    <xf numFmtId="0" fontId="5" fillId="0" borderId="2" xfId="0" applyFont="1" applyBorder="1" applyAlignment="1">
      <alignment vertical="center"/>
    </xf>
    <xf numFmtId="1" fontId="5" fillId="0" borderId="2" xfId="0" applyNumberFormat="1" applyFont="1" applyBorder="1" applyAlignment="1">
      <alignment horizontal="center" vertical="center"/>
    </xf>
    <xf numFmtId="0" fontId="5" fillId="14" borderId="2" xfId="0" applyFont="1" applyFill="1" applyBorder="1" applyAlignment="1">
      <alignment vertical="center"/>
    </xf>
    <xf numFmtId="172" fontId="3" fillId="14" borderId="2" xfId="0" applyNumberFormat="1" applyFont="1" applyFill="1" applyBorder="1" applyAlignment="1">
      <alignment vertical="center"/>
    </xf>
    <xf numFmtId="172" fontId="3" fillId="14" borderId="2" xfId="0" applyNumberFormat="1" applyFont="1" applyFill="1" applyBorder="1" applyAlignment="1">
      <alignment horizontal="right" vertical="center"/>
    </xf>
    <xf numFmtId="173" fontId="5" fillId="14" borderId="2" xfId="0" applyNumberFormat="1" applyFont="1" applyFill="1" applyBorder="1" applyAlignment="1">
      <alignment vertical="center"/>
    </xf>
    <xf numFmtId="0" fontId="5" fillId="14" borderId="0" xfId="41" applyFont="1" applyFill="1" applyAlignment="1">
      <alignment horizontal="fill" vertical="center"/>
    </xf>
    <xf numFmtId="0" fontId="5" fillId="14" borderId="0" xfId="41" applyFont="1" applyFill="1" applyAlignment="1">
      <alignment horizontal="center" vertical="center"/>
    </xf>
    <xf numFmtId="166" fontId="3" fillId="14" borderId="12" xfId="0" quotePrefix="1" applyNumberFormat="1" applyFont="1" applyFill="1" applyBorder="1" applyAlignment="1">
      <alignment horizontal="center" vertical="center"/>
    </xf>
    <xf numFmtId="166" fontId="3" fillId="14" borderId="12" xfId="0" applyNumberFormat="1" applyFont="1" applyFill="1" applyBorder="1" applyAlignment="1">
      <alignment horizontal="center" vertical="center"/>
    </xf>
    <xf numFmtId="166" fontId="5" fillId="14" borderId="2" xfId="0" applyNumberFormat="1" applyFont="1" applyFill="1" applyBorder="1" applyAlignment="1">
      <alignment horizontal="center" vertical="center"/>
    </xf>
    <xf numFmtId="2" fontId="3" fillId="14" borderId="0" xfId="0" applyNumberFormat="1" applyFont="1" applyFill="1" applyAlignment="1">
      <alignment vertical="center"/>
    </xf>
    <xf numFmtId="166" fontId="3" fillId="14" borderId="0" xfId="0" applyNumberFormat="1" applyFont="1" applyFill="1" applyAlignment="1">
      <alignment vertical="center"/>
    </xf>
    <xf numFmtId="0" fontId="3" fillId="14" borderId="12" xfId="0" applyFont="1" applyFill="1" applyBorder="1" applyAlignment="1">
      <alignment horizontal="left" vertical="center" wrapText="1"/>
    </xf>
    <xf numFmtId="0" fontId="5" fillId="14" borderId="2" xfId="0" applyFont="1" applyFill="1" applyBorder="1" applyAlignment="1">
      <alignment horizontal="left" vertical="center"/>
    </xf>
    <xf numFmtId="2" fontId="5" fillId="14" borderId="2" xfId="0" applyNumberFormat="1" applyFont="1" applyFill="1" applyBorder="1" applyAlignment="1">
      <alignment horizontal="center" vertical="center"/>
    </xf>
    <xf numFmtId="0" fontId="5" fillId="0" borderId="2" xfId="41" applyFont="1" applyBorder="1" applyAlignment="1">
      <alignment horizontal="center" vertical="center"/>
    </xf>
    <xf numFmtId="166" fontId="3" fillId="0" borderId="5" xfId="0" quotePrefix="1" applyNumberFormat="1" applyFont="1" applyBorder="1" applyAlignment="1">
      <alignment horizontal="center" vertical="center"/>
    </xf>
    <xf numFmtId="166" fontId="5" fillId="0" borderId="2" xfId="0" quotePrefix="1" applyNumberFormat="1" applyFont="1" applyBorder="1" applyAlignment="1">
      <alignment horizontal="center" vertical="center"/>
    </xf>
    <xf numFmtId="0" fontId="5" fillId="0" borderId="0" xfId="0" applyFont="1" applyAlignment="1">
      <alignment vertical="center"/>
    </xf>
    <xf numFmtId="0" fontId="3" fillId="0" borderId="0" xfId="0" quotePrefix="1" applyFont="1" applyAlignment="1">
      <alignment vertical="center"/>
    </xf>
    <xf numFmtId="2" fontId="3" fillId="0" borderId="0" xfId="0" quotePrefix="1" applyNumberFormat="1" applyFont="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6" xfId="0" applyFont="1" applyBorder="1" applyAlignment="1">
      <alignment vertical="center"/>
    </xf>
    <xf numFmtId="0" fontId="5" fillId="0" borderId="0" xfId="0" applyFont="1" applyAlignment="1">
      <alignment horizontal="center" vertical="center"/>
    </xf>
    <xf numFmtId="0" fontId="5" fillId="0" borderId="4" xfId="0" applyFont="1" applyBorder="1" applyAlignment="1">
      <alignment vertical="center"/>
    </xf>
    <xf numFmtId="0" fontId="5" fillId="0" borderId="4" xfId="0" applyFont="1" applyBorder="1" applyAlignment="1">
      <alignment horizontal="center" vertical="center"/>
    </xf>
    <xf numFmtId="0" fontId="5" fillId="0" borderId="4" xfId="41" applyFont="1" applyBorder="1" applyAlignment="1">
      <alignment horizontal="center" vertical="center"/>
    </xf>
    <xf numFmtId="0" fontId="43" fillId="14" borderId="0" xfId="0" applyFont="1" applyFill="1" applyAlignment="1">
      <alignment vertical="center"/>
    </xf>
    <xf numFmtId="0" fontId="5" fillId="14" borderId="2" xfId="0" applyFont="1" applyFill="1" applyBorder="1" applyAlignment="1">
      <alignment horizontal="left"/>
    </xf>
    <xf numFmtId="2" fontId="2" fillId="21" borderId="2" xfId="0" applyNumberFormat="1" applyFont="1" applyFill="1" applyBorder="1"/>
    <xf numFmtId="171" fontId="3" fillId="14" borderId="0" xfId="0" applyNumberFormat="1" applyFont="1" applyFill="1"/>
    <xf numFmtId="0" fontId="7" fillId="13" borderId="0" xfId="0" applyFont="1" applyFill="1" applyAlignment="1">
      <alignment horizontal="left" vertical="top" wrapText="1"/>
    </xf>
    <xf numFmtId="0" fontId="9" fillId="15" borderId="3" xfId="0" applyFont="1" applyFill="1" applyBorder="1" applyAlignment="1">
      <alignment horizontal="center" wrapText="1"/>
    </xf>
    <xf numFmtId="0" fontId="9" fillId="15" borderId="3" xfId="0" applyFont="1" applyFill="1" applyBorder="1" applyAlignment="1">
      <alignment horizontal="center" vertical="center"/>
    </xf>
    <xf numFmtId="1" fontId="5" fillId="0" borderId="0" xfId="0" applyNumberFormat="1" applyFont="1" applyAlignment="1">
      <alignment horizontal="center" vertical="center"/>
    </xf>
    <xf numFmtId="167" fontId="48" fillId="0" borderId="0" xfId="0" applyNumberFormat="1" applyFont="1" applyAlignment="1">
      <alignment horizontal="center"/>
    </xf>
    <xf numFmtId="167" fontId="48" fillId="0" borderId="2" xfId="0" applyNumberFormat="1" applyFont="1" applyBorder="1" applyAlignment="1">
      <alignment horizontal="center"/>
    </xf>
    <xf numFmtId="171" fontId="3" fillId="14" borderId="2" xfId="0" applyNumberFormat="1" applyFont="1" applyFill="1" applyBorder="1"/>
    <xf numFmtId="171" fontId="3" fillId="0" borderId="0" xfId="0" applyNumberFormat="1" applyFont="1" applyAlignment="1">
      <alignment horizontal="center"/>
    </xf>
    <xf numFmtId="0" fontId="3" fillId="0" borderId="25" xfId="0" applyFont="1" applyBorder="1" applyAlignment="1">
      <alignment horizontal="center" vertical="center"/>
    </xf>
    <xf numFmtId="0" fontId="9" fillId="15" borderId="2" xfId="0" applyFont="1" applyFill="1" applyBorder="1" applyAlignment="1">
      <alignment horizontal="center" wrapText="1"/>
    </xf>
    <xf numFmtId="0" fontId="0" fillId="13" borderId="2" xfId="0" applyFill="1" applyBorder="1"/>
    <xf numFmtId="0" fontId="5" fillId="0" borderId="2" xfId="0" applyFont="1" applyBorder="1" applyAlignment="1">
      <alignment horizontal="center" vertical="center" wrapText="1"/>
    </xf>
    <xf numFmtId="9" fontId="5" fillId="0" borderId="2" xfId="0" applyNumberFormat="1" applyFont="1" applyBorder="1" applyAlignment="1">
      <alignment horizontal="center" wrapText="1"/>
    </xf>
    <xf numFmtId="0" fontId="5" fillId="0" borderId="2" xfId="0" applyFont="1" applyBorder="1" applyAlignment="1">
      <alignment horizontal="center" wrapText="1"/>
    </xf>
    <xf numFmtId="0" fontId="3" fillId="18" borderId="2" xfId="0" applyFont="1" applyFill="1" applyBorder="1" applyAlignment="1">
      <alignment horizontal="center" wrapText="1"/>
    </xf>
    <xf numFmtId="0" fontId="3" fillId="18" borderId="2" xfId="0" applyFont="1" applyFill="1" applyBorder="1" applyAlignment="1">
      <alignment horizontal="center" vertical="center"/>
    </xf>
    <xf numFmtId="2" fontId="3" fillId="18" borderId="2" xfId="0" applyNumberFormat="1" applyFont="1" applyFill="1" applyBorder="1" applyAlignment="1">
      <alignment horizontal="center"/>
    </xf>
    <xf numFmtId="2" fontId="3" fillId="0" borderId="2" xfId="0" applyNumberFormat="1" applyFont="1" applyBorder="1" applyAlignment="1">
      <alignment horizontal="center"/>
    </xf>
    <xf numFmtId="1" fontId="3" fillId="18" borderId="2" xfId="0" applyNumberFormat="1" applyFont="1" applyFill="1" applyBorder="1" applyAlignment="1">
      <alignment horizontal="center" vertical="center"/>
    </xf>
    <xf numFmtId="2" fontId="3" fillId="18" borderId="2" xfId="0" applyNumberFormat="1" applyFont="1" applyFill="1" applyBorder="1" applyAlignment="1">
      <alignment horizontal="center" wrapText="1"/>
    </xf>
    <xf numFmtId="0" fontId="3" fillId="0" borderId="2" xfId="0" applyFont="1" applyBorder="1" applyAlignment="1">
      <alignment horizontal="center" wrapText="1"/>
    </xf>
    <xf numFmtId="2" fontId="9" fillId="15" borderId="2" xfId="0" applyNumberFormat="1" applyFont="1" applyFill="1" applyBorder="1" applyAlignment="1">
      <alignment horizontal="center"/>
    </xf>
    <xf numFmtId="166" fontId="0" fillId="0" borderId="2" xfId="0" applyNumberFormat="1" applyBorder="1"/>
    <xf numFmtId="0" fontId="3" fillId="18" borderId="2" xfId="0" applyFont="1" applyFill="1" applyBorder="1" applyAlignment="1">
      <alignment horizontal="center" vertical="center" wrapText="1"/>
    </xf>
    <xf numFmtId="0" fontId="7" fillId="0" borderId="2" xfId="0" applyFont="1" applyBorder="1" applyAlignment="1">
      <alignment horizontal="center" vertical="center"/>
    </xf>
    <xf numFmtId="1" fontId="7" fillId="0" borderId="2" xfId="0" applyNumberFormat="1" applyFont="1" applyBorder="1" applyAlignment="1">
      <alignment horizontal="center" vertical="center"/>
    </xf>
    <xf numFmtId="2" fontId="3" fillId="18" borderId="2" xfId="0" applyNumberFormat="1" applyFont="1" applyFill="1" applyBorder="1" applyAlignment="1">
      <alignment horizontal="center" vertical="center"/>
    </xf>
    <xf numFmtId="2" fontId="3" fillId="14" borderId="2" xfId="0" applyNumberFormat="1" applyFont="1" applyFill="1" applyBorder="1" applyAlignment="1">
      <alignment horizontal="center"/>
    </xf>
    <xf numFmtId="167" fontId="3" fillId="0" borderId="2" xfId="3" applyNumberFormat="1" applyFont="1" applyFill="1" applyBorder="1" applyAlignment="1">
      <alignment horizontal="center" vertical="center" wrapText="1"/>
    </xf>
    <xf numFmtId="2" fontId="3" fillId="0" borderId="2" xfId="0" applyNumberFormat="1" applyFont="1" applyBorder="1" applyAlignment="1">
      <alignment horizontal="center" vertical="center"/>
    </xf>
    <xf numFmtId="0" fontId="3" fillId="0" borderId="2" xfId="0" applyFont="1" applyBorder="1" applyAlignment="1">
      <alignment horizontal="center" vertical="top" wrapText="1"/>
    </xf>
    <xf numFmtId="2" fontId="3" fillId="0" borderId="2" xfId="0" applyNumberFormat="1" applyFont="1" applyBorder="1" applyAlignment="1">
      <alignment horizontal="center" vertical="top"/>
    </xf>
    <xf numFmtId="0" fontId="0" fillId="13" borderId="3" xfId="0" applyFill="1" applyBorder="1"/>
    <xf numFmtId="9" fontId="5" fillId="0" borderId="3" xfId="0" applyNumberFormat="1" applyFont="1" applyBorder="1" applyAlignment="1">
      <alignment horizontal="center" wrapText="1"/>
    </xf>
    <xf numFmtId="0" fontId="5" fillId="0" borderId="3" xfId="0" applyFont="1" applyBorder="1" applyAlignment="1">
      <alignment horizontal="center" wrapText="1"/>
    </xf>
    <xf numFmtId="2" fontId="3" fillId="18" borderId="3" xfId="0" applyNumberFormat="1" applyFont="1" applyFill="1" applyBorder="1" applyAlignment="1">
      <alignment horizontal="center"/>
    </xf>
    <xf numFmtId="2" fontId="3" fillId="18" borderId="3" xfId="0" applyNumberFormat="1" applyFont="1" applyFill="1" applyBorder="1" applyAlignment="1">
      <alignment horizontal="center" wrapText="1"/>
    </xf>
    <xf numFmtId="2" fontId="3" fillId="14" borderId="3" xfId="0" applyNumberFormat="1" applyFont="1" applyFill="1" applyBorder="1" applyAlignment="1">
      <alignment horizontal="center"/>
    </xf>
    <xf numFmtId="2" fontId="3" fillId="0" borderId="3" xfId="0" applyNumberFormat="1" applyFont="1" applyBorder="1" applyAlignment="1">
      <alignment horizontal="center" vertical="center"/>
    </xf>
    <xf numFmtId="2" fontId="3" fillId="0" borderId="3" xfId="0" applyNumberFormat="1" applyFont="1" applyBorder="1" applyAlignment="1">
      <alignment horizontal="center" vertical="top"/>
    </xf>
    <xf numFmtId="2" fontId="9" fillId="15" borderId="3" xfId="0" applyNumberFormat="1" applyFont="1" applyFill="1" applyBorder="1" applyAlignment="1">
      <alignment horizontal="center"/>
    </xf>
    <xf numFmtId="0" fontId="0" fillId="0" borderId="3" xfId="0" applyBorder="1"/>
    <xf numFmtId="0" fontId="5" fillId="0" borderId="3" xfId="0" applyFont="1" applyBorder="1" applyAlignment="1">
      <alignment horizontal="center" vertical="center" wrapText="1"/>
    </xf>
    <xf numFmtId="0" fontId="0" fillId="14" borderId="0" xfId="0" applyFill="1"/>
    <xf numFmtId="0" fontId="44" fillId="14" borderId="0" xfId="0" applyFont="1" applyFill="1"/>
    <xf numFmtId="0" fontId="54" fillId="14" borderId="0" xfId="0" applyFont="1" applyFill="1"/>
    <xf numFmtId="1" fontId="54" fillId="14" borderId="0" xfId="0" applyNumberFormat="1" applyFont="1" applyFill="1"/>
    <xf numFmtId="2" fontId="3" fillId="18" borderId="3" xfId="0" applyNumberFormat="1" applyFont="1" applyFill="1" applyBorder="1" applyAlignment="1">
      <alignment horizontal="center" vertical="center"/>
    </xf>
    <xf numFmtId="9" fontId="9" fillId="15" borderId="2" xfId="3" applyFont="1" applyFill="1" applyBorder="1" applyAlignment="1">
      <alignment horizontal="center" vertical="center"/>
    </xf>
    <xf numFmtId="1" fontId="3" fillId="0" borderId="2" xfId="0" applyNumberFormat="1" applyFont="1" applyBorder="1" applyAlignment="1">
      <alignment horizontal="center"/>
    </xf>
    <xf numFmtId="3" fontId="3" fillId="0" borderId="2" xfId="0" applyNumberFormat="1" applyFont="1" applyBorder="1" applyAlignment="1">
      <alignment horizontal="center" vertical="center"/>
    </xf>
    <xf numFmtId="0" fontId="3" fillId="0" borderId="2" xfId="0" quotePrefix="1" applyFont="1" applyBorder="1" applyAlignment="1">
      <alignment horizontal="center" vertical="center"/>
    </xf>
    <xf numFmtId="0" fontId="3" fillId="0" borderId="3" xfId="0" applyFont="1" applyBorder="1" applyAlignment="1">
      <alignment horizontal="center" vertical="center"/>
    </xf>
    <xf numFmtId="9" fontId="3" fillId="0" borderId="2" xfId="3" applyFont="1" applyFill="1" applyBorder="1" applyAlignment="1">
      <alignment horizontal="center"/>
    </xf>
    <xf numFmtId="0" fontId="5" fillId="14" borderId="3" xfId="52" applyFont="1" applyFill="1" applyBorder="1" applyAlignment="1">
      <alignment horizontal="left"/>
    </xf>
    <xf numFmtId="0" fontId="3" fillId="14" borderId="0" xfId="52" applyFont="1" applyFill="1" applyAlignment="1">
      <alignment horizontal="left"/>
    </xf>
    <xf numFmtId="0" fontId="5" fillId="14" borderId="11" xfId="52" applyFont="1" applyFill="1" applyBorder="1"/>
    <xf numFmtId="0" fontId="3" fillId="14" borderId="4" xfId="52" applyFont="1" applyFill="1" applyBorder="1"/>
    <xf numFmtId="0" fontId="3" fillId="14" borderId="2" xfId="52" applyFont="1" applyFill="1" applyBorder="1" applyAlignment="1">
      <alignment horizontal="center"/>
    </xf>
    <xf numFmtId="0" fontId="3" fillId="14" borderId="2" xfId="52" applyFont="1" applyFill="1" applyBorder="1"/>
    <xf numFmtId="1" fontId="3" fillId="14" borderId="2" xfId="52" applyNumberFormat="1" applyFont="1" applyFill="1" applyBorder="1" applyAlignment="1">
      <alignment horizontal="center"/>
    </xf>
    <xf numFmtId="9" fontId="3" fillId="14" borderId="2" xfId="52" applyNumberFormat="1" applyFont="1" applyFill="1" applyBorder="1" applyAlignment="1">
      <alignment horizontal="center"/>
    </xf>
    <xf numFmtId="3" fontId="3" fillId="14" borderId="2" xfId="52" applyNumberFormat="1" applyFont="1" applyFill="1" applyBorder="1" applyAlignment="1">
      <alignment horizontal="center"/>
    </xf>
    <xf numFmtId="1" fontId="3" fillId="14" borderId="0" xfId="52" applyNumberFormat="1" applyFont="1" applyFill="1"/>
    <xf numFmtId="0" fontId="3" fillId="0" borderId="2" xfId="52" applyFont="1" applyBorder="1"/>
    <xf numFmtId="0" fontId="3" fillId="0" borderId="2" xfId="52" quotePrefix="1" applyFont="1" applyBorder="1" applyAlignment="1">
      <alignment horizontal="center"/>
    </xf>
    <xf numFmtId="0" fontId="3" fillId="0" borderId="2" xfId="52" applyFont="1" applyBorder="1" applyAlignment="1">
      <alignment horizontal="center"/>
    </xf>
    <xf numFmtId="0" fontId="3" fillId="0" borderId="2" xfId="65" applyFont="1" applyBorder="1" applyAlignment="1">
      <alignment horizontal="center" vertical="top"/>
    </xf>
    <xf numFmtId="0" fontId="5" fillId="0" borderId="2" xfId="65" applyFont="1" applyBorder="1" applyAlignment="1">
      <alignment horizontal="left" vertical="top"/>
    </xf>
    <xf numFmtId="0" fontId="5" fillId="0" borderId="2" xfId="65" applyFont="1" applyBorder="1" applyAlignment="1">
      <alignment horizontal="right" vertical="top"/>
    </xf>
    <xf numFmtId="0" fontId="5" fillId="0" borderId="2" xfId="65" applyFont="1" applyBorder="1" applyAlignment="1">
      <alignment vertical="top"/>
    </xf>
    <xf numFmtId="166" fontId="3" fillId="0" borderId="2" xfId="65" applyNumberFormat="1" applyFont="1" applyBorder="1" applyAlignment="1">
      <alignment horizontal="center" vertical="top"/>
    </xf>
    <xf numFmtId="0" fontId="3" fillId="0" borderId="2" xfId="65" applyFont="1" applyBorder="1" applyAlignment="1">
      <alignment horizontal="left" vertical="top"/>
    </xf>
    <xf numFmtId="3" fontId="3" fillId="0" borderId="2" xfId="65" applyNumberFormat="1" applyFont="1" applyBorder="1" applyAlignment="1">
      <alignment vertical="top"/>
    </xf>
    <xf numFmtId="0" fontId="3" fillId="0" borderId="2" xfId="65" quotePrefix="1" applyFont="1" applyBorder="1" applyAlignment="1">
      <alignment horizontal="left" vertical="top"/>
    </xf>
    <xf numFmtId="3" fontId="3" fillId="0" borderId="2" xfId="65" applyNumberFormat="1" applyFont="1" applyBorder="1" applyAlignment="1">
      <alignment horizontal="right" vertical="top"/>
    </xf>
    <xf numFmtId="170" fontId="3" fillId="0" borderId="2" xfId="65" applyNumberFormat="1" applyFont="1" applyBorder="1" applyAlignment="1">
      <alignment vertical="top"/>
    </xf>
    <xf numFmtId="3" fontId="5" fillId="0" borderId="2" xfId="65" applyNumberFormat="1" applyFont="1" applyBorder="1" applyAlignment="1">
      <alignment vertical="top"/>
    </xf>
    <xf numFmtId="1" fontId="3" fillId="0" borderId="2" xfId="65" applyNumberFormat="1" applyFont="1" applyBorder="1" applyAlignment="1">
      <alignment vertical="top"/>
    </xf>
    <xf numFmtId="0" fontId="59" fillId="0" borderId="2" xfId="0" applyFont="1" applyBorder="1"/>
    <xf numFmtId="3" fontId="5" fillId="0" borderId="0" xfId="0" applyNumberFormat="1" applyFont="1" applyAlignment="1">
      <alignment horizontal="center"/>
    </xf>
    <xf numFmtId="0" fontId="5" fillId="0" borderId="0" xfId="0" applyFont="1" applyAlignment="1">
      <alignment horizontal="center"/>
    </xf>
    <xf numFmtId="0" fontId="3" fillId="13" borderId="2" xfId="0" applyFont="1" applyFill="1" applyBorder="1"/>
    <xf numFmtId="3" fontId="5" fillId="0" borderId="2" xfId="0" applyNumberFormat="1" applyFont="1" applyBorder="1" applyAlignment="1">
      <alignment horizontal="center"/>
    </xf>
    <xf numFmtId="3" fontId="5" fillId="0" borderId="2" xfId="0" applyNumberFormat="1" applyFont="1" applyBorder="1" applyAlignment="1">
      <alignment horizontal="left"/>
    </xf>
    <xf numFmtId="0" fontId="3" fillId="13" borderId="2" xfId="0" applyFont="1" applyFill="1" applyBorder="1" applyAlignment="1">
      <alignment horizontal="center"/>
    </xf>
    <xf numFmtId="3" fontId="3" fillId="0" borderId="2" xfId="0" applyNumberFormat="1" applyFont="1" applyBorder="1" applyAlignment="1">
      <alignment horizontal="left"/>
    </xf>
    <xf numFmtId="166" fontId="2" fillId="14" borderId="2" xfId="0" applyNumberFormat="1" applyFont="1" applyFill="1" applyBorder="1" applyAlignment="1">
      <alignment horizontal="center"/>
    </xf>
    <xf numFmtId="171" fontId="8" fillId="14" borderId="0" xfId="0" applyNumberFormat="1" applyFont="1" applyFill="1" applyAlignment="1">
      <alignment horizontal="center"/>
    </xf>
    <xf numFmtId="0" fontId="5" fillId="0" borderId="0" xfId="0" applyFont="1"/>
    <xf numFmtId="1" fontId="5" fillId="0" borderId="2" xfId="0" applyNumberFormat="1" applyFont="1" applyBorder="1" applyAlignment="1">
      <alignment horizontal="center"/>
    </xf>
    <xf numFmtId="9" fontId="3" fillId="0" borderId="2" xfId="0" applyNumberFormat="1" applyFont="1" applyBorder="1"/>
    <xf numFmtId="1" fontId="3" fillId="0" borderId="2" xfId="0" applyNumberFormat="1" applyFont="1" applyBorder="1"/>
    <xf numFmtId="1" fontId="5" fillId="0" borderId="2" xfId="0" applyNumberFormat="1" applyFont="1" applyBorder="1"/>
    <xf numFmtId="3" fontId="3" fillId="0" borderId="0" xfId="0" applyNumberFormat="1" applyFont="1" applyAlignment="1">
      <alignment horizontal="center"/>
    </xf>
    <xf numFmtId="9" fontId="3" fillId="0" borderId="2" xfId="0" applyNumberFormat="1" applyFont="1" applyBorder="1" applyAlignment="1">
      <alignment horizontal="center"/>
    </xf>
    <xf numFmtId="9" fontId="3" fillId="14" borderId="2" xfId="0" applyNumberFormat="1" applyFont="1" applyFill="1" applyBorder="1" applyAlignment="1">
      <alignment horizontal="center"/>
    </xf>
    <xf numFmtId="3" fontId="5" fillId="14" borderId="2" xfId="0" applyNumberFormat="1" applyFont="1" applyFill="1" applyBorder="1" applyAlignment="1">
      <alignment horizontal="center"/>
    </xf>
    <xf numFmtId="9" fontId="5" fillId="14" borderId="2" xfId="0" applyNumberFormat="1" applyFont="1" applyFill="1" applyBorder="1" applyAlignment="1">
      <alignment horizontal="center" vertical="center"/>
    </xf>
    <xf numFmtId="1" fontId="2" fillId="18" borderId="0" xfId="0" applyNumberFormat="1" applyFont="1" applyFill="1" applyAlignment="1">
      <alignment horizontal="center"/>
    </xf>
    <xf numFmtId="4" fontId="3" fillId="14" borderId="0" xfId="0" applyNumberFormat="1" applyFont="1" applyFill="1" applyAlignment="1">
      <alignment horizontal="center" vertical="center"/>
    </xf>
    <xf numFmtId="0" fontId="2" fillId="14" borderId="0" xfId="0" applyFont="1" applyFill="1"/>
    <xf numFmtId="1" fontId="2" fillId="0" borderId="2" xfId="0" applyNumberFormat="1" applyFont="1" applyBorder="1" applyAlignment="1">
      <alignment horizontal="center" vertical="center"/>
    </xf>
    <xf numFmtId="14" fontId="9" fillId="15" borderId="9" xfId="0" applyNumberFormat="1" applyFont="1" applyFill="1" applyBorder="1" applyAlignment="1">
      <alignment horizontal="center" vertical="center"/>
    </xf>
    <xf numFmtId="14" fontId="9" fillId="15" borderId="2" xfId="0" applyNumberFormat="1" applyFont="1" applyFill="1" applyBorder="1" applyAlignment="1">
      <alignment horizontal="center" vertical="center"/>
    </xf>
    <xf numFmtId="0" fontId="2" fillId="0" borderId="2" xfId="0" applyFont="1" applyBorder="1" applyAlignment="1">
      <alignment horizontal="center" vertical="top"/>
    </xf>
    <xf numFmtId="1" fontId="3" fillId="0" borderId="2"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49" fillId="14" borderId="2" xfId="0" applyFont="1" applyFill="1" applyBorder="1" applyAlignment="1">
      <alignment horizontal="center"/>
    </xf>
    <xf numFmtId="1" fontId="3" fillId="0" borderId="2" xfId="45" applyNumberFormat="1" applyFont="1" applyBorder="1" applyAlignment="1">
      <alignment horizontal="center" vertical="center"/>
    </xf>
    <xf numFmtId="0" fontId="49" fillId="0" borderId="2" xfId="0" applyFont="1" applyBorder="1" applyAlignment="1">
      <alignment horizontal="center"/>
    </xf>
    <xf numFmtId="0" fontId="49" fillId="0" borderId="2" xfId="0" applyFont="1" applyBorder="1" applyAlignment="1">
      <alignment horizontal="center" vertical="center"/>
    </xf>
    <xf numFmtId="1" fontId="3" fillId="0" borderId="2" xfId="45" applyNumberFormat="1" applyFont="1" applyBorder="1" applyAlignment="1">
      <alignment horizontal="center" vertical="center" wrapText="1"/>
    </xf>
    <xf numFmtId="1" fontId="2" fillId="0" borderId="2" xfId="0" applyNumberFormat="1" applyFont="1" applyBorder="1" applyAlignment="1">
      <alignment horizontal="center" wrapText="1"/>
    </xf>
    <xf numFmtId="2" fontId="3" fillId="0" borderId="2" xfId="0" applyNumberFormat="1" applyFont="1" applyBorder="1" applyAlignment="1">
      <alignment horizontal="center" vertical="center" wrapText="1"/>
    </xf>
    <xf numFmtId="1" fontId="3" fillId="14" borderId="2" xfId="0" applyNumberFormat="1" applyFont="1" applyFill="1" applyBorder="1" applyAlignment="1">
      <alignment horizontal="center" vertical="center"/>
    </xf>
    <xf numFmtId="1" fontId="7" fillId="3" borderId="2" xfId="0" applyNumberFormat="1" applyFont="1" applyFill="1" applyBorder="1" applyAlignment="1">
      <alignment horizontal="center" vertical="center"/>
    </xf>
    <xf numFmtId="0" fontId="2" fillId="14" borderId="2" xfId="0" applyFont="1" applyFill="1" applyBorder="1"/>
    <xf numFmtId="9" fontId="3" fillId="14" borderId="2" xfId="0" applyNumberFormat="1" applyFont="1" applyFill="1" applyBorder="1"/>
    <xf numFmtId="0" fontId="60" fillId="0" borderId="2" xfId="0" applyFont="1" applyBorder="1"/>
    <xf numFmtId="167" fontId="2" fillId="0" borderId="2" xfId="0" applyNumberFormat="1" applyFont="1" applyBorder="1" applyAlignment="1">
      <alignment horizontal="center" vertical="center"/>
    </xf>
    <xf numFmtId="167" fontId="2" fillId="0" borderId="0" xfId="0" applyNumberFormat="1" applyFont="1" applyAlignment="1">
      <alignment horizontal="center" vertical="center"/>
    </xf>
    <xf numFmtId="2" fontId="2" fillId="0" borderId="2" xfId="0" applyNumberFormat="1" applyFont="1" applyBorder="1" applyAlignment="1">
      <alignment horizontal="center" vertical="center"/>
    </xf>
    <xf numFmtId="9" fontId="2" fillId="0" borderId="2" xfId="3" applyFont="1" applyBorder="1" applyAlignment="1">
      <alignment horizontal="center"/>
    </xf>
    <xf numFmtId="166" fontId="3" fillId="0" borderId="2" xfId="0" applyNumberFormat="1" applyFont="1" applyBorder="1" applyAlignment="1">
      <alignment horizontal="center"/>
    </xf>
    <xf numFmtId="166" fontId="43" fillId="0" borderId="2" xfId="0" applyNumberFormat="1" applyFont="1" applyBorder="1" applyAlignment="1">
      <alignment horizontal="center"/>
    </xf>
    <xf numFmtId="2" fontId="43" fillId="0" borderId="0" xfId="5" applyNumberFormat="1" applyFont="1" applyFill="1" applyBorder="1" applyAlignment="1">
      <alignment horizontal="center"/>
    </xf>
    <xf numFmtId="9" fontId="2" fillId="0" borderId="0" xfId="3" applyFont="1"/>
    <xf numFmtId="0" fontId="43" fillId="0" borderId="0" xfId="65" applyFont="1"/>
    <xf numFmtId="0" fontId="3" fillId="0" borderId="0" xfId="65" applyFont="1" applyAlignment="1">
      <alignment horizontal="center" vertical="top"/>
    </xf>
    <xf numFmtId="0" fontId="3" fillId="14" borderId="2" xfId="65" applyFont="1" applyFill="1" applyBorder="1" applyAlignment="1">
      <alignment horizontal="left" vertical="top"/>
    </xf>
    <xf numFmtId="3" fontId="3" fillId="14" borderId="2" xfId="65" applyNumberFormat="1" applyFont="1" applyFill="1" applyBorder="1" applyAlignment="1">
      <alignment vertical="top"/>
    </xf>
    <xf numFmtId="3" fontId="3" fillId="19" borderId="2" xfId="65" applyNumberFormat="1" applyFont="1" applyFill="1" applyBorder="1" applyAlignment="1">
      <alignment vertical="top"/>
    </xf>
    <xf numFmtId="0" fontId="3" fillId="0" borderId="0" xfId="65" applyFont="1" applyAlignment="1">
      <alignment vertical="top"/>
    </xf>
    <xf numFmtId="3" fontId="43" fillId="19" borderId="2" xfId="65" applyNumberFormat="1" applyFont="1" applyFill="1" applyBorder="1" applyAlignment="1">
      <alignment vertical="top"/>
    </xf>
    <xf numFmtId="2" fontId="6" fillId="0" borderId="0" xfId="0" applyNumberFormat="1" applyFont="1" applyAlignment="1">
      <alignment horizontal="center" vertical="center" wrapText="1"/>
    </xf>
    <xf numFmtId="167" fontId="8" fillId="14" borderId="2" xfId="0" applyNumberFormat="1" applyFont="1" applyFill="1" applyBorder="1" applyAlignment="1" applyProtection="1">
      <alignment horizontal="center"/>
      <protection locked="0"/>
    </xf>
    <xf numFmtId="166" fontId="8" fillId="14" borderId="2" xfId="0" applyNumberFormat="1" applyFont="1" applyFill="1" applyBorder="1" applyAlignment="1" applyProtection="1">
      <alignment horizontal="center"/>
      <protection locked="0"/>
    </xf>
    <xf numFmtId="2" fontId="7" fillId="0" borderId="0" xfId="0" applyNumberFormat="1" applyFont="1" applyAlignment="1">
      <alignment horizontal="center" vertical="center" wrapText="1"/>
    </xf>
    <xf numFmtId="0" fontId="8" fillId="14" borderId="0" xfId="0" applyFont="1" applyFill="1"/>
    <xf numFmtId="0" fontId="6" fillId="14" borderId="2" xfId="0" applyFont="1" applyFill="1" applyBorder="1" applyAlignment="1">
      <alignment vertical="center"/>
    </xf>
    <xf numFmtId="0" fontId="2" fillId="14" borderId="0" xfId="0" applyFont="1" applyFill="1" applyAlignment="1">
      <alignment vertical="center"/>
    </xf>
    <xf numFmtId="0" fontId="3" fillId="14" borderId="4" xfId="0" applyFont="1" applyFill="1" applyBorder="1" applyAlignment="1">
      <alignment vertical="center"/>
    </xf>
    <xf numFmtId="3" fontId="3" fillId="14" borderId="4" xfId="0" applyNumberFormat="1" applyFont="1" applyFill="1" applyBorder="1" applyAlignment="1">
      <alignment horizontal="center" vertical="center"/>
    </xf>
    <xf numFmtId="10" fontId="3" fillId="14" borderId="11" xfId="0" applyNumberFormat="1" applyFont="1" applyFill="1" applyBorder="1" applyAlignment="1">
      <alignment horizontal="center" vertical="center" wrapText="1"/>
    </xf>
    <xf numFmtId="9" fontId="3" fillId="14" borderId="11" xfId="0" applyNumberFormat="1" applyFont="1" applyFill="1" applyBorder="1" applyAlignment="1">
      <alignment horizontal="center" vertical="center" wrapText="1"/>
    </xf>
    <xf numFmtId="0" fontId="7" fillId="14" borderId="2" xfId="0" applyFont="1" applyFill="1" applyBorder="1" applyAlignment="1">
      <alignment vertical="center"/>
    </xf>
    <xf numFmtId="3" fontId="3" fillId="14" borderId="2" xfId="0" applyNumberFormat="1" applyFont="1" applyFill="1" applyBorder="1" applyAlignment="1">
      <alignment horizontal="center" vertical="center"/>
    </xf>
    <xf numFmtId="0" fontId="7" fillId="14" borderId="0" xfId="0" applyFont="1" applyFill="1" applyAlignment="1">
      <alignment vertical="center"/>
    </xf>
    <xf numFmtId="3" fontId="3" fillId="14" borderId="0" xfId="0" applyNumberFormat="1" applyFont="1" applyFill="1" applyAlignment="1">
      <alignment horizontal="center" vertical="center"/>
    </xf>
    <xf numFmtId="0" fontId="8" fillId="14" borderId="2" xfId="0" applyFont="1" applyFill="1" applyBorder="1" applyAlignment="1">
      <alignment horizontal="center" vertical="center"/>
    </xf>
    <xf numFmtId="0" fontId="2" fillId="14" borderId="0" xfId="0" applyFont="1" applyFill="1" applyAlignment="1">
      <alignment horizontal="center" vertical="center"/>
    </xf>
    <xf numFmtId="0" fontId="2" fillId="14" borderId="12" xfId="0" applyFont="1" applyFill="1" applyBorder="1" applyAlignment="1">
      <alignment vertical="center"/>
    </xf>
    <xf numFmtId="0" fontId="2" fillId="14" borderId="12" xfId="0" applyFont="1" applyFill="1" applyBorder="1" applyAlignment="1">
      <alignment horizontal="center" vertical="center"/>
    </xf>
    <xf numFmtId="0" fontId="2" fillId="14" borderId="4" xfId="0" applyFont="1" applyFill="1" applyBorder="1" applyAlignment="1">
      <alignment horizontal="center" vertical="center"/>
    </xf>
    <xf numFmtId="0" fontId="8" fillId="14" borderId="2" xfId="0" applyFont="1" applyFill="1" applyBorder="1" applyAlignment="1">
      <alignment vertical="center"/>
    </xf>
    <xf numFmtId="3" fontId="8" fillId="14" borderId="2" xfId="0" applyNumberFormat="1" applyFont="1" applyFill="1" applyBorder="1" applyAlignment="1">
      <alignment horizontal="center" vertical="center"/>
    </xf>
    <xf numFmtId="0" fontId="2" fillId="14" borderId="5" xfId="0" applyFont="1" applyFill="1" applyBorder="1" applyAlignment="1">
      <alignment horizontal="center" vertical="center"/>
    </xf>
    <xf numFmtId="3" fontId="2" fillId="14" borderId="5" xfId="0" applyNumberFormat="1" applyFont="1" applyFill="1" applyBorder="1" applyAlignment="1">
      <alignment horizontal="center" vertical="center"/>
    </xf>
    <xf numFmtId="0" fontId="8" fillId="14" borderId="4" xfId="0" applyFont="1" applyFill="1" applyBorder="1" applyAlignment="1">
      <alignment horizontal="center" vertical="center"/>
    </xf>
    <xf numFmtId="166" fontId="5" fillId="0" borderId="2" xfId="0" applyNumberFormat="1" applyFont="1" applyBorder="1" applyAlignment="1">
      <alignment horizontal="center" vertical="center"/>
    </xf>
    <xf numFmtId="0" fontId="8" fillId="0" borderId="0" xfId="0" applyFont="1"/>
    <xf numFmtId="0" fontId="3" fillId="0" borderId="2" xfId="0" applyFont="1" applyBorder="1" applyAlignment="1">
      <alignment vertical="center"/>
    </xf>
    <xf numFmtId="171" fontId="2" fillId="0" borderId="0" xfId="0" applyNumberFormat="1" applyFont="1"/>
    <xf numFmtId="166" fontId="59" fillId="0" borderId="2" xfId="0" applyNumberFormat="1" applyFont="1" applyBorder="1"/>
    <xf numFmtId="10" fontId="5" fillId="14" borderId="2" xfId="0" applyNumberFormat="1" applyFont="1" applyFill="1" applyBorder="1" applyAlignment="1">
      <alignment horizontal="center"/>
    </xf>
    <xf numFmtId="10" fontId="5" fillId="14" borderId="2" xfId="3" applyNumberFormat="1" applyFont="1" applyFill="1" applyBorder="1" applyAlignment="1">
      <alignment horizontal="center"/>
    </xf>
    <xf numFmtId="1" fontId="61" fillId="18" borderId="0" xfId="0" applyNumberFormat="1" applyFont="1" applyFill="1"/>
    <xf numFmtId="2" fontId="39" fillId="15" borderId="13" xfId="0" applyNumberFormat="1" applyFont="1" applyFill="1" applyBorder="1" applyAlignment="1">
      <alignment horizontal="center"/>
    </xf>
    <xf numFmtId="177" fontId="3" fillId="0" borderId="0" xfId="0" applyNumberFormat="1" applyFont="1" applyAlignment="1">
      <alignment horizontal="center"/>
    </xf>
    <xf numFmtId="9" fontId="3" fillId="14" borderId="2" xfId="0" applyNumberFormat="1" applyFont="1" applyFill="1" applyBorder="1" applyAlignment="1">
      <alignment vertical="center"/>
    </xf>
    <xf numFmtId="2" fontId="3" fillId="14" borderId="2" xfId="0" applyNumberFormat="1" applyFont="1" applyFill="1" applyBorder="1" applyAlignment="1">
      <alignment horizontal="center" vertical="center"/>
    </xf>
    <xf numFmtId="2" fontId="0" fillId="13" borderId="0" xfId="0" applyNumberFormat="1" applyFill="1"/>
    <xf numFmtId="1" fontId="0" fillId="13" borderId="0" xfId="0" applyNumberFormat="1" applyFill="1"/>
    <xf numFmtId="0" fontId="2" fillId="0" borderId="29" xfId="0" applyFont="1" applyBorder="1" applyAlignment="1">
      <alignment horizontal="center" vertical="center"/>
    </xf>
    <xf numFmtId="0" fontId="2" fillId="0" borderId="29" xfId="0" applyFont="1" applyBorder="1" applyAlignment="1">
      <alignment horizontal="left" vertical="center"/>
    </xf>
    <xf numFmtId="1" fontId="2" fillId="13" borderId="0" xfId="0" applyNumberFormat="1" applyFont="1" applyFill="1"/>
    <xf numFmtId="1" fontId="2" fillId="14" borderId="2" xfId="0" applyNumberFormat="1" applyFont="1" applyFill="1" applyBorder="1" applyAlignment="1">
      <alignment horizontal="center" vertical="center"/>
    </xf>
    <xf numFmtId="171" fontId="8" fillId="0" borderId="0" xfId="0" applyNumberFormat="1" applyFont="1" applyAlignment="1">
      <alignment horizontal="center"/>
    </xf>
    <xf numFmtId="0" fontId="61" fillId="18" borderId="0" xfId="0" applyFont="1" applyFill="1"/>
    <xf numFmtId="0" fontId="0" fillId="0" borderId="2" xfId="0" applyBorder="1" applyAlignment="1">
      <alignment horizontal="center" vertical="center" wrapText="1"/>
    </xf>
    <xf numFmtId="0" fontId="38" fillId="15" borderId="2" xfId="0" applyFont="1" applyFill="1" applyBorder="1" applyAlignment="1">
      <alignment horizontal="center"/>
    </xf>
    <xf numFmtId="0" fontId="40" fillId="16" borderId="2" xfId="0" applyFont="1" applyFill="1" applyBorder="1" applyAlignment="1">
      <alignment horizontal="center" wrapText="1"/>
    </xf>
    <xf numFmtId="0" fontId="40" fillId="16" borderId="2" xfId="0" applyFont="1" applyFill="1" applyBorder="1" applyAlignment="1">
      <alignment horizontal="center" vertical="center" wrapText="1"/>
    </xf>
    <xf numFmtId="0" fontId="4" fillId="15" borderId="2" xfId="0" applyFont="1" applyFill="1" applyBorder="1" applyAlignment="1">
      <alignment horizontal="center"/>
    </xf>
    <xf numFmtId="0" fontId="9" fillId="15" borderId="10" xfId="0" applyFont="1" applyFill="1" applyBorder="1" applyAlignment="1">
      <alignment horizontal="center" vertical="center"/>
    </xf>
    <xf numFmtId="0" fontId="9" fillId="15" borderId="1" xfId="0" applyFont="1" applyFill="1" applyBorder="1" applyAlignment="1">
      <alignment horizontal="center" vertical="center"/>
    </xf>
    <xf numFmtId="0" fontId="45" fillId="15" borderId="1" xfId="0" applyFont="1" applyFill="1" applyBorder="1" applyAlignment="1">
      <alignment horizontal="center"/>
    </xf>
    <xf numFmtId="0" fontId="45" fillId="15" borderId="2" xfId="0" applyFont="1" applyFill="1" applyBorder="1" applyAlignment="1">
      <alignment horizontal="center"/>
    </xf>
    <xf numFmtId="0" fontId="8"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45" fillId="15" borderId="0" xfId="0" applyFont="1" applyFill="1" applyAlignment="1">
      <alignment horizontal="center" vertical="center"/>
    </xf>
    <xf numFmtId="0" fontId="3" fillId="0" borderId="3" xfId="0" applyFont="1" applyBorder="1" applyAlignment="1">
      <alignment horizontal="center"/>
    </xf>
    <xf numFmtId="0" fontId="3" fillId="0" borderId="13" xfId="0" applyFont="1" applyBorder="1" applyAlignment="1">
      <alignment horizontal="center"/>
    </xf>
    <xf numFmtId="0" fontId="3" fillId="0" borderId="6" xfId="0" applyFont="1" applyBorder="1" applyAlignment="1">
      <alignment horizontal="center"/>
    </xf>
    <xf numFmtId="0" fontId="7" fillId="13" borderId="0" xfId="0" applyFont="1" applyFill="1" applyAlignment="1">
      <alignment horizontal="left" vertical="top" wrapText="1"/>
    </xf>
    <xf numFmtId="0" fontId="9" fillId="15" borderId="2" xfId="0" applyFont="1" applyFill="1" applyBorder="1" applyAlignment="1">
      <alignment horizontal="center" vertical="center" wrapText="1"/>
    </xf>
    <xf numFmtId="0" fontId="9" fillId="15" borderId="2" xfId="0" applyFont="1" applyFill="1" applyBorder="1" applyAlignment="1">
      <alignment horizontal="center" wrapText="1"/>
    </xf>
    <xf numFmtId="2" fontId="6" fillId="0" borderId="0" xfId="0" applyNumberFormat="1" applyFont="1" applyAlignment="1">
      <alignment horizontal="center" vertical="center" wrapText="1"/>
    </xf>
    <xf numFmtId="2" fontId="9" fillId="15" borderId="0" xfId="4" applyNumberFormat="1" applyFont="1" applyFill="1" applyBorder="1" applyAlignment="1">
      <alignment horizontal="center" vertical="center"/>
    </xf>
    <xf numFmtId="0" fontId="9" fillId="15" borderId="3" xfId="0" applyFont="1" applyFill="1" applyBorder="1" applyAlignment="1">
      <alignment horizontal="center" vertical="center"/>
    </xf>
    <xf numFmtId="0" fontId="9" fillId="15" borderId="13" xfId="0" applyFont="1" applyFill="1" applyBorder="1" applyAlignment="1">
      <alignment horizontal="center" vertical="center"/>
    </xf>
    <xf numFmtId="0" fontId="9" fillId="15" borderId="2" xfId="0" applyFont="1" applyFill="1" applyBorder="1" applyAlignment="1">
      <alignment horizontal="center" vertical="center"/>
    </xf>
    <xf numFmtId="0" fontId="8" fillId="0" borderId="2" xfId="4" applyFont="1" applyFill="1" applyBorder="1" applyAlignment="1">
      <alignment horizontal="center" vertical="center"/>
    </xf>
    <xf numFmtId="0" fontId="9" fillId="15" borderId="7" xfId="4"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3" fillId="14" borderId="2" xfId="61" quotePrefix="1" applyFont="1" applyFill="1" applyBorder="1" applyAlignment="1">
      <alignment horizontal="center" vertical="top"/>
    </xf>
    <xf numFmtId="0" fontId="8" fillId="0" borderId="3" xfId="0" applyFont="1" applyBorder="1" applyAlignment="1">
      <alignment horizontal="center"/>
    </xf>
    <xf numFmtId="0" fontId="8" fillId="0" borderId="6" xfId="0" applyFont="1" applyBorder="1" applyAlignment="1">
      <alignment horizontal="center"/>
    </xf>
    <xf numFmtId="0" fontId="5" fillId="14" borderId="2" xfId="65" quotePrefix="1" applyFont="1" applyFill="1" applyBorder="1" applyAlignment="1">
      <alignment horizontal="center" vertical="top"/>
    </xf>
    <xf numFmtId="0" fontId="9" fillId="15" borderId="1" xfId="0" applyFont="1" applyFill="1" applyBorder="1" applyAlignment="1">
      <alignment horizontal="center"/>
    </xf>
    <xf numFmtId="0" fontId="58" fillId="0" borderId="2" xfId="0" applyFont="1" applyBorder="1" applyAlignment="1">
      <alignment horizontal="center" vertical="center"/>
    </xf>
    <xf numFmtId="0" fontId="45" fillId="15" borderId="8" xfId="0" applyFont="1" applyFill="1" applyBorder="1" applyAlignment="1">
      <alignment horizontal="center"/>
    </xf>
    <xf numFmtId="0" fontId="9" fillId="15" borderId="1" xfId="41" applyFont="1" applyFill="1" applyBorder="1" applyAlignment="1">
      <alignment horizontal="left"/>
    </xf>
    <xf numFmtId="0" fontId="9" fillId="15" borderId="7" xfId="41" applyFont="1" applyFill="1" applyBorder="1" applyAlignment="1">
      <alignment horizontal="center" vertical="center" wrapText="1"/>
    </xf>
    <xf numFmtId="0" fontId="9" fillId="15" borderId="8" xfId="41" applyFont="1" applyFill="1" applyBorder="1" applyAlignment="1">
      <alignment horizontal="center" vertical="center" wrapText="1"/>
    </xf>
    <xf numFmtId="0" fontId="9" fillId="15" borderId="7" xfId="41" applyFont="1" applyFill="1" applyBorder="1" applyAlignment="1">
      <alignment horizontal="center" vertical="center"/>
    </xf>
    <xf numFmtId="0" fontId="9" fillId="15" borderId="8" xfId="41" applyFont="1" applyFill="1" applyBorder="1" applyAlignment="1">
      <alignment horizontal="center" vertical="center"/>
    </xf>
    <xf numFmtId="0" fontId="9" fillId="15" borderId="9" xfId="41" applyFont="1" applyFill="1" applyBorder="1" applyAlignment="1">
      <alignment horizontal="center" vertical="center"/>
    </xf>
    <xf numFmtId="0" fontId="8" fillId="0" borderId="7"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horizontal="center" vertical="center"/>
    </xf>
    <xf numFmtId="0" fontId="39" fillId="15" borderId="7" xfId="0" applyFont="1" applyFill="1" applyBorder="1" applyAlignment="1">
      <alignment horizontal="center" vertical="center"/>
    </xf>
    <xf numFmtId="0" fontId="39" fillId="15" borderId="8"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45" fillId="15" borderId="13" xfId="0" applyFont="1" applyFill="1" applyBorder="1" applyAlignment="1">
      <alignment horizontal="center" vertical="center"/>
    </xf>
    <xf numFmtId="0" fontId="9" fillId="15" borderId="6" xfId="0" applyFont="1" applyFill="1" applyBorder="1" applyAlignment="1">
      <alignment horizontal="center" vertical="center"/>
    </xf>
    <xf numFmtId="0" fontId="9" fillId="15" borderId="25" xfId="41" applyFont="1" applyFill="1" applyBorder="1" applyAlignment="1">
      <alignment horizontal="center" vertical="center"/>
    </xf>
    <xf numFmtId="0" fontId="9" fillId="15" borderId="0" xfId="41" applyFont="1" applyFill="1" applyAlignment="1">
      <alignment horizontal="center" vertical="center"/>
    </xf>
    <xf numFmtId="0" fontId="9" fillId="15" borderId="24" xfId="41" applyFont="1" applyFill="1" applyBorder="1" applyAlignment="1">
      <alignment horizontal="center" vertical="center"/>
    </xf>
    <xf numFmtId="0" fontId="36" fillId="0" borderId="25" xfId="41" applyFont="1" applyBorder="1" applyAlignment="1">
      <alignment horizontal="right" vertical="center"/>
    </xf>
    <xf numFmtId="0" fontId="36" fillId="0" borderId="0" xfId="41" applyFont="1" applyAlignment="1">
      <alignment horizontal="right" vertical="center"/>
    </xf>
    <xf numFmtId="0" fontId="36" fillId="0" borderId="24" xfId="41" applyFont="1" applyBorder="1" applyAlignment="1">
      <alignment horizontal="right" vertical="center"/>
    </xf>
    <xf numFmtId="0" fontId="9" fillId="15" borderId="7" xfId="43" applyFont="1" applyFill="1" applyBorder="1" applyAlignment="1">
      <alignment horizontal="center" vertical="center"/>
    </xf>
    <xf numFmtId="0" fontId="9" fillId="15" borderId="9" xfId="43" applyFont="1" applyFill="1" applyBorder="1" applyAlignment="1">
      <alignment horizontal="center" vertical="center"/>
    </xf>
    <xf numFmtId="0" fontId="36" fillId="0" borderId="25" xfId="43" applyFont="1" applyBorder="1" applyAlignment="1">
      <alignment horizontal="right" vertical="center"/>
    </xf>
    <xf numFmtId="0" fontId="36" fillId="0" borderId="24" xfId="43" applyFont="1" applyBorder="1" applyAlignment="1">
      <alignment horizontal="right" vertical="center"/>
    </xf>
    <xf numFmtId="0" fontId="9" fillId="15" borderId="5" xfId="0" applyFont="1" applyFill="1" applyBorder="1" applyAlignment="1">
      <alignment horizontal="center" vertical="center"/>
    </xf>
    <xf numFmtId="0" fontId="9" fillId="15" borderId="25" xfId="43" applyFont="1" applyFill="1" applyBorder="1" applyAlignment="1">
      <alignment horizontal="center" vertical="center"/>
    </xf>
    <xf numFmtId="0" fontId="9" fillId="15" borderId="0" xfId="43" applyFont="1" applyFill="1" applyAlignment="1">
      <alignment horizontal="center" vertical="center"/>
    </xf>
    <xf numFmtId="0" fontId="36" fillId="14" borderId="7" xfId="43" applyFont="1" applyFill="1" applyBorder="1" applyAlignment="1">
      <alignment horizontal="right" vertical="center"/>
    </xf>
    <xf numFmtId="0" fontId="36" fillId="14" borderId="8" xfId="43" applyFont="1" applyFill="1" applyBorder="1" applyAlignment="1">
      <alignment horizontal="right" vertical="center"/>
    </xf>
    <xf numFmtId="0" fontId="36" fillId="14" borderId="9" xfId="43" applyFont="1" applyFill="1" applyBorder="1" applyAlignment="1">
      <alignment horizontal="right" vertical="center"/>
    </xf>
    <xf numFmtId="0" fontId="3" fillId="0" borderId="25" xfId="41" applyBorder="1" applyAlignment="1">
      <alignment horizontal="center" vertical="center"/>
    </xf>
    <xf numFmtId="0" fontId="3" fillId="0" borderId="0" xfId="41" applyAlignment="1">
      <alignment horizontal="center" vertical="center"/>
    </xf>
    <xf numFmtId="0" fontId="3" fillId="0" borderId="24" xfId="41" applyBorder="1" applyAlignment="1">
      <alignment horizontal="center" vertical="center"/>
    </xf>
    <xf numFmtId="0" fontId="58" fillId="14" borderId="2" xfId="0" applyFont="1" applyFill="1" applyBorder="1" applyAlignment="1">
      <alignment horizontal="center" vertical="center"/>
    </xf>
    <xf numFmtId="0" fontId="60" fillId="0" borderId="2" xfId="0" applyFont="1" applyBorder="1" applyAlignment="1">
      <alignment horizontal="center"/>
    </xf>
  </cellXfs>
  <cellStyles count="71">
    <cellStyle name="Accent1" xfId="4" builtinId="29"/>
    <cellStyle name="Bad 2" xfId="8" xr:uid="{00000000-0005-0000-0000-000001000000}"/>
    <cellStyle name="Calculation 2" xfId="9" xr:uid="{00000000-0005-0000-0000-000002000000}"/>
    <cellStyle name="Check Cell 2" xfId="10" xr:uid="{00000000-0005-0000-0000-000003000000}"/>
    <cellStyle name="Comma" xfId="1" builtinId="3"/>
    <cellStyle name="Comma 2" xfId="5" xr:uid="{00000000-0005-0000-0000-000005000000}"/>
    <cellStyle name="Comma 2 2" xfId="11" xr:uid="{00000000-0005-0000-0000-000006000000}"/>
    <cellStyle name="Comma 2 3" xfId="42" xr:uid="{00000000-0005-0000-0000-000007000000}"/>
    <cellStyle name="Comma 3" xfId="54" xr:uid="{00000000-0005-0000-0000-000008000000}"/>
    <cellStyle name="Explanatory Text 2" xfId="12" xr:uid="{00000000-0005-0000-0000-000009000000}"/>
    <cellStyle name="Good 2" xfId="13" xr:uid="{00000000-0005-0000-0000-00000A000000}"/>
    <cellStyle name="Heading 1 2" xfId="14" xr:uid="{00000000-0005-0000-0000-00000B000000}"/>
    <cellStyle name="Heading 2 2" xfId="15" xr:uid="{00000000-0005-0000-0000-00000C000000}"/>
    <cellStyle name="Heading 3 2" xfId="16" xr:uid="{00000000-0005-0000-0000-00000D000000}"/>
    <cellStyle name="Heading 4 2" xfId="17" xr:uid="{00000000-0005-0000-0000-00000E000000}"/>
    <cellStyle name="Hyperlink 2" xfId="18" xr:uid="{00000000-0005-0000-0000-000010000000}"/>
    <cellStyle name="Input 2" xfId="19" xr:uid="{00000000-0005-0000-0000-000011000000}"/>
    <cellStyle name="Linked Cell 2" xfId="20" xr:uid="{00000000-0005-0000-0000-000012000000}"/>
    <cellStyle name="Neutral 2" xfId="21" xr:uid="{00000000-0005-0000-0000-000013000000}"/>
    <cellStyle name="Normal" xfId="0" builtinId="0"/>
    <cellStyle name="Normal 10" xfId="2" xr:uid="{00000000-0005-0000-0000-000015000000}"/>
    <cellStyle name="Normal 12" xfId="69" xr:uid="{00000000-0005-0000-0000-000016000000}"/>
    <cellStyle name="Normal 19" xfId="59" xr:uid="{00000000-0005-0000-0000-000017000000}"/>
    <cellStyle name="Normal 2" xfId="6" xr:uid="{00000000-0005-0000-0000-000018000000}"/>
    <cellStyle name="Normal 2 2" xfId="41" xr:uid="{00000000-0005-0000-0000-000019000000}"/>
    <cellStyle name="Normal 2 3" xfId="44" xr:uid="{00000000-0005-0000-0000-00001A000000}"/>
    <cellStyle name="Normal 2 4" xfId="47" xr:uid="{00000000-0005-0000-0000-00001B000000}"/>
    <cellStyle name="Normal 2 5" xfId="49" xr:uid="{00000000-0005-0000-0000-00001C000000}"/>
    <cellStyle name="Normal 21" xfId="60" xr:uid="{00000000-0005-0000-0000-00001D000000}"/>
    <cellStyle name="Normal 22" xfId="55" xr:uid="{00000000-0005-0000-0000-00001E000000}"/>
    <cellStyle name="Normal 23" xfId="61" xr:uid="{00000000-0005-0000-0000-00001F000000}"/>
    <cellStyle name="Normal 24" xfId="56" xr:uid="{00000000-0005-0000-0000-000020000000}"/>
    <cellStyle name="Normal 25" xfId="63" xr:uid="{00000000-0005-0000-0000-000021000000}"/>
    <cellStyle name="Normal 26" xfId="62" xr:uid="{00000000-0005-0000-0000-000022000000}"/>
    <cellStyle name="Normal 27" xfId="64" xr:uid="{00000000-0005-0000-0000-000023000000}"/>
    <cellStyle name="Normal 28" xfId="52" xr:uid="{00000000-0005-0000-0000-000024000000}"/>
    <cellStyle name="Normal 29" xfId="65" xr:uid="{00000000-0005-0000-0000-000025000000}"/>
    <cellStyle name="Normal 3" xfId="22" xr:uid="{00000000-0005-0000-0000-000026000000}"/>
    <cellStyle name="Normal 3 2" xfId="45" xr:uid="{00000000-0005-0000-0000-000027000000}"/>
    <cellStyle name="Normal 3 3" xfId="48" xr:uid="{00000000-0005-0000-0000-000028000000}"/>
    <cellStyle name="Normal 30" xfId="66" xr:uid="{00000000-0005-0000-0000-000029000000}"/>
    <cellStyle name="Normal 31" xfId="67" xr:uid="{00000000-0005-0000-0000-00002A000000}"/>
    <cellStyle name="Normal 32" xfId="53" xr:uid="{00000000-0005-0000-0000-00002B000000}"/>
    <cellStyle name="Normal 33" xfId="70" xr:uid="{00000000-0005-0000-0000-00002C000000}"/>
    <cellStyle name="Normal 34" xfId="58" xr:uid="{00000000-0005-0000-0000-00002D000000}"/>
    <cellStyle name="Normal 35" xfId="57" xr:uid="{00000000-0005-0000-0000-00002E000000}"/>
    <cellStyle name="Normal 4" xfId="7" xr:uid="{00000000-0005-0000-0000-00002F000000}"/>
    <cellStyle name="Normal 5 2" xfId="43" xr:uid="{00000000-0005-0000-0000-000030000000}"/>
    <cellStyle name="Normal 6 2" xfId="50" xr:uid="{00000000-0005-0000-0000-000031000000}"/>
    <cellStyle name="Note 2" xfId="23" xr:uid="{00000000-0005-0000-0000-000032000000}"/>
    <cellStyle name="Output 2" xfId="24" xr:uid="{00000000-0005-0000-0000-000033000000}"/>
    <cellStyle name="Percent" xfId="3" builtinId="5"/>
    <cellStyle name="Percent 13" xfId="68" xr:uid="{00000000-0005-0000-0000-000035000000}"/>
    <cellStyle name="Percent 2" xfId="26" xr:uid="{00000000-0005-0000-0000-000036000000}"/>
    <cellStyle name="Percent 2 2" xfId="46" xr:uid="{00000000-0005-0000-0000-000037000000}"/>
    <cellStyle name="Percent 3" xfId="25" xr:uid="{00000000-0005-0000-0000-000038000000}"/>
    <cellStyle name="Percent 4" xfId="51" xr:uid="{00000000-0005-0000-0000-000039000000}"/>
    <cellStyle name="Smart Bold" xfId="27" xr:uid="{00000000-0005-0000-0000-00003A000000}"/>
    <cellStyle name="Smart Forecast" xfId="28" xr:uid="{00000000-0005-0000-0000-00003B000000}"/>
    <cellStyle name="Smart General" xfId="29" xr:uid="{00000000-0005-0000-0000-00003C000000}"/>
    <cellStyle name="Smart Highlight" xfId="30" xr:uid="{00000000-0005-0000-0000-00003D000000}"/>
    <cellStyle name="Smart Percent" xfId="31" xr:uid="{00000000-0005-0000-0000-00003E000000}"/>
    <cellStyle name="Smart Source" xfId="32" xr:uid="{00000000-0005-0000-0000-00003F000000}"/>
    <cellStyle name="Smart Subtitle 1" xfId="33" xr:uid="{00000000-0005-0000-0000-000040000000}"/>
    <cellStyle name="Smart Subtitle 2" xfId="34" xr:uid="{00000000-0005-0000-0000-000041000000}"/>
    <cellStyle name="Smart Subtitle 3" xfId="35" xr:uid="{00000000-0005-0000-0000-000042000000}"/>
    <cellStyle name="Smart Subtotal" xfId="36" xr:uid="{00000000-0005-0000-0000-000043000000}"/>
    <cellStyle name="Smart Title" xfId="37" xr:uid="{00000000-0005-0000-0000-000044000000}"/>
    <cellStyle name="Smart Total" xfId="38" xr:uid="{00000000-0005-0000-0000-000045000000}"/>
    <cellStyle name="Title 2" xfId="39" xr:uid="{00000000-0005-0000-0000-000046000000}"/>
    <cellStyle name="Total 2" xfId="40" xr:uid="{00000000-0005-0000-0000-000047000000}"/>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19</xdr:col>
      <xdr:colOff>518584</xdr:colOff>
      <xdr:row>31</xdr:row>
      <xdr:rowOff>0</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1" y="1"/>
          <a:ext cx="12181416" cy="5905499"/>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Erection and foundation at 10% of plant machinery</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 Maintenance and repairs, Plant Overhead and Administrative Costs, therefore, to avoid double counting, those have been considered in the WNA operating cost.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25% of Salaries</a:t>
          </a:r>
          <a:r>
            <a:rPr lang="en-IN" sz="1000" i="1" baseline="0">
              <a:solidFill>
                <a:schemeClr val="dk1"/>
              </a:solidFill>
              <a:effectLst/>
              <a:latin typeface="Arial" panose="020B0604020202020204" pitchFamily="34" charset="0"/>
              <a:ea typeface="+mn-ea"/>
              <a:cs typeface="Arial" panose="020B0604020202020204" pitchFamily="34" charset="0"/>
            </a:rPr>
            <a:t> and Wages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0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0</xdr:col>
      <xdr:colOff>76200</xdr:colOff>
      <xdr:row>40</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39</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P/Downloads/Model-KRIBHCO-3Feb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Tech"/>
      <sheetName val="CAPEX"/>
      <sheetName val="In-Qty"/>
      <sheetName val="In-Price"/>
      <sheetName val="Out-Qty"/>
      <sheetName val="Out-Price"/>
      <sheetName val="Dep"/>
      <sheetName val="GST"/>
      <sheetName val="WC"/>
      <sheetName val="Tax"/>
      <sheetName val="Loans"/>
      <sheetName val="P&amp;L"/>
      <sheetName val="IRR"/>
      <sheetName val="COP"/>
    </sheetNames>
    <sheetDataSet>
      <sheetData sheetId="0">
        <row r="104">
          <cell r="D104">
            <v>30</v>
          </cell>
        </row>
        <row r="105">
          <cell r="D105">
            <v>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4"/>
  <sheetViews>
    <sheetView showGridLines="0" workbookViewId="0">
      <selection activeCell="D5" sqref="D5"/>
    </sheetView>
  </sheetViews>
  <sheetFormatPr defaultColWidth="9.140625" defaultRowHeight="15" x14ac:dyDescent="0.25"/>
  <cols>
    <col min="2" max="2" width="29.5703125" customWidth="1"/>
    <col min="3" max="3" width="17" customWidth="1"/>
    <col min="4" max="4" width="18.28515625" bestFit="1" customWidth="1"/>
    <col min="5" max="5" width="16.42578125" bestFit="1" customWidth="1"/>
    <col min="6" max="6" width="37.5703125" bestFit="1" customWidth="1"/>
    <col min="7" max="7" width="30.28515625" customWidth="1"/>
    <col min="8" max="8" width="30" customWidth="1"/>
    <col min="9" max="9" width="35.5703125" bestFit="1" customWidth="1"/>
    <col min="10" max="10" width="27.42578125" bestFit="1" customWidth="1"/>
  </cols>
  <sheetData>
    <row r="1" spans="2:15" x14ac:dyDescent="0.25">
      <c r="B1" s="88" t="s">
        <v>197</v>
      </c>
      <c r="C1" s="88" t="s">
        <v>123</v>
      </c>
      <c r="D1" s="88" t="s">
        <v>196</v>
      </c>
      <c r="E1" s="88" t="s">
        <v>195</v>
      </c>
      <c r="F1" s="88" t="s">
        <v>194</v>
      </c>
      <c r="H1">
        <f>G6*0.001</f>
        <v>175</v>
      </c>
    </row>
    <row r="2" spans="2:15" x14ac:dyDescent="0.25">
      <c r="B2" s="685" t="s">
        <v>134</v>
      </c>
      <c r="C2" s="685"/>
      <c r="D2" s="685"/>
      <c r="E2" s="685"/>
      <c r="F2" s="685"/>
      <c r="H2" s="83" t="s">
        <v>134</v>
      </c>
      <c r="I2" s="83" t="s">
        <v>193</v>
      </c>
      <c r="J2">
        <v>216</v>
      </c>
      <c r="K2">
        <v>274</v>
      </c>
    </row>
    <row r="3" spans="2:15" x14ac:dyDescent="0.25">
      <c r="B3" s="81" t="s">
        <v>136</v>
      </c>
      <c r="C3" s="81" t="s">
        <v>46</v>
      </c>
      <c r="D3" s="81" t="s">
        <v>192</v>
      </c>
      <c r="E3" s="81" t="s">
        <v>179</v>
      </c>
      <c r="F3" s="81" t="s">
        <v>183</v>
      </c>
      <c r="H3" s="81" t="s">
        <v>191</v>
      </c>
      <c r="I3" s="81" t="s">
        <v>190</v>
      </c>
      <c r="K3">
        <f>J2/K2</f>
        <v>0.78832116788321172</v>
      </c>
      <c r="L3" s="77">
        <f>K3*300</f>
        <v>236.49635036496352</v>
      </c>
    </row>
    <row r="4" spans="2:15" x14ac:dyDescent="0.25">
      <c r="B4" s="685" t="s">
        <v>189</v>
      </c>
      <c r="C4" s="685"/>
      <c r="D4" s="685"/>
      <c r="E4" s="685"/>
      <c r="F4" s="685"/>
      <c r="H4" s="81" t="s">
        <v>166</v>
      </c>
      <c r="I4" s="81" t="s">
        <v>188</v>
      </c>
      <c r="J4">
        <v>148</v>
      </c>
      <c r="K4">
        <v>550</v>
      </c>
    </row>
    <row r="5" spans="2:15" x14ac:dyDescent="0.25">
      <c r="B5" s="81" t="s">
        <v>187</v>
      </c>
      <c r="C5" s="81" t="s">
        <v>46</v>
      </c>
      <c r="D5" s="81" t="s">
        <v>186</v>
      </c>
      <c r="E5" s="81" t="s">
        <v>179</v>
      </c>
      <c r="F5" s="81" t="s">
        <v>178</v>
      </c>
      <c r="H5" s="87" t="s">
        <v>185</v>
      </c>
      <c r="I5" s="86" t="s">
        <v>168</v>
      </c>
      <c r="J5">
        <v>59</v>
      </c>
      <c r="K5">
        <v>274</v>
      </c>
    </row>
    <row r="6" spans="2:15" x14ac:dyDescent="0.25">
      <c r="B6" s="81" t="s">
        <v>136</v>
      </c>
      <c r="C6" s="81" t="s">
        <v>46</v>
      </c>
      <c r="D6" s="81" t="s">
        <v>184</v>
      </c>
      <c r="E6" s="81" t="s">
        <v>179</v>
      </c>
      <c r="F6" s="81" t="s">
        <v>183</v>
      </c>
      <c r="G6">
        <v>175000</v>
      </c>
      <c r="H6">
        <f>529*330</f>
        <v>174570</v>
      </c>
      <c r="I6">
        <f>150*330</f>
        <v>49500</v>
      </c>
      <c r="K6">
        <f>J5/K5</f>
        <v>0.21532846715328466</v>
      </c>
      <c r="L6" s="77">
        <f>K6*300</f>
        <v>64.598540145985396</v>
      </c>
    </row>
    <row r="7" spans="2:15" x14ac:dyDescent="0.25">
      <c r="B7" s="685" t="s">
        <v>182</v>
      </c>
      <c r="C7" s="685"/>
      <c r="D7" s="685"/>
      <c r="E7" s="685"/>
      <c r="F7" s="685"/>
      <c r="H7">
        <f>100*330</f>
        <v>33000</v>
      </c>
      <c r="I7">
        <f>I6-G6</f>
        <v>-125500</v>
      </c>
      <c r="N7">
        <f>600/170</f>
        <v>3.5294117647058822</v>
      </c>
      <c r="O7">
        <f>N7*100</f>
        <v>352.94117647058823</v>
      </c>
    </row>
    <row r="8" spans="2:15" x14ac:dyDescent="0.25">
      <c r="B8" s="85" t="s">
        <v>181</v>
      </c>
      <c r="C8" s="81" t="s">
        <v>46</v>
      </c>
      <c r="D8" s="81" t="s">
        <v>180</v>
      </c>
      <c r="E8" s="81" t="s">
        <v>179</v>
      </c>
      <c r="F8" s="81" t="s">
        <v>178</v>
      </c>
      <c r="H8" s="83" t="s">
        <v>177</v>
      </c>
      <c r="I8" s="83" t="s">
        <v>176</v>
      </c>
      <c r="J8" s="83" t="s">
        <v>175</v>
      </c>
    </row>
    <row r="9" spans="2:15" x14ac:dyDescent="0.25">
      <c r="B9" s="81" t="s">
        <v>174</v>
      </c>
      <c r="C9" s="81" t="s">
        <v>46</v>
      </c>
      <c r="D9" s="81" t="s">
        <v>173</v>
      </c>
      <c r="E9" s="81" t="s">
        <v>172</v>
      </c>
      <c r="F9" s="81" t="s">
        <v>171</v>
      </c>
      <c r="H9" s="81" t="s">
        <v>170</v>
      </c>
      <c r="I9" s="81" t="s">
        <v>169</v>
      </c>
      <c r="J9" s="81" t="s">
        <v>168</v>
      </c>
      <c r="L9">
        <f>100000/330</f>
        <v>303.030303030303</v>
      </c>
    </row>
    <row r="10" spans="2:15" ht="34.5" customHeight="1" x14ac:dyDescent="0.25">
      <c r="B10" s="683" t="s">
        <v>167</v>
      </c>
      <c r="C10" s="683"/>
      <c r="D10" s="683"/>
      <c r="E10" s="683"/>
      <c r="F10" s="683"/>
      <c r="G10">
        <f>300*330</f>
        <v>99000</v>
      </c>
      <c r="H10" s="81" t="s">
        <v>200</v>
      </c>
      <c r="I10" s="81" t="s">
        <v>201</v>
      </c>
      <c r="J10" s="81" t="s">
        <v>202</v>
      </c>
      <c r="K10" s="89"/>
    </row>
    <row r="11" spans="2:15" ht="57" customHeight="1" x14ac:dyDescent="0.25">
      <c r="B11" s="84" t="s">
        <v>165</v>
      </c>
      <c r="C11" s="681" t="s">
        <v>164</v>
      </c>
      <c r="D11" s="681"/>
      <c r="E11" s="681"/>
      <c r="F11" s="681"/>
      <c r="H11" s="684" t="s">
        <v>163</v>
      </c>
      <c r="I11" s="684"/>
      <c r="J11" s="684"/>
    </row>
    <row r="12" spans="2:15" ht="31.5" customHeight="1" x14ac:dyDescent="0.25">
      <c r="B12" s="84" t="s">
        <v>162</v>
      </c>
      <c r="C12" s="681" t="s">
        <v>161</v>
      </c>
      <c r="D12" s="681"/>
      <c r="E12" s="681"/>
      <c r="F12" s="681"/>
      <c r="H12" s="81" t="s">
        <v>160</v>
      </c>
      <c r="I12" s="81" t="s">
        <v>159</v>
      </c>
      <c r="J12" s="81" t="s">
        <v>158</v>
      </c>
    </row>
    <row r="13" spans="2:15" x14ac:dyDescent="0.25">
      <c r="J13" s="77"/>
    </row>
    <row r="14" spans="2:15" x14ac:dyDescent="0.25">
      <c r="E14" s="28">
        <v>1361769867</v>
      </c>
      <c r="F14">
        <f>E14/10^7</f>
        <v>136.17698669999999</v>
      </c>
      <c r="H14" s="83" t="s">
        <v>157</v>
      </c>
      <c r="I14" s="83" t="s">
        <v>156</v>
      </c>
      <c r="J14" s="83" t="s">
        <v>155</v>
      </c>
    </row>
    <row r="15" spans="2:15" x14ac:dyDescent="0.25">
      <c r="B15" s="682" t="s">
        <v>154</v>
      </c>
      <c r="C15" s="682"/>
      <c r="F15">
        <f>14.02*10^5</f>
        <v>1402000</v>
      </c>
      <c r="H15" s="81" t="s">
        <v>153</v>
      </c>
      <c r="I15" s="81" t="s">
        <v>152</v>
      </c>
      <c r="J15" s="81" t="s">
        <v>151</v>
      </c>
    </row>
    <row r="16" spans="2:15" x14ac:dyDescent="0.25">
      <c r="B16" s="81" t="s">
        <v>150</v>
      </c>
      <c r="C16" s="82">
        <v>0.28399999999999997</v>
      </c>
      <c r="E16">
        <f>F14/33</f>
        <v>4.1265753545454542</v>
      </c>
      <c r="F16" s="28">
        <f>E16*175</f>
        <v>722.15068704545445</v>
      </c>
    </row>
    <row r="17" spans="1:67" x14ac:dyDescent="0.25">
      <c r="B17" s="81" t="s">
        <v>149</v>
      </c>
      <c r="C17" s="81" t="s">
        <v>148</v>
      </c>
      <c r="E17" s="28">
        <v>945654735</v>
      </c>
    </row>
    <row r="18" spans="1:67" x14ac:dyDescent="0.25">
      <c r="B18" s="81" t="s">
        <v>147</v>
      </c>
      <c r="C18" s="81" t="s">
        <v>146</v>
      </c>
      <c r="E18" s="64">
        <f>E17/E14</f>
        <v>0.69443065081421718</v>
      </c>
    </row>
    <row r="19" spans="1:67" x14ac:dyDescent="0.25">
      <c r="B19" s="81" t="s">
        <v>145</v>
      </c>
      <c r="C19" s="81" t="s">
        <v>144</v>
      </c>
    </row>
    <row r="20" spans="1:67" x14ac:dyDescent="0.25">
      <c r="B20" s="81" t="s">
        <v>143</v>
      </c>
      <c r="C20" s="81" t="s">
        <v>142</v>
      </c>
    </row>
    <row r="21" spans="1:67" x14ac:dyDescent="0.25">
      <c r="B21" s="81" t="s">
        <v>40</v>
      </c>
      <c r="C21" s="81" t="s">
        <v>141</v>
      </c>
      <c r="E21" t="s">
        <v>208</v>
      </c>
      <c r="F21" t="s">
        <v>209</v>
      </c>
      <c r="G21" t="s">
        <v>210</v>
      </c>
      <c r="H21" t="s">
        <v>211</v>
      </c>
      <c r="I21" t="s">
        <v>237</v>
      </c>
    </row>
    <row r="22" spans="1:67" s="1" customFormat="1" ht="12.75" x14ac:dyDescent="0.2">
      <c r="A22" s="29"/>
      <c r="D22" s="1">
        <f>F23*100000</f>
        <v>27.999999999999996</v>
      </c>
      <c r="E22" s="79">
        <v>88626.4</v>
      </c>
      <c r="F22" s="29" t="s">
        <v>247</v>
      </c>
      <c r="G22" s="78">
        <f>F23*E22</f>
        <v>24.815391999999996</v>
      </c>
      <c r="H22" s="229">
        <f>G22*76</f>
        <v>1885.9697919999996</v>
      </c>
      <c r="I22" s="78">
        <f>H22*100000</f>
        <v>188596979.19999996</v>
      </c>
      <c r="J22" s="78">
        <f>I22/10^7</f>
        <v>18.859697919999995</v>
      </c>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row>
    <row r="23" spans="1:67" s="1" customFormat="1" ht="12.75" x14ac:dyDescent="0.2">
      <c r="E23" s="1">
        <v>28</v>
      </c>
      <c r="F23" s="29">
        <f>E23/100000</f>
        <v>2.7999999999999998E-4</v>
      </c>
      <c r="G23" s="29"/>
      <c r="H23" s="29"/>
      <c r="I23" s="91">
        <f>I22/10^7</f>
        <v>18.859697919999995</v>
      </c>
      <c r="J23" s="29"/>
      <c r="K23" s="29"/>
      <c r="L23" s="29"/>
      <c r="M23" s="29"/>
      <c r="N23" s="29"/>
      <c r="O23" s="29"/>
      <c r="P23" s="29"/>
      <c r="Q23" s="29"/>
      <c r="R23" s="29"/>
      <c r="S23" s="29"/>
      <c r="T23" s="29"/>
      <c r="U23" s="29"/>
      <c r="V23" s="30"/>
      <c r="BO23" s="13"/>
    </row>
    <row r="27" spans="1:67" ht="15.75" x14ac:dyDescent="0.25">
      <c r="A27" s="230" t="s">
        <v>269</v>
      </c>
      <c r="D27" s="230" t="s">
        <v>272</v>
      </c>
      <c r="F27">
        <f>0.28/1000</f>
        <v>2.8000000000000003E-4</v>
      </c>
    </row>
    <row r="28" spans="1:67" ht="16.5" thickBot="1" x14ac:dyDescent="0.3">
      <c r="A28" s="230" t="s">
        <v>270</v>
      </c>
      <c r="D28" s="230" t="s">
        <v>273</v>
      </c>
    </row>
    <row r="29" spans="1:67" ht="15.75" thickBot="1" x14ac:dyDescent="0.3">
      <c r="A29" s="231" t="s">
        <v>213</v>
      </c>
      <c r="B29" s="232">
        <v>28412</v>
      </c>
      <c r="D29" s="235" t="s">
        <v>213</v>
      </c>
      <c r="E29" s="236">
        <v>25699</v>
      </c>
    </row>
    <row r="30" spans="1:67" ht="15.75" thickBot="1" x14ac:dyDescent="0.3">
      <c r="A30" s="233" t="s">
        <v>214</v>
      </c>
      <c r="B30" s="234">
        <v>29925</v>
      </c>
      <c r="D30" s="237" t="s">
        <v>214</v>
      </c>
      <c r="E30" s="238">
        <v>26033</v>
      </c>
    </row>
    <row r="31" spans="1:67" ht="15.75" thickBot="1" x14ac:dyDescent="0.3">
      <c r="A31" s="233" t="s">
        <v>215</v>
      </c>
      <c r="B31" s="234">
        <v>29764</v>
      </c>
      <c r="D31" s="237" t="s">
        <v>215</v>
      </c>
      <c r="E31" s="238">
        <v>28157</v>
      </c>
    </row>
    <row r="32" spans="1:67" ht="15.75" thickBot="1" x14ac:dyDescent="0.3">
      <c r="A32" s="233" t="s">
        <v>216</v>
      </c>
      <c r="B32" s="234">
        <v>28868</v>
      </c>
      <c r="D32" s="237" t="s">
        <v>216</v>
      </c>
      <c r="E32" s="238">
        <v>26258</v>
      </c>
    </row>
    <row r="33" spans="1:5" ht="15.75" thickBot="1" x14ac:dyDescent="0.3">
      <c r="A33" s="233" t="s">
        <v>271</v>
      </c>
      <c r="B33" s="234">
        <v>49740</v>
      </c>
      <c r="D33" s="237" t="s">
        <v>271</v>
      </c>
      <c r="E33" s="238">
        <v>43871</v>
      </c>
    </row>
    <row r="34" spans="1:5" x14ac:dyDescent="0.25">
      <c r="B34" s="77">
        <f>AVERAGE(B29:B32)</f>
        <v>29242.25</v>
      </c>
      <c r="E34" s="77">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8"/>
  <sheetViews>
    <sheetView showGridLines="0" zoomScaleNormal="100" zoomScaleSheetLayoutView="100" workbookViewId="0">
      <selection activeCell="B35" sqref="B35"/>
    </sheetView>
  </sheetViews>
  <sheetFormatPr defaultRowHeight="21" customHeight="1" x14ac:dyDescent="0.2"/>
  <cols>
    <col min="1" max="1" width="33" style="122" customWidth="1"/>
    <col min="2" max="2" width="63.7109375" style="122" bestFit="1" customWidth="1"/>
    <col min="3" max="11" width="10.7109375" style="122" customWidth="1"/>
    <col min="12" max="256" width="9.140625" style="122"/>
    <col min="257" max="257" width="35.7109375" style="122" customWidth="1"/>
    <col min="258" max="267" width="10.7109375" style="122" customWidth="1"/>
    <col min="268" max="512" width="9.140625" style="122"/>
    <col min="513" max="513" width="35.7109375" style="122" customWidth="1"/>
    <col min="514" max="523" width="10.7109375" style="122" customWidth="1"/>
    <col min="524" max="768" width="9.140625" style="122"/>
    <col min="769" max="769" width="35.7109375" style="122" customWidth="1"/>
    <col min="770" max="779" width="10.7109375" style="122" customWidth="1"/>
    <col min="780" max="1024" width="9.140625" style="122"/>
    <col min="1025" max="1025" width="35.7109375" style="122" customWidth="1"/>
    <col min="1026" max="1035" width="10.7109375" style="122" customWidth="1"/>
    <col min="1036" max="1280" width="9.140625" style="122"/>
    <col min="1281" max="1281" width="35.7109375" style="122" customWidth="1"/>
    <col min="1282" max="1291" width="10.7109375" style="122" customWidth="1"/>
    <col min="1292" max="1536" width="9.140625" style="122"/>
    <col min="1537" max="1537" width="35.7109375" style="122" customWidth="1"/>
    <col min="1538" max="1547" width="10.7109375" style="122" customWidth="1"/>
    <col min="1548" max="1792" width="9.140625" style="122"/>
    <col min="1793" max="1793" width="35.7109375" style="122" customWidth="1"/>
    <col min="1794" max="1803" width="10.7109375" style="122" customWidth="1"/>
    <col min="1804" max="2048" width="9.140625" style="122"/>
    <col min="2049" max="2049" width="35.7109375" style="122" customWidth="1"/>
    <col min="2050" max="2059" width="10.7109375" style="122" customWidth="1"/>
    <col min="2060" max="2304" width="9.140625" style="122"/>
    <col min="2305" max="2305" width="35.7109375" style="122" customWidth="1"/>
    <col min="2306" max="2315" width="10.7109375" style="122" customWidth="1"/>
    <col min="2316" max="2560" width="9.140625" style="122"/>
    <col min="2561" max="2561" width="35.7109375" style="122" customWidth="1"/>
    <col min="2562" max="2571" width="10.7109375" style="122" customWidth="1"/>
    <col min="2572" max="2816" width="9.140625" style="122"/>
    <col min="2817" max="2817" width="35.7109375" style="122" customWidth="1"/>
    <col min="2818" max="2827" width="10.7109375" style="122" customWidth="1"/>
    <col min="2828" max="3072" width="9.140625" style="122"/>
    <col min="3073" max="3073" width="35.7109375" style="122" customWidth="1"/>
    <col min="3074" max="3083" width="10.7109375" style="122" customWidth="1"/>
    <col min="3084" max="3328" width="9.140625" style="122"/>
    <col min="3329" max="3329" width="35.7109375" style="122" customWidth="1"/>
    <col min="3330" max="3339" width="10.7109375" style="122" customWidth="1"/>
    <col min="3340" max="3584" width="9.140625" style="122"/>
    <col min="3585" max="3585" width="35.7109375" style="122" customWidth="1"/>
    <col min="3586" max="3595" width="10.7109375" style="122" customWidth="1"/>
    <col min="3596" max="3840" width="9.140625" style="122"/>
    <col min="3841" max="3841" width="35.7109375" style="122" customWidth="1"/>
    <col min="3842" max="3851" width="10.7109375" style="122" customWidth="1"/>
    <col min="3852" max="4096" width="9.140625" style="122"/>
    <col min="4097" max="4097" width="35.7109375" style="122" customWidth="1"/>
    <col min="4098" max="4107" width="10.7109375" style="122" customWidth="1"/>
    <col min="4108" max="4352" width="9.140625" style="122"/>
    <col min="4353" max="4353" width="35.7109375" style="122" customWidth="1"/>
    <col min="4354" max="4363" width="10.7109375" style="122" customWidth="1"/>
    <col min="4364" max="4608" width="9.140625" style="122"/>
    <col min="4609" max="4609" width="35.7109375" style="122" customWidth="1"/>
    <col min="4610" max="4619" width="10.7109375" style="122" customWidth="1"/>
    <col min="4620" max="4864" width="9.140625" style="122"/>
    <col min="4865" max="4865" width="35.7109375" style="122" customWidth="1"/>
    <col min="4866" max="4875" width="10.7109375" style="122" customWidth="1"/>
    <col min="4876" max="5120" width="9.140625" style="122"/>
    <col min="5121" max="5121" width="35.7109375" style="122" customWidth="1"/>
    <col min="5122" max="5131" width="10.7109375" style="122" customWidth="1"/>
    <col min="5132" max="5376" width="9.140625" style="122"/>
    <col min="5377" max="5377" width="35.7109375" style="122" customWidth="1"/>
    <col min="5378" max="5387" width="10.7109375" style="122" customWidth="1"/>
    <col min="5388" max="5632" width="9.140625" style="122"/>
    <col min="5633" max="5633" width="35.7109375" style="122" customWidth="1"/>
    <col min="5634" max="5643" width="10.7109375" style="122" customWidth="1"/>
    <col min="5644" max="5888" width="9.140625" style="122"/>
    <col min="5889" max="5889" width="35.7109375" style="122" customWidth="1"/>
    <col min="5890" max="5899" width="10.7109375" style="122" customWidth="1"/>
    <col min="5900" max="6144" width="9.140625" style="122"/>
    <col min="6145" max="6145" width="35.7109375" style="122" customWidth="1"/>
    <col min="6146" max="6155" width="10.7109375" style="122" customWidth="1"/>
    <col min="6156" max="6400" width="9.140625" style="122"/>
    <col min="6401" max="6401" width="35.7109375" style="122" customWidth="1"/>
    <col min="6402" max="6411" width="10.7109375" style="122" customWidth="1"/>
    <col min="6412" max="6656" width="9.140625" style="122"/>
    <col min="6657" max="6657" width="35.7109375" style="122" customWidth="1"/>
    <col min="6658" max="6667" width="10.7109375" style="122" customWidth="1"/>
    <col min="6668" max="6912" width="9.140625" style="122"/>
    <col min="6913" max="6913" width="35.7109375" style="122" customWidth="1"/>
    <col min="6914" max="6923" width="10.7109375" style="122" customWidth="1"/>
    <col min="6924" max="7168" width="9.140625" style="122"/>
    <col min="7169" max="7169" width="35.7109375" style="122" customWidth="1"/>
    <col min="7170" max="7179" width="10.7109375" style="122" customWidth="1"/>
    <col min="7180" max="7424" width="9.140625" style="122"/>
    <col min="7425" max="7425" width="35.7109375" style="122" customWidth="1"/>
    <col min="7426" max="7435" width="10.7109375" style="122" customWidth="1"/>
    <col min="7436" max="7680" width="9.140625" style="122"/>
    <col min="7681" max="7681" width="35.7109375" style="122" customWidth="1"/>
    <col min="7682" max="7691" width="10.7109375" style="122" customWidth="1"/>
    <col min="7692" max="7936" width="9.140625" style="122"/>
    <col min="7937" max="7937" width="35.7109375" style="122" customWidth="1"/>
    <col min="7938" max="7947" width="10.7109375" style="122" customWidth="1"/>
    <col min="7948" max="8192" width="9.140625" style="122"/>
    <col min="8193" max="8193" width="35.7109375" style="122" customWidth="1"/>
    <col min="8194" max="8203" width="10.7109375" style="122" customWidth="1"/>
    <col min="8204" max="8448" width="9.140625" style="122"/>
    <col min="8449" max="8449" width="35.7109375" style="122" customWidth="1"/>
    <col min="8450" max="8459" width="10.7109375" style="122" customWidth="1"/>
    <col min="8460" max="8704" width="9.140625" style="122"/>
    <col min="8705" max="8705" width="35.7109375" style="122" customWidth="1"/>
    <col min="8706" max="8715" width="10.7109375" style="122" customWidth="1"/>
    <col min="8716" max="8960" width="9.140625" style="122"/>
    <col min="8961" max="8961" width="35.7109375" style="122" customWidth="1"/>
    <col min="8962" max="8971" width="10.7109375" style="122" customWidth="1"/>
    <col min="8972" max="9216" width="9.140625" style="122"/>
    <col min="9217" max="9217" width="35.7109375" style="122" customWidth="1"/>
    <col min="9218" max="9227" width="10.7109375" style="122" customWidth="1"/>
    <col min="9228" max="9472" width="9.140625" style="122"/>
    <col min="9473" max="9473" width="35.7109375" style="122" customWidth="1"/>
    <col min="9474" max="9483" width="10.7109375" style="122" customWidth="1"/>
    <col min="9484" max="9728" width="9.140625" style="122"/>
    <col min="9729" max="9729" width="35.7109375" style="122" customWidth="1"/>
    <col min="9730" max="9739" width="10.7109375" style="122" customWidth="1"/>
    <col min="9740" max="9984" width="9.140625" style="122"/>
    <col min="9985" max="9985" width="35.7109375" style="122" customWidth="1"/>
    <col min="9986" max="9995" width="10.7109375" style="122" customWidth="1"/>
    <col min="9996" max="10240" width="9.140625" style="122"/>
    <col min="10241" max="10241" width="35.7109375" style="122" customWidth="1"/>
    <col min="10242" max="10251" width="10.7109375" style="122" customWidth="1"/>
    <col min="10252" max="10496" width="9.140625" style="122"/>
    <col min="10497" max="10497" width="35.7109375" style="122" customWidth="1"/>
    <col min="10498" max="10507" width="10.7109375" style="122" customWidth="1"/>
    <col min="10508" max="10752" width="9.140625" style="122"/>
    <col min="10753" max="10753" width="35.7109375" style="122" customWidth="1"/>
    <col min="10754" max="10763" width="10.7109375" style="122" customWidth="1"/>
    <col min="10764" max="11008" width="9.140625" style="122"/>
    <col min="11009" max="11009" width="35.7109375" style="122" customWidth="1"/>
    <col min="11010" max="11019" width="10.7109375" style="122" customWidth="1"/>
    <col min="11020" max="11264" width="9.140625" style="122"/>
    <col min="11265" max="11265" width="35.7109375" style="122" customWidth="1"/>
    <col min="11266" max="11275" width="10.7109375" style="122" customWidth="1"/>
    <col min="11276" max="11520" width="9.140625" style="122"/>
    <col min="11521" max="11521" width="35.7109375" style="122" customWidth="1"/>
    <col min="11522" max="11531" width="10.7109375" style="122" customWidth="1"/>
    <col min="11532" max="11776" width="9.140625" style="122"/>
    <col min="11777" max="11777" width="35.7109375" style="122" customWidth="1"/>
    <col min="11778" max="11787" width="10.7109375" style="122" customWidth="1"/>
    <col min="11788" max="12032" width="9.140625" style="122"/>
    <col min="12033" max="12033" width="35.7109375" style="122" customWidth="1"/>
    <col min="12034" max="12043" width="10.7109375" style="122" customWidth="1"/>
    <col min="12044" max="12288" width="9.140625" style="122"/>
    <col min="12289" max="12289" width="35.7109375" style="122" customWidth="1"/>
    <col min="12290" max="12299" width="10.7109375" style="122" customWidth="1"/>
    <col min="12300" max="12544" width="9.140625" style="122"/>
    <col min="12545" max="12545" width="35.7109375" style="122" customWidth="1"/>
    <col min="12546" max="12555" width="10.7109375" style="122" customWidth="1"/>
    <col min="12556" max="12800" width="9.140625" style="122"/>
    <col min="12801" max="12801" width="35.7109375" style="122" customWidth="1"/>
    <col min="12802" max="12811" width="10.7109375" style="122" customWidth="1"/>
    <col min="12812" max="13056" width="9.140625" style="122"/>
    <col min="13057" max="13057" width="35.7109375" style="122" customWidth="1"/>
    <col min="13058" max="13067" width="10.7109375" style="122" customWidth="1"/>
    <col min="13068" max="13312" width="9.140625" style="122"/>
    <col min="13313" max="13313" width="35.7109375" style="122" customWidth="1"/>
    <col min="13314" max="13323" width="10.7109375" style="122" customWidth="1"/>
    <col min="13324" max="13568" width="9.140625" style="122"/>
    <col min="13569" max="13569" width="35.7109375" style="122" customWidth="1"/>
    <col min="13570" max="13579" width="10.7109375" style="122" customWidth="1"/>
    <col min="13580" max="13824" width="9.140625" style="122"/>
    <col min="13825" max="13825" width="35.7109375" style="122" customWidth="1"/>
    <col min="13826" max="13835" width="10.7109375" style="122" customWidth="1"/>
    <col min="13836" max="14080" width="9.140625" style="122"/>
    <col min="14081" max="14081" width="35.7109375" style="122" customWidth="1"/>
    <col min="14082" max="14091" width="10.7109375" style="122" customWidth="1"/>
    <col min="14092" max="14336" width="9.140625" style="122"/>
    <col min="14337" max="14337" width="35.7109375" style="122" customWidth="1"/>
    <col min="14338" max="14347" width="10.7109375" style="122" customWidth="1"/>
    <col min="14348" max="14592" width="9.140625" style="122"/>
    <col min="14593" max="14593" width="35.7109375" style="122" customWidth="1"/>
    <col min="14594" max="14603" width="10.7109375" style="122" customWidth="1"/>
    <col min="14604" max="14848" width="9.140625" style="122"/>
    <col min="14849" max="14849" width="35.7109375" style="122" customWidth="1"/>
    <col min="14850" max="14859" width="10.7109375" style="122" customWidth="1"/>
    <col min="14860" max="15104" width="9.140625" style="122"/>
    <col min="15105" max="15105" width="35.7109375" style="122" customWidth="1"/>
    <col min="15106" max="15115" width="10.7109375" style="122" customWidth="1"/>
    <col min="15116" max="15360" width="9.140625" style="122"/>
    <col min="15361" max="15361" width="35.7109375" style="122" customWidth="1"/>
    <col min="15362" max="15371" width="10.7109375" style="122" customWidth="1"/>
    <col min="15372" max="15616" width="9.140625" style="122"/>
    <col min="15617" max="15617" width="35.7109375" style="122" customWidth="1"/>
    <col min="15618" max="15627" width="10.7109375" style="122" customWidth="1"/>
    <col min="15628" max="15872" width="9.140625" style="122"/>
    <col min="15873" max="15873" width="35.7109375" style="122" customWidth="1"/>
    <col min="15874" max="15883" width="10.7109375" style="122" customWidth="1"/>
    <col min="15884" max="16128" width="9.140625" style="122"/>
    <col min="16129" max="16129" width="35.7109375" style="122" customWidth="1"/>
    <col min="16130" max="16139" width="10.7109375" style="122" customWidth="1"/>
    <col min="16140" max="16384" width="9.140625" style="122"/>
  </cols>
  <sheetData>
    <row r="1" spans="1:12" ht="21" customHeight="1" x14ac:dyDescent="0.2">
      <c r="A1" s="720" t="s">
        <v>230</v>
      </c>
      <c r="B1" s="721"/>
      <c r="C1" s="721"/>
      <c r="D1" s="721"/>
      <c r="E1" s="721"/>
      <c r="F1" s="721"/>
      <c r="G1" s="721"/>
      <c r="H1" s="721"/>
      <c r="I1" s="721"/>
      <c r="J1" s="721"/>
      <c r="K1" s="722"/>
    </row>
    <row r="2" spans="1:12" ht="21" customHeight="1" x14ac:dyDescent="0.2">
      <c r="A2" s="38" t="s">
        <v>59</v>
      </c>
      <c r="B2" s="39">
        <f>'Cashflow '!F3</f>
        <v>0.7</v>
      </c>
      <c r="C2" s="39">
        <f>'Cashflow '!G3</f>
        <v>0.8</v>
      </c>
      <c r="D2" s="39">
        <f>'Cashflow '!H3</f>
        <v>0.95</v>
      </c>
      <c r="E2" s="39">
        <f>'Cashflow '!I3</f>
        <v>0.95</v>
      </c>
      <c r="F2" s="39">
        <f>'Cashflow '!J3</f>
        <v>0.95</v>
      </c>
      <c r="G2" s="39">
        <f>'Cashflow '!K3</f>
        <v>0.95</v>
      </c>
      <c r="H2" s="39">
        <f>'Cashflow '!L3</f>
        <v>0.95</v>
      </c>
      <c r="I2" s="39">
        <f>'Cashflow '!M3</f>
        <v>0.95</v>
      </c>
      <c r="J2" s="39">
        <f>'Cashflow '!N3</f>
        <v>0.95</v>
      </c>
      <c r="K2" s="196">
        <f>'Cashflow '!O3</f>
        <v>0.95</v>
      </c>
    </row>
    <row r="3" spans="1:12" ht="18.75" customHeight="1" x14ac:dyDescent="0.2">
      <c r="A3" s="736" t="s">
        <v>60</v>
      </c>
      <c r="B3" s="737"/>
      <c r="C3" s="737"/>
      <c r="D3" s="737"/>
      <c r="E3" s="737"/>
      <c r="F3" s="737"/>
      <c r="G3" s="737"/>
      <c r="H3" s="737"/>
      <c r="I3" s="737"/>
      <c r="J3" s="737"/>
      <c r="K3" s="738"/>
      <c r="L3" s="123"/>
    </row>
    <row r="4" spans="1:12" ht="21" customHeight="1" x14ac:dyDescent="0.2">
      <c r="A4" s="38"/>
      <c r="B4" s="40" t="s">
        <v>61</v>
      </c>
      <c r="C4" s="40" t="s">
        <v>62</v>
      </c>
      <c r="D4" s="40" t="s">
        <v>63</v>
      </c>
      <c r="E4" s="40" t="s">
        <v>64</v>
      </c>
      <c r="F4" s="40" t="s">
        <v>65</v>
      </c>
      <c r="G4" s="40" t="s">
        <v>66</v>
      </c>
      <c r="H4" s="40" t="s">
        <v>67</v>
      </c>
      <c r="I4" s="40" t="s">
        <v>68</v>
      </c>
      <c r="J4" s="40" t="s">
        <v>69</v>
      </c>
      <c r="K4" s="41" t="s">
        <v>70</v>
      </c>
      <c r="L4" s="123"/>
    </row>
    <row r="5" spans="1:12" s="116" customFormat="1" ht="21" customHeight="1" x14ac:dyDescent="0.2">
      <c r="A5" s="38" t="s">
        <v>96</v>
      </c>
      <c r="B5" s="59">
        <f>'Cashflow '!F12</f>
        <v>201.53651519763997</v>
      </c>
      <c r="C5" s="59">
        <f>'Cashflow '!G12</f>
        <v>230.32744594016</v>
      </c>
      <c r="D5" s="59">
        <f>'Cashflow '!H12</f>
        <v>273.51384205393998</v>
      </c>
      <c r="E5" s="59">
        <f>'Cashflow '!I12</f>
        <v>273.51384205393998</v>
      </c>
      <c r="F5" s="59">
        <f>'Cashflow '!J12</f>
        <v>273.51384205393998</v>
      </c>
      <c r="G5" s="59">
        <f>'Cashflow '!K12</f>
        <v>273.51384205393998</v>
      </c>
      <c r="H5" s="59">
        <f>'Cashflow '!L12</f>
        <v>273.51384205393998</v>
      </c>
      <c r="I5" s="59">
        <f>'Cashflow '!M12</f>
        <v>273.51384205393998</v>
      </c>
      <c r="J5" s="59">
        <f>'Cashflow '!N12</f>
        <v>273.51384205393998</v>
      </c>
      <c r="K5" s="60">
        <f>'Cashflow '!O12</f>
        <v>273.51384205393998</v>
      </c>
      <c r="L5" s="123"/>
    </row>
    <row r="6" spans="1:12" s="116" customFormat="1" ht="21" customHeight="1" x14ac:dyDescent="0.2">
      <c r="A6" s="38" t="s">
        <v>126</v>
      </c>
      <c r="B6" s="59">
        <f t="shared" ref="B6:K6" si="0">SUM(B7:B8)</f>
        <v>110.61004759905124</v>
      </c>
      <c r="C6" s="59">
        <f t="shared" si="0"/>
        <v>99.593603857953994</v>
      </c>
      <c r="D6" s="59">
        <f t="shared" si="0"/>
        <v>138.0491936246529</v>
      </c>
      <c r="E6" s="59">
        <f t="shared" si="0"/>
        <v>138.0491936246529</v>
      </c>
      <c r="F6" s="59">
        <f t="shared" si="0"/>
        <v>138.0491936246529</v>
      </c>
      <c r="G6" s="59">
        <f t="shared" si="0"/>
        <v>138.0491936246529</v>
      </c>
      <c r="H6" s="59">
        <f t="shared" si="0"/>
        <v>138.0491936246529</v>
      </c>
      <c r="I6" s="59">
        <f t="shared" si="0"/>
        <v>138.0491936246529</v>
      </c>
      <c r="J6" s="59">
        <f t="shared" si="0"/>
        <v>138.0491936246529</v>
      </c>
      <c r="K6" s="60">
        <f t="shared" si="0"/>
        <v>138.0491936246529</v>
      </c>
      <c r="L6" s="123"/>
    </row>
    <row r="7" spans="1:12" s="116" customFormat="1" ht="21" customHeight="1" x14ac:dyDescent="0.2">
      <c r="A7" s="20" t="s">
        <v>279</v>
      </c>
      <c r="B7" s="59">
        <f>'Cashflow '!F18</f>
        <v>96.118319313738738</v>
      </c>
      <c r="C7" s="59">
        <f>'Cashflow '!G18</f>
        <v>87.879606229703995</v>
      </c>
      <c r="D7" s="59">
        <f>'Cashflow '!H18</f>
        <v>123.92397597235602</v>
      </c>
      <c r="E7" s="59">
        <f>'Cashflow '!I18</f>
        <v>123.92397597235602</v>
      </c>
      <c r="F7" s="59">
        <f>'Cashflow '!J18</f>
        <v>123.92397597235602</v>
      </c>
      <c r="G7" s="59">
        <f>'Cashflow '!K18</f>
        <v>123.92397597235602</v>
      </c>
      <c r="H7" s="59">
        <f>'Cashflow '!L18</f>
        <v>123.92397597235602</v>
      </c>
      <c r="I7" s="59">
        <f>'Cashflow '!M18</f>
        <v>123.92397597235602</v>
      </c>
      <c r="J7" s="59">
        <f>'Cashflow '!N18</f>
        <v>123.92397597235602</v>
      </c>
      <c r="K7" s="60">
        <f>'Cashflow '!O18</f>
        <v>123.92397597235602</v>
      </c>
      <c r="L7" s="123"/>
    </row>
    <row r="8" spans="1:12" s="116" customFormat="1" ht="21" customHeight="1" x14ac:dyDescent="0.2">
      <c r="A8" s="20" t="s">
        <v>278</v>
      </c>
      <c r="B8" s="59">
        <f>'Cashflow '!F19</f>
        <v>14.491728285312501</v>
      </c>
      <c r="C8" s="59">
        <f>'Cashflow '!G19</f>
        <v>11.713997628250002</v>
      </c>
      <c r="D8" s="59">
        <f>'Cashflow '!H19</f>
        <v>14.125217652296875</v>
      </c>
      <c r="E8" s="59">
        <f>'Cashflow '!I19</f>
        <v>14.125217652296875</v>
      </c>
      <c r="F8" s="59">
        <f>'Cashflow '!J19</f>
        <v>14.125217652296875</v>
      </c>
      <c r="G8" s="59">
        <f>'Cashflow '!K19</f>
        <v>14.125217652296875</v>
      </c>
      <c r="H8" s="59">
        <f>'Cashflow '!L19</f>
        <v>14.125217652296875</v>
      </c>
      <c r="I8" s="59">
        <f>'Cashflow '!M19</f>
        <v>14.125217652296875</v>
      </c>
      <c r="J8" s="59">
        <f>'Cashflow '!N19</f>
        <v>14.125217652296875</v>
      </c>
      <c r="K8" s="60">
        <f>'Cashflow '!O19</f>
        <v>14.125217652296875</v>
      </c>
      <c r="L8" s="123"/>
    </row>
    <row r="9" spans="1:12" ht="21" customHeight="1" x14ac:dyDescent="0.2">
      <c r="A9" s="38" t="s">
        <v>127</v>
      </c>
      <c r="B9" s="59">
        <f t="shared" ref="B9:K9" si="1">B5-B6</f>
        <v>90.926467598588729</v>
      </c>
      <c r="C9" s="59">
        <f t="shared" si="1"/>
        <v>130.73384208220602</v>
      </c>
      <c r="D9" s="59">
        <f t="shared" si="1"/>
        <v>135.46464842928708</v>
      </c>
      <c r="E9" s="59">
        <f t="shared" si="1"/>
        <v>135.46464842928708</v>
      </c>
      <c r="F9" s="59">
        <f t="shared" si="1"/>
        <v>135.46464842928708</v>
      </c>
      <c r="G9" s="59">
        <f t="shared" si="1"/>
        <v>135.46464842928708</v>
      </c>
      <c r="H9" s="59">
        <f t="shared" si="1"/>
        <v>135.46464842928708</v>
      </c>
      <c r="I9" s="59">
        <f t="shared" si="1"/>
        <v>135.46464842928708</v>
      </c>
      <c r="J9" s="59">
        <f t="shared" si="1"/>
        <v>135.46464842928708</v>
      </c>
      <c r="K9" s="60">
        <f t="shared" si="1"/>
        <v>135.46464842928708</v>
      </c>
      <c r="L9" s="124"/>
    </row>
    <row r="10" spans="1:12" s="116" customFormat="1" ht="21" customHeight="1" x14ac:dyDescent="0.2">
      <c r="A10" s="38" t="s">
        <v>129</v>
      </c>
      <c r="B10" s="59" t="e">
        <f>Opex!#REF!</f>
        <v>#REF!</v>
      </c>
      <c r="C10" s="59" t="e">
        <f>Opex!#REF!</f>
        <v>#REF!</v>
      </c>
      <c r="D10" s="59" t="e">
        <f>Opex!#REF!</f>
        <v>#REF!</v>
      </c>
      <c r="E10" s="59" t="e">
        <f>Opex!#REF!</f>
        <v>#REF!</v>
      </c>
      <c r="F10" s="59" t="e">
        <f>Opex!#REF!</f>
        <v>#REF!</v>
      </c>
      <c r="G10" s="59" t="e">
        <f>Opex!#REF!</f>
        <v>#REF!</v>
      </c>
      <c r="H10" s="59" t="e">
        <f>Opex!#REF!</f>
        <v>#REF!</v>
      </c>
      <c r="I10" s="59" t="e">
        <f>Opex!#REF!</f>
        <v>#REF!</v>
      </c>
      <c r="J10" s="59" t="e">
        <f>Opex!#REF!</f>
        <v>#REF!</v>
      </c>
      <c r="K10" s="60" t="e">
        <f>Opex!#REF!</f>
        <v>#REF!</v>
      </c>
      <c r="L10" s="123"/>
    </row>
    <row r="11" spans="1:12" s="116" customFormat="1" ht="21" customHeight="1" x14ac:dyDescent="0.2">
      <c r="A11" s="38" t="s">
        <v>130</v>
      </c>
      <c r="B11" s="59" t="e">
        <f>B9-B10</f>
        <v>#REF!</v>
      </c>
      <c r="C11" s="59" t="e">
        <f t="shared" ref="C11:K11" si="2">C9-C10</f>
        <v>#REF!</v>
      </c>
      <c r="D11" s="59" t="e">
        <f t="shared" si="2"/>
        <v>#REF!</v>
      </c>
      <c r="E11" s="59" t="e">
        <f t="shared" si="2"/>
        <v>#REF!</v>
      </c>
      <c r="F11" s="59" t="e">
        <f t="shared" si="2"/>
        <v>#REF!</v>
      </c>
      <c r="G11" s="59" t="e">
        <f t="shared" si="2"/>
        <v>#REF!</v>
      </c>
      <c r="H11" s="59" t="e">
        <f t="shared" si="2"/>
        <v>#REF!</v>
      </c>
      <c r="I11" s="59" t="e">
        <f t="shared" si="2"/>
        <v>#REF!</v>
      </c>
      <c r="J11" s="59" t="e">
        <f t="shared" si="2"/>
        <v>#REF!</v>
      </c>
      <c r="K11" s="60" t="e">
        <f t="shared" si="2"/>
        <v>#REF!</v>
      </c>
      <c r="L11" s="123"/>
    </row>
    <row r="12" spans="1:12" s="116" customFormat="1" ht="21" customHeight="1" x14ac:dyDescent="0.2">
      <c r="A12" s="38" t="s">
        <v>71</v>
      </c>
      <c r="B12" s="59" t="e">
        <f>B11*0.25</f>
        <v>#REF!</v>
      </c>
      <c r="C12" s="59" t="e">
        <f>C11*0.25</f>
        <v>#REF!</v>
      </c>
      <c r="D12" s="59" t="e">
        <f t="shared" ref="D12:K12" si="3">D11*0.25</f>
        <v>#REF!</v>
      </c>
      <c r="E12" s="59" t="e">
        <f t="shared" si="3"/>
        <v>#REF!</v>
      </c>
      <c r="F12" s="59" t="e">
        <f t="shared" si="3"/>
        <v>#REF!</v>
      </c>
      <c r="G12" s="59" t="e">
        <f t="shared" si="3"/>
        <v>#REF!</v>
      </c>
      <c r="H12" s="59" t="e">
        <f t="shared" si="3"/>
        <v>#REF!</v>
      </c>
      <c r="I12" s="59" t="e">
        <f t="shared" si="3"/>
        <v>#REF!</v>
      </c>
      <c r="J12" s="59" t="e">
        <f t="shared" si="3"/>
        <v>#REF!</v>
      </c>
      <c r="K12" s="60" t="e">
        <f t="shared" si="3"/>
        <v>#REF!</v>
      </c>
      <c r="L12" s="123"/>
    </row>
    <row r="13" spans="1:12" s="116" customFormat="1" ht="21" customHeight="1" x14ac:dyDescent="0.2">
      <c r="A13" s="38" t="s">
        <v>72</v>
      </c>
      <c r="B13" s="59" t="e">
        <f>B11-B12</f>
        <v>#REF!</v>
      </c>
      <c r="C13" s="59" t="e">
        <f t="shared" ref="C13:K13" si="4">C11-C12</f>
        <v>#REF!</v>
      </c>
      <c r="D13" s="59" t="e">
        <f t="shared" si="4"/>
        <v>#REF!</v>
      </c>
      <c r="E13" s="59" t="e">
        <f t="shared" si="4"/>
        <v>#REF!</v>
      </c>
      <c r="F13" s="59" t="e">
        <f t="shared" si="4"/>
        <v>#REF!</v>
      </c>
      <c r="G13" s="59" t="e">
        <f t="shared" si="4"/>
        <v>#REF!</v>
      </c>
      <c r="H13" s="59" t="e">
        <f t="shared" si="4"/>
        <v>#REF!</v>
      </c>
      <c r="I13" s="59" t="e">
        <f t="shared" si="4"/>
        <v>#REF!</v>
      </c>
      <c r="J13" s="59" t="e">
        <f t="shared" si="4"/>
        <v>#REF!</v>
      </c>
      <c r="K13" s="60" t="e">
        <f t="shared" si="4"/>
        <v>#REF!</v>
      </c>
      <c r="L13" s="123"/>
    </row>
    <row r="14" spans="1:12" s="116" customFormat="1" ht="21" customHeight="1" x14ac:dyDescent="0.2">
      <c r="A14" s="38" t="s">
        <v>280</v>
      </c>
      <c r="B14" s="59" t="e">
        <f>Opex!#REF!</f>
        <v>#REF!</v>
      </c>
      <c r="C14" s="59" t="e">
        <f>Opex!#REF!</f>
        <v>#REF!</v>
      </c>
      <c r="D14" s="59" t="e">
        <f>Opex!#REF!</f>
        <v>#REF!</v>
      </c>
      <c r="E14" s="59" t="e">
        <f>Opex!#REF!</f>
        <v>#REF!</v>
      </c>
      <c r="F14" s="59" t="e">
        <f>Opex!#REF!</f>
        <v>#REF!</v>
      </c>
      <c r="G14" s="59" t="e">
        <f>Opex!#REF!</f>
        <v>#REF!</v>
      </c>
      <c r="H14" s="59" t="e">
        <f>Opex!#REF!</f>
        <v>#REF!</v>
      </c>
      <c r="I14" s="59" t="e">
        <f>Opex!#REF!</f>
        <v>#REF!</v>
      </c>
      <c r="J14" s="59" t="e">
        <f>Opex!#REF!</f>
        <v>#REF!</v>
      </c>
      <c r="K14" s="60" t="e">
        <f>Opex!#REF!</f>
        <v>#REF!</v>
      </c>
      <c r="L14" s="123"/>
    </row>
    <row r="15" spans="1:12" s="116" customFormat="1" ht="21" customHeight="1" x14ac:dyDescent="0.2">
      <c r="A15" s="42" t="s">
        <v>281</v>
      </c>
      <c r="B15" s="61" t="e">
        <f>B13-B14</f>
        <v>#REF!</v>
      </c>
      <c r="C15" s="61" t="e">
        <f t="shared" ref="C15:K15" si="5">C13-C14</f>
        <v>#REF!</v>
      </c>
      <c r="D15" s="61" t="e">
        <f t="shared" si="5"/>
        <v>#REF!</v>
      </c>
      <c r="E15" s="61" t="e">
        <f t="shared" si="5"/>
        <v>#REF!</v>
      </c>
      <c r="F15" s="61" t="e">
        <f t="shared" si="5"/>
        <v>#REF!</v>
      </c>
      <c r="G15" s="61" t="e">
        <f t="shared" si="5"/>
        <v>#REF!</v>
      </c>
      <c r="H15" s="61" t="e">
        <f t="shared" si="5"/>
        <v>#REF!</v>
      </c>
      <c r="I15" s="61" t="e">
        <f t="shared" si="5"/>
        <v>#REF!</v>
      </c>
      <c r="J15" s="61" t="e">
        <f t="shared" si="5"/>
        <v>#REF!</v>
      </c>
      <c r="K15" s="62" t="e">
        <f t="shared" si="5"/>
        <v>#REF!</v>
      </c>
      <c r="L15" s="123"/>
    </row>
    <row r="16" spans="1:12" ht="21" customHeight="1" x14ac:dyDescent="0.2">
      <c r="A16" s="733" t="s">
        <v>243</v>
      </c>
      <c r="B16" s="734"/>
      <c r="C16" s="734"/>
      <c r="D16" s="734"/>
      <c r="E16" s="734"/>
      <c r="F16" s="734"/>
      <c r="G16" s="228" t="s">
        <v>267</v>
      </c>
      <c r="H16" s="125"/>
      <c r="I16" s="125"/>
      <c r="J16" s="125"/>
      <c r="K16" s="125"/>
    </row>
    <row r="17" spans="1:11" ht="21" customHeight="1" x14ac:dyDescent="0.2">
      <c r="A17" s="241" t="s">
        <v>59</v>
      </c>
      <c r="B17" s="242">
        <f>'Cashflow '!I3</f>
        <v>0.95</v>
      </c>
      <c r="C17" s="242"/>
      <c r="D17" s="242"/>
      <c r="E17" s="242"/>
      <c r="F17" s="243"/>
      <c r="H17" s="125"/>
      <c r="I17" s="125"/>
      <c r="J17" s="125"/>
      <c r="K17" s="125"/>
    </row>
    <row r="18" spans="1:11" ht="21" customHeight="1" x14ac:dyDescent="0.2">
      <c r="A18" s="736" t="s">
        <v>60</v>
      </c>
      <c r="B18" s="737"/>
      <c r="C18" s="737"/>
      <c r="D18" s="737"/>
      <c r="E18" s="737"/>
      <c r="F18" s="738"/>
      <c r="H18" s="125"/>
      <c r="I18" s="125"/>
      <c r="J18" s="125"/>
      <c r="K18" s="125"/>
    </row>
    <row r="19" spans="1:11" ht="21" customHeight="1" x14ac:dyDescent="0.2">
      <c r="A19" s="38"/>
      <c r="B19" s="40" t="s">
        <v>64</v>
      </c>
      <c r="C19" s="40">
        <v>1</v>
      </c>
      <c r="D19" s="40">
        <v>2</v>
      </c>
      <c r="E19" s="40">
        <v>3</v>
      </c>
      <c r="F19" s="41">
        <v>4</v>
      </c>
      <c r="H19" s="125"/>
      <c r="I19" s="125"/>
      <c r="J19" s="125"/>
      <c r="K19" s="125"/>
    </row>
    <row r="20" spans="1:11" ht="21" customHeight="1" x14ac:dyDescent="0.2">
      <c r="A20" s="38" t="s">
        <v>96</v>
      </c>
      <c r="B20" s="59">
        <f>E5</f>
        <v>273.51384205393998</v>
      </c>
      <c r="C20" s="59">
        <f>B20-(B20*0.05)</f>
        <v>259.838149951243</v>
      </c>
      <c r="D20" s="59">
        <f>E5</f>
        <v>273.51384205393998</v>
      </c>
      <c r="E20" s="59">
        <f>B20-(B20*0.05)</f>
        <v>259.838149951243</v>
      </c>
      <c r="F20" s="60">
        <f>E5</f>
        <v>273.51384205393998</v>
      </c>
      <c r="H20" s="125"/>
      <c r="I20" s="125"/>
      <c r="J20" s="125"/>
      <c r="K20" s="125"/>
    </row>
    <row r="21" spans="1:11" ht="21" customHeight="1" x14ac:dyDescent="0.2">
      <c r="A21" s="38" t="s">
        <v>126</v>
      </c>
      <c r="B21" s="59">
        <f>SUM(B22:B23)</f>
        <v>138.0491936246529</v>
      </c>
      <c r="C21" s="59">
        <f>SUM(C22:C23)</f>
        <v>138.0491936246529</v>
      </c>
      <c r="D21" s="59">
        <f>SUM(D22:D23)</f>
        <v>150.4415912218885</v>
      </c>
      <c r="E21" s="59">
        <f>SUM(E22:E23)</f>
        <v>150.4415912218885</v>
      </c>
      <c r="F21" s="60">
        <f>B21+(B21*0.05)</f>
        <v>144.95165330588554</v>
      </c>
      <c r="H21" s="125"/>
      <c r="I21" s="125"/>
      <c r="J21" s="125"/>
      <c r="K21" s="125"/>
    </row>
    <row r="22" spans="1:11" ht="21" customHeight="1" x14ac:dyDescent="0.2">
      <c r="A22" s="20" t="s">
        <v>279</v>
      </c>
      <c r="B22" s="59">
        <f t="shared" ref="B22:B29" si="6">E7</f>
        <v>123.92397597235602</v>
      </c>
      <c r="C22" s="59">
        <f>E7</f>
        <v>123.92397597235602</v>
      </c>
      <c r="D22" s="59">
        <f>B22+(B22*0.1)</f>
        <v>136.31637356959163</v>
      </c>
      <c r="E22" s="59">
        <f>B22+(B22*0.1)</f>
        <v>136.31637356959163</v>
      </c>
      <c r="F22" s="60">
        <f>E7</f>
        <v>123.92397597235602</v>
      </c>
      <c r="H22" s="125"/>
      <c r="I22" s="125"/>
      <c r="J22" s="125"/>
      <c r="K22" s="125"/>
    </row>
    <row r="23" spans="1:11" ht="21" customHeight="1" x14ac:dyDescent="0.2">
      <c r="A23" s="20" t="s">
        <v>278</v>
      </c>
      <c r="B23" s="59">
        <f t="shared" si="6"/>
        <v>14.125217652296875</v>
      </c>
      <c r="C23" s="59">
        <f>E8</f>
        <v>14.125217652296875</v>
      </c>
      <c r="D23" s="59">
        <f>E8</f>
        <v>14.125217652296875</v>
      </c>
      <c r="E23" s="59">
        <f>E8</f>
        <v>14.125217652296875</v>
      </c>
      <c r="F23" s="60">
        <f>E8</f>
        <v>14.125217652296875</v>
      </c>
      <c r="H23" s="125"/>
      <c r="I23" s="125"/>
      <c r="J23" s="125"/>
      <c r="K23" s="125"/>
    </row>
    <row r="24" spans="1:11" ht="21" customHeight="1" x14ac:dyDescent="0.2">
      <c r="A24" s="38" t="s">
        <v>127</v>
      </c>
      <c r="B24" s="59">
        <f>B20-B21</f>
        <v>135.46464842928708</v>
      </c>
      <c r="C24" s="59">
        <f>C20-C21</f>
        <v>121.7889563265901</v>
      </c>
      <c r="D24" s="59">
        <f>D20-D21</f>
        <v>123.07225083205148</v>
      </c>
      <c r="E24" s="59">
        <f>E20-E21</f>
        <v>109.3965587293545</v>
      </c>
      <c r="F24" s="60">
        <f>F20-F21</f>
        <v>128.56218874805444</v>
      </c>
      <c r="H24" s="125"/>
      <c r="I24" s="125"/>
      <c r="J24" s="125"/>
      <c r="K24" s="125"/>
    </row>
    <row r="25" spans="1:11" ht="21" customHeight="1" x14ac:dyDescent="0.2">
      <c r="A25" s="38" t="s">
        <v>129</v>
      </c>
      <c r="B25" s="59" t="e">
        <f t="shared" si="6"/>
        <v>#REF!</v>
      </c>
      <c r="C25" s="59" t="e">
        <f>E10</f>
        <v>#REF!</v>
      </c>
      <c r="D25" s="59">
        <f>'Cashflow '!$E$8/10</f>
        <v>50.776940706250002</v>
      </c>
      <c r="E25" s="59">
        <f>'Cashflow '!$E$8/10</f>
        <v>50.776940706250002</v>
      </c>
      <c r="F25" s="60">
        <f>'Cashflow '!$E$8/10</f>
        <v>50.776940706250002</v>
      </c>
      <c r="H25" s="125"/>
      <c r="I25" s="125"/>
      <c r="J25" s="125"/>
      <c r="K25" s="125"/>
    </row>
    <row r="26" spans="1:11" ht="21" customHeight="1" x14ac:dyDescent="0.2">
      <c r="A26" s="38" t="s">
        <v>130</v>
      </c>
      <c r="B26" s="59" t="e">
        <f>B24-B25</f>
        <v>#REF!</v>
      </c>
      <c r="C26" s="59" t="e">
        <f t="shared" ref="C26:F26" si="7">C24-C25</f>
        <v>#REF!</v>
      </c>
      <c r="D26" s="59">
        <f t="shared" si="7"/>
        <v>72.295310125801478</v>
      </c>
      <c r="E26" s="59">
        <f t="shared" si="7"/>
        <v>58.619618023104493</v>
      </c>
      <c r="F26" s="60">
        <f t="shared" si="7"/>
        <v>77.785248041804437</v>
      </c>
      <c r="H26" s="125"/>
      <c r="I26" s="125"/>
      <c r="J26" s="125"/>
      <c r="K26" s="125"/>
    </row>
    <row r="27" spans="1:11" ht="21" customHeight="1" x14ac:dyDescent="0.2">
      <c r="A27" s="38" t="s">
        <v>71</v>
      </c>
      <c r="B27" s="59" t="e">
        <f>B26*0.25</f>
        <v>#REF!</v>
      </c>
      <c r="C27" s="59" t="e">
        <f t="shared" ref="C27:F27" si="8">C26*0.25</f>
        <v>#REF!</v>
      </c>
      <c r="D27" s="59">
        <f t="shared" si="8"/>
        <v>18.07382753145037</v>
      </c>
      <c r="E27" s="59">
        <f t="shared" si="8"/>
        <v>14.654904505776123</v>
      </c>
      <c r="F27" s="60">
        <f t="shared" si="8"/>
        <v>19.446312010451109</v>
      </c>
      <c r="H27" s="125"/>
      <c r="I27" s="125"/>
      <c r="J27" s="125"/>
      <c r="K27" s="125"/>
    </row>
    <row r="28" spans="1:11" ht="21" customHeight="1" x14ac:dyDescent="0.2">
      <c r="A28" s="38" t="s">
        <v>72</v>
      </c>
      <c r="B28" s="59" t="e">
        <f>B26-B27</f>
        <v>#REF!</v>
      </c>
      <c r="C28" s="59" t="e">
        <f t="shared" ref="C28:F28" si="9">C26-C27</f>
        <v>#REF!</v>
      </c>
      <c r="D28" s="59">
        <f t="shared" si="9"/>
        <v>54.221482594351109</v>
      </c>
      <c r="E28" s="59">
        <f t="shared" si="9"/>
        <v>43.96471351732837</v>
      </c>
      <c r="F28" s="60">
        <f t="shared" si="9"/>
        <v>58.338936031353327</v>
      </c>
      <c r="H28" s="125"/>
      <c r="I28" s="125"/>
      <c r="J28" s="125"/>
      <c r="K28" s="125"/>
    </row>
    <row r="29" spans="1:11" ht="21" customHeight="1" x14ac:dyDescent="0.2">
      <c r="A29" s="38" t="s">
        <v>280</v>
      </c>
      <c r="B29" s="59" t="e">
        <f t="shared" si="6"/>
        <v>#REF!</v>
      </c>
      <c r="C29" s="59" t="e">
        <f>B29</f>
        <v>#REF!</v>
      </c>
      <c r="D29" s="59" t="e">
        <f>B29</f>
        <v>#REF!</v>
      </c>
      <c r="E29" s="59" t="e">
        <f>B29</f>
        <v>#REF!</v>
      </c>
      <c r="F29" s="60" t="e">
        <f>B29</f>
        <v>#REF!</v>
      </c>
      <c r="H29" s="125"/>
      <c r="I29" s="125"/>
      <c r="J29" s="125"/>
      <c r="K29" s="125"/>
    </row>
    <row r="30" spans="1:11" ht="21" customHeight="1" x14ac:dyDescent="0.2">
      <c r="A30" s="42" t="s">
        <v>281</v>
      </c>
      <c r="B30" s="61" t="e">
        <f>B28-B29</f>
        <v>#REF!</v>
      </c>
      <c r="C30" s="61" t="e">
        <f>C28-C29</f>
        <v>#REF!</v>
      </c>
      <c r="D30" s="61" t="e">
        <f>D28-D29</f>
        <v>#REF!</v>
      </c>
      <c r="E30" s="61" t="e">
        <f>E28-E29</f>
        <v>#REF!</v>
      </c>
      <c r="F30" s="62" t="e">
        <f>F28-F29</f>
        <v>#REF!</v>
      </c>
      <c r="H30" s="125"/>
      <c r="I30" s="125"/>
      <c r="J30" s="125"/>
      <c r="K30" s="125"/>
    </row>
    <row r="31" spans="1:11" ht="17.25" customHeight="1" x14ac:dyDescent="0.2">
      <c r="A31" s="239" t="s">
        <v>38</v>
      </c>
      <c r="B31" s="240" t="s">
        <v>115</v>
      </c>
      <c r="C31" s="240" t="s">
        <v>233</v>
      </c>
      <c r="D31" s="240" t="s">
        <v>232</v>
      </c>
      <c r="E31" s="128"/>
      <c r="F31" s="128"/>
      <c r="G31" s="128"/>
      <c r="H31" s="126"/>
      <c r="I31" s="126"/>
      <c r="J31" s="126"/>
      <c r="K31" s="126"/>
    </row>
    <row r="32" spans="1:11" ht="17.25" customHeight="1" x14ac:dyDescent="0.2">
      <c r="A32" s="57"/>
      <c r="B32" s="32" t="s">
        <v>109</v>
      </c>
      <c r="C32" s="65"/>
      <c r="D32" s="65"/>
      <c r="E32" s="128"/>
      <c r="F32" s="128"/>
      <c r="G32" s="128"/>
    </row>
    <row r="33" spans="1:7" ht="17.25" customHeight="1" x14ac:dyDescent="0.2">
      <c r="A33" s="58"/>
      <c r="B33" s="33" t="s">
        <v>234</v>
      </c>
      <c r="C33" s="159" t="e">
        <f>B30</f>
        <v>#REF!</v>
      </c>
      <c r="D33" s="159" t="s">
        <v>132</v>
      </c>
      <c r="E33" s="128"/>
      <c r="F33" s="128"/>
      <c r="G33" s="128"/>
    </row>
    <row r="34" spans="1:7" ht="17.25" customHeight="1" x14ac:dyDescent="0.2">
      <c r="A34" s="58"/>
      <c r="B34" s="33"/>
      <c r="C34" s="158"/>
      <c r="D34" s="158"/>
      <c r="E34" s="128"/>
      <c r="F34" s="128"/>
      <c r="G34" s="128"/>
    </row>
    <row r="35" spans="1:7" ht="17.25" customHeight="1" x14ac:dyDescent="0.2">
      <c r="A35" s="199">
        <v>1</v>
      </c>
      <c r="B35" s="33" t="s">
        <v>282</v>
      </c>
      <c r="C35" s="159" t="e">
        <f>C30</f>
        <v>#REF!</v>
      </c>
      <c r="D35" s="161" t="e">
        <f>(C35-$C$33)/$C$33</f>
        <v>#REF!</v>
      </c>
      <c r="E35" s="128"/>
      <c r="F35" s="128"/>
      <c r="G35" s="128"/>
    </row>
    <row r="36" spans="1:7" ht="17.25" customHeight="1" x14ac:dyDescent="0.2">
      <c r="A36" s="199">
        <v>2</v>
      </c>
      <c r="B36" s="33" t="s">
        <v>283</v>
      </c>
      <c r="C36" s="159" t="e">
        <f>D30</f>
        <v>#REF!</v>
      </c>
      <c r="D36" s="161" t="e">
        <f t="shared" ref="D36:D38" si="10">(C36-$C$33)/$C$33</f>
        <v>#REF!</v>
      </c>
      <c r="E36" s="128"/>
      <c r="F36" s="128"/>
      <c r="G36" s="128"/>
    </row>
    <row r="37" spans="1:7" ht="17.25" customHeight="1" x14ac:dyDescent="0.2">
      <c r="A37" s="199">
        <v>3</v>
      </c>
      <c r="B37" s="33" t="s">
        <v>284</v>
      </c>
      <c r="C37" s="159" t="e">
        <f>E30</f>
        <v>#REF!</v>
      </c>
      <c r="D37" s="161" t="e">
        <f t="shared" si="10"/>
        <v>#REF!</v>
      </c>
      <c r="E37" s="128"/>
      <c r="F37" s="128"/>
      <c r="G37" s="128"/>
    </row>
    <row r="38" spans="1:7" ht="17.25" customHeight="1" x14ac:dyDescent="0.2">
      <c r="A38" s="200">
        <v>4</v>
      </c>
      <c r="B38" s="34" t="s">
        <v>285</v>
      </c>
      <c r="C38" s="160" t="e">
        <f>F30</f>
        <v>#REF!</v>
      </c>
      <c r="D38" s="162" t="e">
        <f t="shared" si="10"/>
        <v>#REF!</v>
      </c>
      <c r="E38" s="128"/>
      <c r="F38" s="128"/>
      <c r="G38" s="128"/>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6"/>
  <sheetViews>
    <sheetView showGridLines="0" zoomScaleNormal="100" zoomScaleSheetLayoutView="98" workbookViewId="0">
      <selection activeCell="B7" sqref="B7"/>
    </sheetView>
  </sheetViews>
  <sheetFormatPr defaultRowHeight="12.75" x14ac:dyDescent="0.2"/>
  <cols>
    <col min="1" max="1" width="33.5703125" style="128" customWidth="1"/>
    <col min="2" max="2" width="63.7109375" style="128" bestFit="1" customWidth="1"/>
    <col min="3" max="3" width="16.7109375" style="128" bestFit="1" customWidth="1"/>
    <col min="4" max="7" width="12.42578125" style="128" customWidth="1"/>
    <col min="8" max="252" width="9.140625" style="128"/>
    <col min="253" max="253" width="49.140625" style="128" customWidth="1"/>
    <col min="254" max="254" width="20.7109375" style="128" customWidth="1"/>
    <col min="255" max="255" width="9.140625" style="128"/>
    <col min="256" max="256" width="11.85546875" style="128" customWidth="1"/>
    <col min="257" max="257" width="11.7109375" style="128" customWidth="1"/>
    <col min="258" max="258" width="12.42578125" style="128" customWidth="1"/>
    <col min="259" max="259" width="13.42578125" style="128" customWidth="1"/>
    <col min="260" max="508" width="9.140625" style="128"/>
    <col min="509" max="509" width="49.140625" style="128" customWidth="1"/>
    <col min="510" max="510" width="20.7109375" style="128" customWidth="1"/>
    <col min="511" max="511" width="9.140625" style="128"/>
    <col min="512" max="512" width="11.85546875" style="128" customWidth="1"/>
    <col min="513" max="513" width="11.7109375" style="128" customWidth="1"/>
    <col min="514" max="514" width="12.42578125" style="128" customWidth="1"/>
    <col min="515" max="515" width="13.42578125" style="128" customWidth="1"/>
    <col min="516" max="764" width="9.140625" style="128"/>
    <col min="765" max="765" width="49.140625" style="128" customWidth="1"/>
    <col min="766" max="766" width="20.7109375" style="128" customWidth="1"/>
    <col min="767" max="767" width="9.140625" style="128"/>
    <col min="768" max="768" width="11.85546875" style="128" customWidth="1"/>
    <col min="769" max="769" width="11.7109375" style="128" customWidth="1"/>
    <col min="770" max="770" width="12.42578125" style="128" customWidth="1"/>
    <col min="771" max="771" width="13.42578125" style="128" customWidth="1"/>
    <col min="772" max="1020" width="9.140625" style="128"/>
    <col min="1021" max="1021" width="49.140625" style="128" customWidth="1"/>
    <col min="1022" max="1022" width="20.7109375" style="128" customWidth="1"/>
    <col min="1023" max="1023" width="9.140625" style="128"/>
    <col min="1024" max="1024" width="11.85546875" style="128" customWidth="1"/>
    <col min="1025" max="1025" width="11.7109375" style="128" customWidth="1"/>
    <col min="1026" max="1026" width="12.42578125" style="128" customWidth="1"/>
    <col min="1027" max="1027" width="13.42578125" style="128" customWidth="1"/>
    <col min="1028" max="1276" width="9.140625" style="128"/>
    <col min="1277" max="1277" width="49.140625" style="128" customWidth="1"/>
    <col min="1278" max="1278" width="20.7109375" style="128" customWidth="1"/>
    <col min="1279" max="1279" width="9.140625" style="128"/>
    <col min="1280" max="1280" width="11.85546875" style="128" customWidth="1"/>
    <col min="1281" max="1281" width="11.7109375" style="128" customWidth="1"/>
    <col min="1282" max="1282" width="12.42578125" style="128" customWidth="1"/>
    <col min="1283" max="1283" width="13.42578125" style="128" customWidth="1"/>
    <col min="1284" max="1532" width="9.140625" style="128"/>
    <col min="1533" max="1533" width="49.140625" style="128" customWidth="1"/>
    <col min="1534" max="1534" width="20.7109375" style="128" customWidth="1"/>
    <col min="1535" max="1535" width="9.140625" style="128"/>
    <col min="1536" max="1536" width="11.85546875" style="128" customWidth="1"/>
    <col min="1537" max="1537" width="11.7109375" style="128" customWidth="1"/>
    <col min="1538" max="1538" width="12.42578125" style="128" customWidth="1"/>
    <col min="1539" max="1539" width="13.42578125" style="128" customWidth="1"/>
    <col min="1540" max="1788" width="9.140625" style="128"/>
    <col min="1789" max="1789" width="49.140625" style="128" customWidth="1"/>
    <col min="1790" max="1790" width="20.7109375" style="128" customWidth="1"/>
    <col min="1791" max="1791" width="9.140625" style="128"/>
    <col min="1792" max="1792" width="11.85546875" style="128" customWidth="1"/>
    <col min="1793" max="1793" width="11.7109375" style="128" customWidth="1"/>
    <col min="1794" max="1794" width="12.42578125" style="128" customWidth="1"/>
    <col min="1795" max="1795" width="13.42578125" style="128" customWidth="1"/>
    <col min="1796" max="2044" width="9.140625" style="128"/>
    <col min="2045" max="2045" width="49.140625" style="128" customWidth="1"/>
    <col min="2046" max="2046" width="20.7109375" style="128" customWidth="1"/>
    <col min="2047" max="2047" width="9.140625" style="128"/>
    <col min="2048" max="2048" width="11.85546875" style="128" customWidth="1"/>
    <col min="2049" max="2049" width="11.7109375" style="128" customWidth="1"/>
    <col min="2050" max="2050" width="12.42578125" style="128" customWidth="1"/>
    <col min="2051" max="2051" width="13.42578125" style="128" customWidth="1"/>
    <col min="2052" max="2300" width="9.140625" style="128"/>
    <col min="2301" max="2301" width="49.140625" style="128" customWidth="1"/>
    <col min="2302" max="2302" width="20.7109375" style="128" customWidth="1"/>
    <col min="2303" max="2303" width="9.140625" style="128"/>
    <col min="2304" max="2304" width="11.85546875" style="128" customWidth="1"/>
    <col min="2305" max="2305" width="11.7109375" style="128" customWidth="1"/>
    <col min="2306" max="2306" width="12.42578125" style="128" customWidth="1"/>
    <col min="2307" max="2307" width="13.42578125" style="128" customWidth="1"/>
    <col min="2308" max="2556" width="9.140625" style="128"/>
    <col min="2557" max="2557" width="49.140625" style="128" customWidth="1"/>
    <col min="2558" max="2558" width="20.7109375" style="128" customWidth="1"/>
    <col min="2559" max="2559" width="9.140625" style="128"/>
    <col min="2560" max="2560" width="11.85546875" style="128" customWidth="1"/>
    <col min="2561" max="2561" width="11.7109375" style="128" customWidth="1"/>
    <col min="2562" max="2562" width="12.42578125" style="128" customWidth="1"/>
    <col min="2563" max="2563" width="13.42578125" style="128" customWidth="1"/>
    <col min="2564" max="2812" width="9.140625" style="128"/>
    <col min="2813" max="2813" width="49.140625" style="128" customWidth="1"/>
    <col min="2814" max="2814" width="20.7109375" style="128" customWidth="1"/>
    <col min="2815" max="2815" width="9.140625" style="128"/>
    <col min="2816" max="2816" width="11.85546875" style="128" customWidth="1"/>
    <col min="2817" max="2817" width="11.7109375" style="128" customWidth="1"/>
    <col min="2818" max="2818" width="12.42578125" style="128" customWidth="1"/>
    <col min="2819" max="2819" width="13.42578125" style="128" customWidth="1"/>
    <col min="2820" max="3068" width="9.140625" style="128"/>
    <col min="3069" max="3069" width="49.140625" style="128" customWidth="1"/>
    <col min="3070" max="3070" width="20.7109375" style="128" customWidth="1"/>
    <col min="3071" max="3071" width="9.140625" style="128"/>
    <col min="3072" max="3072" width="11.85546875" style="128" customWidth="1"/>
    <col min="3073" max="3073" width="11.7109375" style="128" customWidth="1"/>
    <col min="3074" max="3074" width="12.42578125" style="128" customWidth="1"/>
    <col min="3075" max="3075" width="13.42578125" style="128" customWidth="1"/>
    <col min="3076" max="3324" width="9.140625" style="128"/>
    <col min="3325" max="3325" width="49.140625" style="128" customWidth="1"/>
    <col min="3326" max="3326" width="20.7109375" style="128" customWidth="1"/>
    <col min="3327" max="3327" width="9.140625" style="128"/>
    <col min="3328" max="3328" width="11.85546875" style="128" customWidth="1"/>
    <col min="3329" max="3329" width="11.7109375" style="128" customWidth="1"/>
    <col min="3330" max="3330" width="12.42578125" style="128" customWidth="1"/>
    <col min="3331" max="3331" width="13.42578125" style="128" customWidth="1"/>
    <col min="3332" max="3580" width="9.140625" style="128"/>
    <col min="3581" max="3581" width="49.140625" style="128" customWidth="1"/>
    <col min="3582" max="3582" width="20.7109375" style="128" customWidth="1"/>
    <col min="3583" max="3583" width="9.140625" style="128"/>
    <col min="3584" max="3584" width="11.85546875" style="128" customWidth="1"/>
    <col min="3585" max="3585" width="11.7109375" style="128" customWidth="1"/>
    <col min="3586" max="3586" width="12.42578125" style="128" customWidth="1"/>
    <col min="3587" max="3587" width="13.42578125" style="128" customWidth="1"/>
    <col min="3588" max="3836" width="9.140625" style="128"/>
    <col min="3837" max="3837" width="49.140625" style="128" customWidth="1"/>
    <col min="3838" max="3838" width="20.7109375" style="128" customWidth="1"/>
    <col min="3839" max="3839" width="9.140625" style="128"/>
    <col min="3840" max="3840" width="11.85546875" style="128" customWidth="1"/>
    <col min="3841" max="3841" width="11.7109375" style="128" customWidth="1"/>
    <col min="3842" max="3842" width="12.42578125" style="128" customWidth="1"/>
    <col min="3843" max="3843" width="13.42578125" style="128" customWidth="1"/>
    <col min="3844" max="4092" width="9.140625" style="128"/>
    <col min="4093" max="4093" width="49.140625" style="128" customWidth="1"/>
    <col min="4094" max="4094" width="20.7109375" style="128" customWidth="1"/>
    <col min="4095" max="4095" width="9.140625" style="128"/>
    <col min="4096" max="4096" width="11.85546875" style="128" customWidth="1"/>
    <col min="4097" max="4097" width="11.7109375" style="128" customWidth="1"/>
    <col min="4098" max="4098" width="12.42578125" style="128" customWidth="1"/>
    <col min="4099" max="4099" width="13.42578125" style="128" customWidth="1"/>
    <col min="4100" max="4348" width="9.140625" style="128"/>
    <col min="4349" max="4349" width="49.140625" style="128" customWidth="1"/>
    <col min="4350" max="4350" width="20.7109375" style="128" customWidth="1"/>
    <col min="4351" max="4351" width="9.140625" style="128"/>
    <col min="4352" max="4352" width="11.85546875" style="128" customWidth="1"/>
    <col min="4353" max="4353" width="11.7109375" style="128" customWidth="1"/>
    <col min="4354" max="4354" width="12.42578125" style="128" customWidth="1"/>
    <col min="4355" max="4355" width="13.42578125" style="128" customWidth="1"/>
    <col min="4356" max="4604" width="9.140625" style="128"/>
    <col min="4605" max="4605" width="49.140625" style="128" customWidth="1"/>
    <col min="4606" max="4606" width="20.7109375" style="128" customWidth="1"/>
    <col min="4607" max="4607" width="9.140625" style="128"/>
    <col min="4608" max="4608" width="11.85546875" style="128" customWidth="1"/>
    <col min="4609" max="4609" width="11.7109375" style="128" customWidth="1"/>
    <col min="4610" max="4610" width="12.42578125" style="128" customWidth="1"/>
    <col min="4611" max="4611" width="13.42578125" style="128" customWidth="1"/>
    <col min="4612" max="4860" width="9.140625" style="128"/>
    <col min="4861" max="4861" width="49.140625" style="128" customWidth="1"/>
    <col min="4862" max="4862" width="20.7109375" style="128" customWidth="1"/>
    <col min="4863" max="4863" width="9.140625" style="128"/>
    <col min="4864" max="4864" width="11.85546875" style="128" customWidth="1"/>
    <col min="4865" max="4865" width="11.7109375" style="128" customWidth="1"/>
    <col min="4866" max="4866" width="12.42578125" style="128" customWidth="1"/>
    <col min="4867" max="4867" width="13.42578125" style="128" customWidth="1"/>
    <col min="4868" max="5116" width="9.140625" style="128"/>
    <col min="5117" max="5117" width="49.140625" style="128" customWidth="1"/>
    <col min="5118" max="5118" width="20.7109375" style="128" customWidth="1"/>
    <col min="5119" max="5119" width="9.140625" style="128"/>
    <col min="5120" max="5120" width="11.85546875" style="128" customWidth="1"/>
    <col min="5121" max="5121" width="11.7109375" style="128" customWidth="1"/>
    <col min="5122" max="5122" width="12.42578125" style="128" customWidth="1"/>
    <col min="5123" max="5123" width="13.42578125" style="128" customWidth="1"/>
    <col min="5124" max="5372" width="9.140625" style="128"/>
    <col min="5373" max="5373" width="49.140625" style="128" customWidth="1"/>
    <col min="5374" max="5374" width="20.7109375" style="128" customWidth="1"/>
    <col min="5375" max="5375" width="9.140625" style="128"/>
    <col min="5376" max="5376" width="11.85546875" style="128" customWidth="1"/>
    <col min="5377" max="5377" width="11.7109375" style="128" customWidth="1"/>
    <col min="5378" max="5378" width="12.42578125" style="128" customWidth="1"/>
    <col min="5379" max="5379" width="13.42578125" style="128" customWidth="1"/>
    <col min="5380" max="5628" width="9.140625" style="128"/>
    <col min="5629" max="5629" width="49.140625" style="128" customWidth="1"/>
    <col min="5630" max="5630" width="20.7109375" style="128" customWidth="1"/>
    <col min="5631" max="5631" width="9.140625" style="128"/>
    <col min="5632" max="5632" width="11.85546875" style="128" customWidth="1"/>
    <col min="5633" max="5633" width="11.7109375" style="128" customWidth="1"/>
    <col min="5634" max="5634" width="12.42578125" style="128" customWidth="1"/>
    <col min="5635" max="5635" width="13.42578125" style="128" customWidth="1"/>
    <col min="5636" max="5884" width="9.140625" style="128"/>
    <col min="5885" max="5885" width="49.140625" style="128" customWidth="1"/>
    <col min="5886" max="5886" width="20.7109375" style="128" customWidth="1"/>
    <col min="5887" max="5887" width="9.140625" style="128"/>
    <col min="5888" max="5888" width="11.85546875" style="128" customWidth="1"/>
    <col min="5889" max="5889" width="11.7109375" style="128" customWidth="1"/>
    <col min="5890" max="5890" width="12.42578125" style="128" customWidth="1"/>
    <col min="5891" max="5891" width="13.42578125" style="128" customWidth="1"/>
    <col min="5892" max="6140" width="9.140625" style="128"/>
    <col min="6141" max="6141" width="49.140625" style="128" customWidth="1"/>
    <col min="6142" max="6142" width="20.7109375" style="128" customWidth="1"/>
    <col min="6143" max="6143" width="9.140625" style="128"/>
    <col min="6144" max="6144" width="11.85546875" style="128" customWidth="1"/>
    <col min="6145" max="6145" width="11.7109375" style="128" customWidth="1"/>
    <col min="6146" max="6146" width="12.42578125" style="128" customWidth="1"/>
    <col min="6147" max="6147" width="13.42578125" style="128" customWidth="1"/>
    <col min="6148" max="6396" width="9.140625" style="128"/>
    <col min="6397" max="6397" width="49.140625" style="128" customWidth="1"/>
    <col min="6398" max="6398" width="20.7109375" style="128" customWidth="1"/>
    <col min="6399" max="6399" width="9.140625" style="128"/>
    <col min="6400" max="6400" width="11.85546875" style="128" customWidth="1"/>
    <col min="6401" max="6401" width="11.7109375" style="128" customWidth="1"/>
    <col min="6402" max="6402" width="12.42578125" style="128" customWidth="1"/>
    <col min="6403" max="6403" width="13.42578125" style="128" customWidth="1"/>
    <col min="6404" max="6652" width="9.140625" style="128"/>
    <col min="6653" max="6653" width="49.140625" style="128" customWidth="1"/>
    <col min="6654" max="6654" width="20.7109375" style="128" customWidth="1"/>
    <col min="6655" max="6655" width="9.140625" style="128"/>
    <col min="6656" max="6656" width="11.85546875" style="128" customWidth="1"/>
    <col min="6657" max="6657" width="11.7109375" style="128" customWidth="1"/>
    <col min="6658" max="6658" width="12.42578125" style="128" customWidth="1"/>
    <col min="6659" max="6659" width="13.42578125" style="128" customWidth="1"/>
    <col min="6660" max="6908" width="9.140625" style="128"/>
    <col min="6909" max="6909" width="49.140625" style="128" customWidth="1"/>
    <col min="6910" max="6910" width="20.7109375" style="128" customWidth="1"/>
    <col min="6911" max="6911" width="9.140625" style="128"/>
    <col min="6912" max="6912" width="11.85546875" style="128" customWidth="1"/>
    <col min="6913" max="6913" width="11.7109375" style="128" customWidth="1"/>
    <col min="6914" max="6914" width="12.42578125" style="128" customWidth="1"/>
    <col min="6915" max="6915" width="13.42578125" style="128" customWidth="1"/>
    <col min="6916" max="7164" width="9.140625" style="128"/>
    <col min="7165" max="7165" width="49.140625" style="128" customWidth="1"/>
    <col min="7166" max="7166" width="20.7109375" style="128" customWidth="1"/>
    <col min="7167" max="7167" width="9.140625" style="128"/>
    <col min="7168" max="7168" width="11.85546875" style="128" customWidth="1"/>
    <col min="7169" max="7169" width="11.7109375" style="128" customWidth="1"/>
    <col min="7170" max="7170" width="12.42578125" style="128" customWidth="1"/>
    <col min="7171" max="7171" width="13.42578125" style="128" customWidth="1"/>
    <col min="7172" max="7420" width="9.140625" style="128"/>
    <col min="7421" max="7421" width="49.140625" style="128" customWidth="1"/>
    <col min="7422" max="7422" width="20.7109375" style="128" customWidth="1"/>
    <col min="7423" max="7423" width="9.140625" style="128"/>
    <col min="7424" max="7424" width="11.85546875" style="128" customWidth="1"/>
    <col min="7425" max="7425" width="11.7109375" style="128" customWidth="1"/>
    <col min="7426" max="7426" width="12.42578125" style="128" customWidth="1"/>
    <col min="7427" max="7427" width="13.42578125" style="128" customWidth="1"/>
    <col min="7428" max="7676" width="9.140625" style="128"/>
    <col min="7677" max="7677" width="49.140625" style="128" customWidth="1"/>
    <col min="7678" max="7678" width="20.7109375" style="128" customWidth="1"/>
    <col min="7679" max="7679" width="9.140625" style="128"/>
    <col min="7680" max="7680" width="11.85546875" style="128" customWidth="1"/>
    <col min="7681" max="7681" width="11.7109375" style="128" customWidth="1"/>
    <col min="7682" max="7682" width="12.42578125" style="128" customWidth="1"/>
    <col min="7683" max="7683" width="13.42578125" style="128" customWidth="1"/>
    <col min="7684" max="7932" width="9.140625" style="128"/>
    <col min="7933" max="7933" width="49.140625" style="128" customWidth="1"/>
    <col min="7934" max="7934" width="20.7109375" style="128" customWidth="1"/>
    <col min="7935" max="7935" width="9.140625" style="128"/>
    <col min="7936" max="7936" width="11.85546875" style="128" customWidth="1"/>
    <col min="7937" max="7937" width="11.7109375" style="128" customWidth="1"/>
    <col min="7938" max="7938" width="12.42578125" style="128" customWidth="1"/>
    <col min="7939" max="7939" width="13.42578125" style="128" customWidth="1"/>
    <col min="7940" max="8188" width="9.140625" style="128"/>
    <col min="8189" max="8189" width="49.140625" style="128" customWidth="1"/>
    <col min="8190" max="8190" width="20.7109375" style="128" customWidth="1"/>
    <col min="8191" max="8191" width="9.140625" style="128"/>
    <col min="8192" max="8192" width="11.85546875" style="128" customWidth="1"/>
    <col min="8193" max="8193" width="11.7109375" style="128" customWidth="1"/>
    <col min="8194" max="8194" width="12.42578125" style="128" customWidth="1"/>
    <col min="8195" max="8195" width="13.42578125" style="128" customWidth="1"/>
    <col min="8196" max="8444" width="9.140625" style="128"/>
    <col min="8445" max="8445" width="49.140625" style="128" customWidth="1"/>
    <col min="8446" max="8446" width="20.7109375" style="128" customWidth="1"/>
    <col min="8447" max="8447" width="9.140625" style="128"/>
    <col min="8448" max="8448" width="11.85546875" style="128" customWidth="1"/>
    <col min="8449" max="8449" width="11.7109375" style="128" customWidth="1"/>
    <col min="8450" max="8450" width="12.42578125" style="128" customWidth="1"/>
    <col min="8451" max="8451" width="13.42578125" style="128" customWidth="1"/>
    <col min="8452" max="8700" width="9.140625" style="128"/>
    <col min="8701" max="8701" width="49.140625" style="128" customWidth="1"/>
    <col min="8702" max="8702" width="20.7109375" style="128" customWidth="1"/>
    <col min="8703" max="8703" width="9.140625" style="128"/>
    <col min="8704" max="8704" width="11.85546875" style="128" customWidth="1"/>
    <col min="8705" max="8705" width="11.7109375" style="128" customWidth="1"/>
    <col min="8706" max="8706" width="12.42578125" style="128" customWidth="1"/>
    <col min="8707" max="8707" width="13.42578125" style="128" customWidth="1"/>
    <col min="8708" max="8956" width="9.140625" style="128"/>
    <col min="8957" max="8957" width="49.140625" style="128" customWidth="1"/>
    <col min="8958" max="8958" width="20.7109375" style="128" customWidth="1"/>
    <col min="8959" max="8959" width="9.140625" style="128"/>
    <col min="8960" max="8960" width="11.85546875" style="128" customWidth="1"/>
    <col min="8961" max="8961" width="11.7109375" style="128" customWidth="1"/>
    <col min="8962" max="8962" width="12.42578125" style="128" customWidth="1"/>
    <col min="8963" max="8963" width="13.42578125" style="128" customWidth="1"/>
    <col min="8964" max="9212" width="9.140625" style="128"/>
    <col min="9213" max="9213" width="49.140625" style="128" customWidth="1"/>
    <col min="9214" max="9214" width="20.7109375" style="128" customWidth="1"/>
    <col min="9215" max="9215" width="9.140625" style="128"/>
    <col min="9216" max="9216" width="11.85546875" style="128" customWidth="1"/>
    <col min="9217" max="9217" width="11.7109375" style="128" customWidth="1"/>
    <col min="9218" max="9218" width="12.42578125" style="128" customWidth="1"/>
    <col min="9219" max="9219" width="13.42578125" style="128" customWidth="1"/>
    <col min="9220" max="9468" width="9.140625" style="128"/>
    <col min="9469" max="9469" width="49.140625" style="128" customWidth="1"/>
    <col min="9470" max="9470" width="20.7109375" style="128" customWidth="1"/>
    <col min="9471" max="9471" width="9.140625" style="128"/>
    <col min="9472" max="9472" width="11.85546875" style="128" customWidth="1"/>
    <col min="9473" max="9473" width="11.7109375" style="128" customWidth="1"/>
    <col min="9474" max="9474" width="12.42578125" style="128" customWidth="1"/>
    <col min="9475" max="9475" width="13.42578125" style="128" customWidth="1"/>
    <col min="9476" max="9724" width="9.140625" style="128"/>
    <col min="9725" max="9725" width="49.140625" style="128" customWidth="1"/>
    <col min="9726" max="9726" width="20.7109375" style="128" customWidth="1"/>
    <col min="9727" max="9727" width="9.140625" style="128"/>
    <col min="9728" max="9728" width="11.85546875" style="128" customWidth="1"/>
    <col min="9729" max="9729" width="11.7109375" style="128" customWidth="1"/>
    <col min="9730" max="9730" width="12.42578125" style="128" customWidth="1"/>
    <col min="9731" max="9731" width="13.42578125" style="128" customWidth="1"/>
    <col min="9732" max="9980" width="9.140625" style="128"/>
    <col min="9981" max="9981" width="49.140625" style="128" customWidth="1"/>
    <col min="9982" max="9982" width="20.7109375" style="128" customWidth="1"/>
    <col min="9983" max="9983" width="9.140625" style="128"/>
    <col min="9984" max="9984" width="11.85546875" style="128" customWidth="1"/>
    <col min="9985" max="9985" width="11.7109375" style="128" customWidth="1"/>
    <col min="9986" max="9986" width="12.42578125" style="128" customWidth="1"/>
    <col min="9987" max="9987" width="13.42578125" style="128" customWidth="1"/>
    <col min="9988" max="10236" width="9.140625" style="128"/>
    <col min="10237" max="10237" width="49.140625" style="128" customWidth="1"/>
    <col min="10238" max="10238" width="20.7109375" style="128" customWidth="1"/>
    <col min="10239" max="10239" width="9.140625" style="128"/>
    <col min="10240" max="10240" width="11.85546875" style="128" customWidth="1"/>
    <col min="10241" max="10241" width="11.7109375" style="128" customWidth="1"/>
    <col min="10242" max="10242" width="12.42578125" style="128" customWidth="1"/>
    <col min="10243" max="10243" width="13.42578125" style="128" customWidth="1"/>
    <col min="10244" max="10492" width="9.140625" style="128"/>
    <col min="10493" max="10493" width="49.140625" style="128" customWidth="1"/>
    <col min="10494" max="10494" width="20.7109375" style="128" customWidth="1"/>
    <col min="10495" max="10495" width="9.140625" style="128"/>
    <col min="10496" max="10496" width="11.85546875" style="128" customWidth="1"/>
    <col min="10497" max="10497" width="11.7109375" style="128" customWidth="1"/>
    <col min="10498" max="10498" width="12.42578125" style="128" customWidth="1"/>
    <col min="10499" max="10499" width="13.42578125" style="128" customWidth="1"/>
    <col min="10500" max="10748" width="9.140625" style="128"/>
    <col min="10749" max="10749" width="49.140625" style="128" customWidth="1"/>
    <col min="10750" max="10750" width="20.7109375" style="128" customWidth="1"/>
    <col min="10751" max="10751" width="9.140625" style="128"/>
    <col min="10752" max="10752" width="11.85546875" style="128" customWidth="1"/>
    <col min="10753" max="10753" width="11.7109375" style="128" customWidth="1"/>
    <col min="10754" max="10754" width="12.42578125" style="128" customWidth="1"/>
    <col min="10755" max="10755" width="13.42578125" style="128" customWidth="1"/>
    <col min="10756" max="11004" width="9.140625" style="128"/>
    <col min="11005" max="11005" width="49.140625" style="128" customWidth="1"/>
    <col min="11006" max="11006" width="20.7109375" style="128" customWidth="1"/>
    <col min="11007" max="11007" width="9.140625" style="128"/>
    <col min="11008" max="11008" width="11.85546875" style="128" customWidth="1"/>
    <col min="11009" max="11009" width="11.7109375" style="128" customWidth="1"/>
    <col min="11010" max="11010" width="12.42578125" style="128" customWidth="1"/>
    <col min="11011" max="11011" width="13.42578125" style="128" customWidth="1"/>
    <col min="11012" max="11260" width="9.140625" style="128"/>
    <col min="11261" max="11261" width="49.140625" style="128" customWidth="1"/>
    <col min="11262" max="11262" width="20.7109375" style="128" customWidth="1"/>
    <col min="11263" max="11263" width="9.140625" style="128"/>
    <col min="11264" max="11264" width="11.85546875" style="128" customWidth="1"/>
    <col min="11265" max="11265" width="11.7109375" style="128" customWidth="1"/>
    <col min="11266" max="11266" width="12.42578125" style="128" customWidth="1"/>
    <col min="11267" max="11267" width="13.42578125" style="128" customWidth="1"/>
    <col min="11268" max="11516" width="9.140625" style="128"/>
    <col min="11517" max="11517" width="49.140625" style="128" customWidth="1"/>
    <col min="11518" max="11518" width="20.7109375" style="128" customWidth="1"/>
    <col min="11519" max="11519" width="9.140625" style="128"/>
    <col min="11520" max="11520" width="11.85546875" style="128" customWidth="1"/>
    <col min="11521" max="11521" width="11.7109375" style="128" customWidth="1"/>
    <col min="11522" max="11522" width="12.42578125" style="128" customWidth="1"/>
    <col min="11523" max="11523" width="13.42578125" style="128" customWidth="1"/>
    <col min="11524" max="11772" width="9.140625" style="128"/>
    <col min="11773" max="11773" width="49.140625" style="128" customWidth="1"/>
    <col min="11774" max="11774" width="20.7109375" style="128" customWidth="1"/>
    <col min="11775" max="11775" width="9.140625" style="128"/>
    <col min="11776" max="11776" width="11.85546875" style="128" customWidth="1"/>
    <col min="11777" max="11777" width="11.7109375" style="128" customWidth="1"/>
    <col min="11778" max="11778" width="12.42578125" style="128" customWidth="1"/>
    <col min="11779" max="11779" width="13.42578125" style="128" customWidth="1"/>
    <col min="11780" max="12028" width="9.140625" style="128"/>
    <col min="12029" max="12029" width="49.140625" style="128" customWidth="1"/>
    <col min="12030" max="12030" width="20.7109375" style="128" customWidth="1"/>
    <col min="12031" max="12031" width="9.140625" style="128"/>
    <col min="12032" max="12032" width="11.85546875" style="128" customWidth="1"/>
    <col min="12033" max="12033" width="11.7109375" style="128" customWidth="1"/>
    <col min="12034" max="12034" width="12.42578125" style="128" customWidth="1"/>
    <col min="12035" max="12035" width="13.42578125" style="128" customWidth="1"/>
    <col min="12036" max="12284" width="9.140625" style="128"/>
    <col min="12285" max="12285" width="49.140625" style="128" customWidth="1"/>
    <col min="12286" max="12286" width="20.7109375" style="128" customWidth="1"/>
    <col min="12287" max="12287" width="9.140625" style="128"/>
    <col min="12288" max="12288" width="11.85546875" style="128" customWidth="1"/>
    <col min="12289" max="12289" width="11.7109375" style="128" customWidth="1"/>
    <col min="12290" max="12290" width="12.42578125" style="128" customWidth="1"/>
    <col min="12291" max="12291" width="13.42578125" style="128" customWidth="1"/>
    <col min="12292" max="12540" width="9.140625" style="128"/>
    <col min="12541" max="12541" width="49.140625" style="128" customWidth="1"/>
    <col min="12542" max="12542" width="20.7109375" style="128" customWidth="1"/>
    <col min="12543" max="12543" width="9.140625" style="128"/>
    <col min="12544" max="12544" width="11.85546875" style="128" customWidth="1"/>
    <col min="12545" max="12545" width="11.7109375" style="128" customWidth="1"/>
    <col min="12546" max="12546" width="12.42578125" style="128" customWidth="1"/>
    <col min="12547" max="12547" width="13.42578125" style="128" customWidth="1"/>
    <col min="12548" max="12796" width="9.140625" style="128"/>
    <col min="12797" max="12797" width="49.140625" style="128" customWidth="1"/>
    <col min="12798" max="12798" width="20.7109375" style="128" customWidth="1"/>
    <col min="12799" max="12799" width="9.140625" style="128"/>
    <col min="12800" max="12800" width="11.85546875" style="128" customWidth="1"/>
    <col min="12801" max="12801" width="11.7109375" style="128" customWidth="1"/>
    <col min="12802" max="12802" width="12.42578125" style="128" customWidth="1"/>
    <col min="12803" max="12803" width="13.42578125" style="128" customWidth="1"/>
    <col min="12804" max="13052" width="9.140625" style="128"/>
    <col min="13053" max="13053" width="49.140625" style="128" customWidth="1"/>
    <col min="13054" max="13054" width="20.7109375" style="128" customWidth="1"/>
    <col min="13055" max="13055" width="9.140625" style="128"/>
    <col min="13056" max="13056" width="11.85546875" style="128" customWidth="1"/>
    <col min="13057" max="13057" width="11.7109375" style="128" customWidth="1"/>
    <col min="13058" max="13058" width="12.42578125" style="128" customWidth="1"/>
    <col min="13059" max="13059" width="13.42578125" style="128" customWidth="1"/>
    <col min="13060" max="13308" width="9.140625" style="128"/>
    <col min="13309" max="13309" width="49.140625" style="128" customWidth="1"/>
    <col min="13310" max="13310" width="20.7109375" style="128" customWidth="1"/>
    <col min="13311" max="13311" width="9.140625" style="128"/>
    <col min="13312" max="13312" width="11.85546875" style="128" customWidth="1"/>
    <col min="13313" max="13313" width="11.7109375" style="128" customWidth="1"/>
    <col min="13314" max="13314" width="12.42578125" style="128" customWidth="1"/>
    <col min="13315" max="13315" width="13.42578125" style="128" customWidth="1"/>
    <col min="13316" max="13564" width="9.140625" style="128"/>
    <col min="13565" max="13565" width="49.140625" style="128" customWidth="1"/>
    <col min="13566" max="13566" width="20.7109375" style="128" customWidth="1"/>
    <col min="13567" max="13567" width="9.140625" style="128"/>
    <col min="13568" max="13568" width="11.85546875" style="128" customWidth="1"/>
    <col min="13569" max="13569" width="11.7109375" style="128" customWidth="1"/>
    <col min="13570" max="13570" width="12.42578125" style="128" customWidth="1"/>
    <col min="13571" max="13571" width="13.42578125" style="128" customWidth="1"/>
    <col min="13572" max="13820" width="9.140625" style="128"/>
    <col min="13821" max="13821" width="49.140625" style="128" customWidth="1"/>
    <col min="13822" max="13822" width="20.7109375" style="128" customWidth="1"/>
    <col min="13823" max="13823" width="9.140625" style="128"/>
    <col min="13824" max="13824" width="11.85546875" style="128" customWidth="1"/>
    <col min="13825" max="13825" width="11.7109375" style="128" customWidth="1"/>
    <col min="13826" max="13826" width="12.42578125" style="128" customWidth="1"/>
    <col min="13827" max="13827" width="13.42578125" style="128" customWidth="1"/>
    <col min="13828" max="14076" width="9.140625" style="128"/>
    <col min="14077" max="14077" width="49.140625" style="128" customWidth="1"/>
    <col min="14078" max="14078" width="20.7109375" style="128" customWidth="1"/>
    <col min="14079" max="14079" width="9.140625" style="128"/>
    <col min="14080" max="14080" width="11.85546875" style="128" customWidth="1"/>
    <col min="14081" max="14081" width="11.7109375" style="128" customWidth="1"/>
    <col min="14082" max="14082" width="12.42578125" style="128" customWidth="1"/>
    <col min="14083" max="14083" width="13.42578125" style="128" customWidth="1"/>
    <col min="14084" max="14332" width="9.140625" style="128"/>
    <col min="14333" max="14333" width="49.140625" style="128" customWidth="1"/>
    <col min="14334" max="14334" width="20.7109375" style="128" customWidth="1"/>
    <col min="14335" max="14335" width="9.140625" style="128"/>
    <col min="14336" max="14336" width="11.85546875" style="128" customWidth="1"/>
    <col min="14337" max="14337" width="11.7109375" style="128" customWidth="1"/>
    <col min="14338" max="14338" width="12.42578125" style="128" customWidth="1"/>
    <col min="14339" max="14339" width="13.42578125" style="128" customWidth="1"/>
    <col min="14340" max="14588" width="9.140625" style="128"/>
    <col min="14589" max="14589" width="49.140625" style="128" customWidth="1"/>
    <col min="14590" max="14590" width="20.7109375" style="128" customWidth="1"/>
    <col min="14591" max="14591" width="9.140625" style="128"/>
    <col min="14592" max="14592" width="11.85546875" style="128" customWidth="1"/>
    <col min="14593" max="14593" width="11.7109375" style="128" customWidth="1"/>
    <col min="14594" max="14594" width="12.42578125" style="128" customWidth="1"/>
    <col min="14595" max="14595" width="13.42578125" style="128" customWidth="1"/>
    <col min="14596" max="14844" width="9.140625" style="128"/>
    <col min="14845" max="14845" width="49.140625" style="128" customWidth="1"/>
    <col min="14846" max="14846" width="20.7109375" style="128" customWidth="1"/>
    <col min="14847" max="14847" width="9.140625" style="128"/>
    <col min="14848" max="14848" width="11.85546875" style="128" customWidth="1"/>
    <col min="14849" max="14849" width="11.7109375" style="128" customWidth="1"/>
    <col min="14850" max="14850" width="12.42578125" style="128" customWidth="1"/>
    <col min="14851" max="14851" width="13.42578125" style="128" customWidth="1"/>
    <col min="14852" max="15100" width="9.140625" style="128"/>
    <col min="15101" max="15101" width="49.140625" style="128" customWidth="1"/>
    <col min="15102" max="15102" width="20.7109375" style="128" customWidth="1"/>
    <col min="15103" max="15103" width="9.140625" style="128"/>
    <col min="15104" max="15104" width="11.85546875" style="128" customWidth="1"/>
    <col min="15105" max="15105" width="11.7109375" style="128" customWidth="1"/>
    <col min="15106" max="15106" width="12.42578125" style="128" customWidth="1"/>
    <col min="15107" max="15107" width="13.42578125" style="128" customWidth="1"/>
    <col min="15108" max="15356" width="9.140625" style="128"/>
    <col min="15357" max="15357" width="49.140625" style="128" customWidth="1"/>
    <col min="15358" max="15358" width="20.7109375" style="128" customWidth="1"/>
    <col min="15359" max="15359" width="9.140625" style="128"/>
    <col min="15360" max="15360" width="11.85546875" style="128" customWidth="1"/>
    <col min="15361" max="15361" width="11.7109375" style="128" customWidth="1"/>
    <col min="15362" max="15362" width="12.42578125" style="128" customWidth="1"/>
    <col min="15363" max="15363" width="13.42578125" style="128" customWidth="1"/>
    <col min="15364" max="15612" width="9.140625" style="128"/>
    <col min="15613" max="15613" width="49.140625" style="128" customWidth="1"/>
    <col min="15614" max="15614" width="20.7109375" style="128" customWidth="1"/>
    <col min="15615" max="15615" width="9.140625" style="128"/>
    <col min="15616" max="15616" width="11.85546875" style="128" customWidth="1"/>
    <col min="15617" max="15617" width="11.7109375" style="128" customWidth="1"/>
    <col min="15618" max="15618" width="12.42578125" style="128" customWidth="1"/>
    <col min="15619" max="15619" width="13.42578125" style="128" customWidth="1"/>
    <col min="15620" max="15868" width="9.140625" style="128"/>
    <col min="15869" max="15869" width="49.140625" style="128" customWidth="1"/>
    <col min="15870" max="15870" width="20.7109375" style="128" customWidth="1"/>
    <col min="15871" max="15871" width="9.140625" style="128"/>
    <col min="15872" max="15872" width="11.85546875" style="128" customWidth="1"/>
    <col min="15873" max="15873" width="11.7109375" style="128" customWidth="1"/>
    <col min="15874" max="15874" width="12.42578125" style="128" customWidth="1"/>
    <col min="15875" max="15875" width="13.42578125" style="128" customWidth="1"/>
    <col min="15876" max="16124" width="9.140625" style="128"/>
    <col min="16125" max="16125" width="49.140625" style="128" customWidth="1"/>
    <col min="16126" max="16126" width="20.7109375" style="128" customWidth="1"/>
    <col min="16127" max="16127" width="9.140625" style="128"/>
    <col min="16128" max="16128" width="11.85546875" style="128" customWidth="1"/>
    <col min="16129" max="16129" width="11.7109375" style="128" customWidth="1"/>
    <col min="16130" max="16130" width="12.42578125" style="128" customWidth="1"/>
    <col min="16131" max="16131" width="13.42578125" style="128" customWidth="1"/>
    <col min="16132" max="16384" width="9.140625" style="128"/>
  </cols>
  <sheetData>
    <row r="1" spans="1:8" ht="20.100000000000001" customHeight="1" x14ac:dyDescent="0.25">
      <c r="A1" s="739" t="s">
        <v>229</v>
      </c>
      <c r="B1" s="740"/>
      <c r="C1" s="127"/>
      <c r="D1" s="127"/>
      <c r="E1" s="127"/>
      <c r="F1" s="127"/>
      <c r="G1" s="127"/>
      <c r="H1" s="127"/>
    </row>
    <row r="2" spans="1:8" ht="20.100000000000001" customHeight="1" x14ac:dyDescent="0.2">
      <c r="A2" s="741" t="s">
        <v>244</v>
      </c>
      <c r="B2" s="742"/>
    </row>
    <row r="3" spans="1:8" ht="20.100000000000001" customHeight="1" x14ac:dyDescent="0.2">
      <c r="A3" s="43" t="s">
        <v>73</v>
      </c>
      <c r="B3" s="44">
        <f>'Cashflow '!I12</f>
        <v>273.51384205393998</v>
      </c>
      <c r="C3" s="129"/>
    </row>
    <row r="4" spans="1:8" ht="20.100000000000001" customHeight="1" x14ac:dyDescent="0.2">
      <c r="A4" s="43" t="s">
        <v>74</v>
      </c>
      <c r="B4" s="47">
        <f>'Cashflow '!I18</f>
        <v>123.92397597235602</v>
      </c>
      <c r="C4" s="131"/>
    </row>
    <row r="5" spans="1:8" ht="20.100000000000001" customHeight="1" x14ac:dyDescent="0.2">
      <c r="A5" s="43" t="s">
        <v>241</v>
      </c>
      <c r="B5" s="44">
        <f>+B3-B4</f>
        <v>149.58986608158398</v>
      </c>
      <c r="C5" s="132"/>
      <c r="D5" s="130"/>
    </row>
    <row r="6" spans="1:8" ht="20.100000000000001" customHeight="1" x14ac:dyDescent="0.2">
      <c r="A6" s="43" t="s">
        <v>77</v>
      </c>
      <c r="B6" s="45"/>
      <c r="C6" s="131"/>
      <c r="D6" s="130"/>
    </row>
    <row r="7" spans="1:8" ht="20.100000000000001" customHeight="1" x14ac:dyDescent="0.2">
      <c r="A7" s="46" t="s">
        <v>4</v>
      </c>
      <c r="B7" s="47">
        <f>'Cashflow '!I19</f>
        <v>14.125217652296875</v>
      </c>
      <c r="C7" s="130"/>
      <c r="D7" s="130"/>
    </row>
    <row r="8" spans="1:8" ht="20.100000000000001" customHeight="1" x14ac:dyDescent="0.2">
      <c r="A8" s="46" t="s">
        <v>131</v>
      </c>
      <c r="B8" s="47" t="e">
        <f>Norms!#REF!</f>
        <v>#REF!</v>
      </c>
      <c r="C8" s="130"/>
      <c r="D8" s="130"/>
    </row>
    <row r="9" spans="1:8" ht="20.100000000000001" customHeight="1" x14ac:dyDescent="0.2">
      <c r="A9" s="46" t="s">
        <v>10</v>
      </c>
      <c r="B9" s="47" t="e">
        <f>Opex!#REF!</f>
        <v>#REF!</v>
      </c>
      <c r="C9" s="130"/>
      <c r="D9" s="133"/>
    </row>
    <row r="10" spans="1:8" ht="20.100000000000001" customHeight="1" x14ac:dyDescent="0.2">
      <c r="A10" s="46" t="s">
        <v>44</v>
      </c>
      <c r="B10" s="44" t="e">
        <f>SUM(B7:B9)</f>
        <v>#REF!</v>
      </c>
      <c r="C10" s="130"/>
      <c r="D10" s="133"/>
    </row>
    <row r="11" spans="1:8" ht="20.100000000000001" customHeight="1" x14ac:dyDescent="0.25">
      <c r="A11" s="49" t="s">
        <v>78</v>
      </c>
      <c r="B11" s="50" t="e">
        <f>B10/B5</f>
        <v>#REF!</v>
      </c>
      <c r="C11" s="134"/>
      <c r="D11" s="133"/>
      <c r="E11" s="127"/>
    </row>
    <row r="12" spans="1:8" ht="20.100000000000001" hidden="1" customHeight="1" x14ac:dyDescent="0.2">
      <c r="A12" s="744" t="s">
        <v>242</v>
      </c>
      <c r="B12" s="745"/>
      <c r="C12" s="745"/>
      <c r="D12" s="745"/>
      <c r="E12" s="745"/>
      <c r="F12" s="745"/>
    </row>
    <row r="13" spans="1:8" ht="20.100000000000001" hidden="1" customHeight="1" x14ac:dyDescent="0.2">
      <c r="A13" s="746" t="s">
        <v>244</v>
      </c>
      <c r="B13" s="747"/>
      <c r="C13" s="747"/>
      <c r="D13" s="747"/>
      <c r="E13" s="747"/>
      <c r="F13" s="748"/>
    </row>
    <row r="14" spans="1:8" ht="20.100000000000001" hidden="1" customHeight="1" x14ac:dyDescent="0.2">
      <c r="A14" s="43"/>
      <c r="B14" s="197"/>
      <c r="C14" s="55">
        <v>1</v>
      </c>
      <c r="D14" s="55">
        <v>2</v>
      </c>
      <c r="E14" s="55">
        <v>3</v>
      </c>
      <c r="F14" s="56">
        <v>4</v>
      </c>
    </row>
    <row r="15" spans="1:8" ht="17.25" hidden="1" customHeight="1" x14ac:dyDescent="0.2">
      <c r="A15" s="43" t="s">
        <v>73</v>
      </c>
      <c r="B15" s="10">
        <f>B3</f>
        <v>273.51384205393998</v>
      </c>
      <c r="C15" s="10">
        <f>B15-B15*0.11</f>
        <v>243.42731942800657</v>
      </c>
      <c r="D15" s="10">
        <f>B15</f>
        <v>273.51384205393998</v>
      </c>
      <c r="E15" s="10">
        <f>B15-B15*0.05</f>
        <v>259.838149951243</v>
      </c>
      <c r="F15" s="44">
        <f>B15</f>
        <v>273.51384205393998</v>
      </c>
    </row>
    <row r="16" spans="1:8" ht="17.25" hidden="1" customHeight="1" x14ac:dyDescent="0.2">
      <c r="A16" s="43" t="s">
        <v>74</v>
      </c>
      <c r="B16" s="11"/>
      <c r="C16" s="12"/>
      <c r="D16" s="12"/>
      <c r="E16" s="12"/>
      <c r="F16" s="47"/>
    </row>
    <row r="17" spans="1:6" ht="17.25" hidden="1" customHeight="1" x14ac:dyDescent="0.2">
      <c r="A17" s="46" t="s">
        <v>128</v>
      </c>
      <c r="B17" s="12" t="e">
        <f>#REF!</f>
        <v>#REF!</v>
      </c>
      <c r="C17" s="12" t="e">
        <f>B17</f>
        <v>#REF!</v>
      </c>
      <c r="D17" s="12" t="e">
        <f>C17+C17*16.5%</f>
        <v>#REF!</v>
      </c>
      <c r="E17" s="12" t="e">
        <f>B17+B17*0.09</f>
        <v>#REF!</v>
      </c>
      <c r="F17" s="47" t="e">
        <f>B17</f>
        <v>#REF!</v>
      </c>
    </row>
    <row r="18" spans="1:6" ht="17.25" hidden="1" customHeight="1" x14ac:dyDescent="0.2">
      <c r="A18" s="46" t="s">
        <v>3</v>
      </c>
      <c r="B18" s="12" t="e">
        <f>#REF!</f>
        <v>#REF!</v>
      </c>
      <c r="C18" s="12" t="e">
        <f>B18</f>
        <v>#REF!</v>
      </c>
      <c r="D18" s="12" t="e">
        <f t="shared" ref="D18:F20" si="0">C18</f>
        <v>#REF!</v>
      </c>
      <c r="E18" s="12" t="e">
        <f t="shared" si="0"/>
        <v>#REF!</v>
      </c>
      <c r="F18" s="47" t="e">
        <f t="shared" si="0"/>
        <v>#REF!</v>
      </c>
    </row>
    <row r="19" spans="1:6" ht="17.25" hidden="1" customHeight="1" x14ac:dyDescent="0.2">
      <c r="A19" s="46" t="s">
        <v>2</v>
      </c>
      <c r="B19" s="12" t="e">
        <f>#REF!</f>
        <v>#REF!</v>
      </c>
      <c r="C19" s="12" t="e">
        <f>B19</f>
        <v>#REF!</v>
      </c>
      <c r="D19" s="12" t="e">
        <f t="shared" si="0"/>
        <v>#REF!</v>
      </c>
      <c r="E19" s="12" t="e">
        <f t="shared" si="0"/>
        <v>#REF!</v>
      </c>
      <c r="F19" s="47" t="e">
        <f t="shared" si="0"/>
        <v>#REF!</v>
      </c>
    </row>
    <row r="20" spans="1:6" ht="17.25" hidden="1" customHeight="1" x14ac:dyDescent="0.2">
      <c r="A20" s="46" t="s">
        <v>5</v>
      </c>
      <c r="B20" s="12" t="e">
        <f>#REF!</f>
        <v>#REF!</v>
      </c>
      <c r="C20" s="12" t="e">
        <f>B20</f>
        <v>#REF!</v>
      </c>
      <c r="D20" s="12" t="e">
        <f t="shared" si="0"/>
        <v>#REF!</v>
      </c>
      <c r="E20" s="12" t="e">
        <f t="shared" si="0"/>
        <v>#REF!</v>
      </c>
      <c r="F20" s="47" t="e">
        <f t="shared" si="0"/>
        <v>#REF!</v>
      </c>
    </row>
    <row r="21" spans="1:6" ht="17.25" hidden="1" customHeight="1" x14ac:dyDescent="0.2">
      <c r="A21" s="48" t="s">
        <v>75</v>
      </c>
      <c r="B21" s="10" t="e">
        <f>SUM(B17:B20)</f>
        <v>#REF!</v>
      </c>
      <c r="C21" s="10" t="e">
        <f>SUM(C17:C20)</f>
        <v>#REF!</v>
      </c>
      <c r="D21" s="10" t="e">
        <f>SUM(D17:D20)</f>
        <v>#REF!</v>
      </c>
      <c r="E21" s="10" t="e">
        <f>SUM(E17:E20)</f>
        <v>#REF!</v>
      </c>
      <c r="F21" s="44" t="e">
        <f>SUM(F17:F20)+SUM(F17:F20)*14.5%</f>
        <v>#REF!</v>
      </c>
    </row>
    <row r="22" spans="1:6" ht="17.25" hidden="1" customHeight="1" x14ac:dyDescent="0.2">
      <c r="A22" s="43" t="s">
        <v>76</v>
      </c>
      <c r="B22" s="10" t="e">
        <f>+B15-B21</f>
        <v>#REF!</v>
      </c>
      <c r="C22" s="10" t="e">
        <f>+C15-C21</f>
        <v>#REF!</v>
      </c>
      <c r="D22" s="10" t="e">
        <f>+D15-D21</f>
        <v>#REF!</v>
      </c>
      <c r="E22" s="10" t="e">
        <f>+E15-E21</f>
        <v>#REF!</v>
      </c>
      <c r="F22" s="44" t="e">
        <f>+F15-F21</f>
        <v>#REF!</v>
      </c>
    </row>
    <row r="23" spans="1:6" ht="17.25" hidden="1" customHeight="1" x14ac:dyDescent="0.2">
      <c r="A23" s="43" t="s">
        <v>77</v>
      </c>
      <c r="B23" s="11"/>
      <c r="C23" s="51"/>
      <c r="D23" s="51"/>
      <c r="E23" s="52"/>
      <c r="F23" s="53"/>
    </row>
    <row r="24" spans="1:6" ht="17.25" hidden="1" customHeight="1" x14ac:dyDescent="0.2">
      <c r="A24" s="46" t="s">
        <v>4</v>
      </c>
      <c r="B24" s="12">
        <f>B7</f>
        <v>14.125217652296875</v>
      </c>
      <c r="C24" s="12">
        <f>B24</f>
        <v>14.125217652296875</v>
      </c>
      <c r="D24" s="12">
        <f t="shared" ref="D24:F25" si="1">C24</f>
        <v>14.125217652296875</v>
      </c>
      <c r="E24" s="12">
        <f t="shared" si="1"/>
        <v>14.125217652296875</v>
      </c>
      <c r="F24" s="47">
        <f t="shared" si="1"/>
        <v>14.125217652296875</v>
      </c>
    </row>
    <row r="25" spans="1:6" ht="17.25" hidden="1" customHeight="1" x14ac:dyDescent="0.2">
      <c r="A25" s="46" t="s">
        <v>10</v>
      </c>
      <c r="B25" s="12" t="e">
        <f>B8</f>
        <v>#REF!</v>
      </c>
      <c r="C25" s="12" t="e">
        <f>B25</f>
        <v>#REF!</v>
      </c>
      <c r="D25" s="12" t="e">
        <f t="shared" si="1"/>
        <v>#REF!</v>
      </c>
      <c r="E25" s="12" t="e">
        <f t="shared" si="1"/>
        <v>#REF!</v>
      </c>
      <c r="F25" s="47" t="e">
        <f t="shared" si="1"/>
        <v>#REF!</v>
      </c>
    </row>
    <row r="26" spans="1:6" ht="17.25" hidden="1" customHeight="1" x14ac:dyDescent="0.2">
      <c r="A26" s="46" t="s">
        <v>131</v>
      </c>
      <c r="B26" s="12" t="e">
        <f>B9</f>
        <v>#REF!</v>
      </c>
      <c r="C26" s="12" t="e">
        <f>B26</f>
        <v>#REF!</v>
      </c>
      <c r="D26" s="12" t="e">
        <f>C26</f>
        <v>#REF!</v>
      </c>
      <c r="E26" s="12" t="e">
        <f>C26</f>
        <v>#REF!</v>
      </c>
      <c r="F26" s="47" t="e">
        <f>D26</f>
        <v>#REF!</v>
      </c>
    </row>
    <row r="27" spans="1:6" ht="17.25" hidden="1" customHeight="1" x14ac:dyDescent="0.2">
      <c r="A27" s="46" t="s">
        <v>44</v>
      </c>
      <c r="B27" s="10" t="e">
        <f>SUM(B24:B26)</f>
        <v>#REF!</v>
      </c>
      <c r="C27" s="10" t="e">
        <f>SUM(C24:C26)</f>
        <v>#REF!</v>
      </c>
      <c r="D27" s="10" t="e">
        <f>SUM(D24:D26)</f>
        <v>#REF!</v>
      </c>
      <c r="E27" s="10" t="e">
        <f>SUM(E24:E26)</f>
        <v>#REF!</v>
      </c>
      <c r="F27" s="44" t="e">
        <f>SUM(F24:F26)</f>
        <v>#REF!</v>
      </c>
    </row>
    <row r="28" spans="1:6" ht="17.25" hidden="1" customHeight="1" x14ac:dyDescent="0.2">
      <c r="A28" s="49" t="s">
        <v>78</v>
      </c>
      <c r="B28" s="54" t="e">
        <f>B27/B22</f>
        <v>#REF!</v>
      </c>
      <c r="C28" s="54" t="e">
        <f>C27/C22</f>
        <v>#REF!</v>
      </c>
      <c r="D28" s="54" t="e">
        <f>D27/D22</f>
        <v>#REF!</v>
      </c>
      <c r="E28" s="54" t="e">
        <f>E27/E22</f>
        <v>#REF!</v>
      </c>
      <c r="F28" s="50" t="e">
        <f>F27/F22</f>
        <v>#REF!</v>
      </c>
    </row>
    <row r="29" spans="1:6" hidden="1" x14ac:dyDescent="0.2">
      <c r="A29" s="198" t="s">
        <v>38</v>
      </c>
      <c r="B29" s="743" t="s">
        <v>115</v>
      </c>
      <c r="C29" s="743"/>
    </row>
    <row r="30" spans="1:6" hidden="1" x14ac:dyDescent="0.2">
      <c r="A30" s="57"/>
      <c r="B30" s="32" t="s">
        <v>109</v>
      </c>
      <c r="C30" s="65" t="s">
        <v>110</v>
      </c>
    </row>
    <row r="31" spans="1:6" hidden="1" x14ac:dyDescent="0.2">
      <c r="A31" s="58"/>
      <c r="B31" s="33" t="s">
        <v>124</v>
      </c>
      <c r="C31" s="201" t="e">
        <f>B28</f>
        <v>#REF!</v>
      </c>
    </row>
    <row r="32" spans="1:6" hidden="1" x14ac:dyDescent="0.2">
      <c r="A32" s="58"/>
      <c r="B32" s="33"/>
      <c r="C32" s="202"/>
    </row>
    <row r="33" spans="1:3" hidden="1" x14ac:dyDescent="0.2">
      <c r="A33" s="199">
        <v>1</v>
      </c>
      <c r="B33" s="33" t="s">
        <v>111</v>
      </c>
      <c r="C33" s="203" t="e">
        <f>C28</f>
        <v>#REF!</v>
      </c>
    </row>
    <row r="34" spans="1:3" hidden="1" x14ac:dyDescent="0.2">
      <c r="A34" s="199">
        <v>2</v>
      </c>
      <c r="B34" s="33" t="s">
        <v>112</v>
      </c>
      <c r="C34" s="203" t="e">
        <f>D28</f>
        <v>#REF!</v>
      </c>
    </row>
    <row r="35" spans="1:3" hidden="1" x14ac:dyDescent="0.2">
      <c r="A35" s="199">
        <v>3</v>
      </c>
      <c r="B35" s="33" t="s">
        <v>113</v>
      </c>
      <c r="C35" s="203" t="e">
        <f>E28</f>
        <v>#REF!</v>
      </c>
    </row>
    <row r="36" spans="1:3" hidden="1" x14ac:dyDescent="0.2">
      <c r="A36" s="200">
        <v>4</v>
      </c>
      <c r="B36" s="34" t="s">
        <v>114</v>
      </c>
      <c r="C36" s="204"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9"/>
  <sheetViews>
    <sheetView showGridLines="0" zoomScaleNormal="100" zoomScaleSheetLayoutView="100" workbookViewId="0">
      <selection activeCell="I18" sqref="I18"/>
    </sheetView>
  </sheetViews>
  <sheetFormatPr defaultRowHeight="12.75" x14ac:dyDescent="0.2"/>
  <cols>
    <col min="1" max="1" width="38.140625" style="115" customWidth="1"/>
    <col min="2" max="3" width="9.7109375" style="115" bestFit="1" customWidth="1"/>
    <col min="4" max="4" width="9.5703125" style="115" bestFit="1" customWidth="1"/>
    <col min="5" max="10" width="9.7109375" style="115" bestFit="1" customWidth="1"/>
    <col min="11" max="255" width="9.140625" style="115"/>
    <col min="256" max="256" width="38.140625" style="115" customWidth="1"/>
    <col min="257" max="258" width="9.5703125" style="115" bestFit="1" customWidth="1"/>
    <col min="259" max="259" width="9.28515625" style="115" bestFit="1" customWidth="1"/>
    <col min="260" max="265" width="9.5703125" style="115" bestFit="1" customWidth="1"/>
    <col min="266" max="266" width="10.28515625" style="115" bestFit="1" customWidth="1"/>
    <col min="267" max="511" width="9.140625" style="115"/>
    <col min="512" max="512" width="38.140625" style="115" customWidth="1"/>
    <col min="513" max="514" width="9.5703125" style="115" bestFit="1" customWidth="1"/>
    <col min="515" max="515" width="9.28515625" style="115" bestFit="1" customWidth="1"/>
    <col min="516" max="521" width="9.5703125" style="115" bestFit="1" customWidth="1"/>
    <col min="522" max="522" width="10.28515625" style="115" bestFit="1" customWidth="1"/>
    <col min="523" max="767" width="9.140625" style="115"/>
    <col min="768" max="768" width="38.140625" style="115" customWidth="1"/>
    <col min="769" max="770" width="9.5703125" style="115" bestFit="1" customWidth="1"/>
    <col min="771" max="771" width="9.28515625" style="115" bestFit="1" customWidth="1"/>
    <col min="772" max="777" width="9.5703125" style="115" bestFit="1" customWidth="1"/>
    <col min="778" max="778" width="10.28515625" style="115" bestFit="1" customWidth="1"/>
    <col min="779" max="1023" width="9.140625" style="115"/>
    <col min="1024" max="1024" width="38.140625" style="115" customWidth="1"/>
    <col min="1025" max="1026" width="9.5703125" style="115" bestFit="1" customWidth="1"/>
    <col min="1027" max="1027" width="9.28515625" style="115" bestFit="1" customWidth="1"/>
    <col min="1028" max="1033" width="9.5703125" style="115" bestFit="1" customWidth="1"/>
    <col min="1034" max="1034" width="10.28515625" style="115" bestFit="1" customWidth="1"/>
    <col min="1035" max="1279" width="9.140625" style="115"/>
    <col min="1280" max="1280" width="38.140625" style="115" customWidth="1"/>
    <col min="1281" max="1282" width="9.5703125" style="115" bestFit="1" customWidth="1"/>
    <col min="1283" max="1283" width="9.28515625" style="115" bestFit="1" customWidth="1"/>
    <col min="1284" max="1289" width="9.5703125" style="115" bestFit="1" customWidth="1"/>
    <col min="1290" max="1290" width="10.28515625" style="115" bestFit="1" customWidth="1"/>
    <col min="1291" max="1535" width="9.140625" style="115"/>
    <col min="1536" max="1536" width="38.140625" style="115" customWidth="1"/>
    <col min="1537" max="1538" width="9.5703125" style="115" bestFit="1" customWidth="1"/>
    <col min="1539" max="1539" width="9.28515625" style="115" bestFit="1" customWidth="1"/>
    <col min="1540" max="1545" width="9.5703125" style="115" bestFit="1" customWidth="1"/>
    <col min="1546" max="1546" width="10.28515625" style="115" bestFit="1" customWidth="1"/>
    <col min="1547" max="1791" width="9.140625" style="115"/>
    <col min="1792" max="1792" width="38.140625" style="115" customWidth="1"/>
    <col min="1793" max="1794" width="9.5703125" style="115" bestFit="1" customWidth="1"/>
    <col min="1795" max="1795" width="9.28515625" style="115" bestFit="1" customWidth="1"/>
    <col min="1796" max="1801" width="9.5703125" style="115" bestFit="1" customWidth="1"/>
    <col min="1802" max="1802" width="10.28515625" style="115" bestFit="1" customWidth="1"/>
    <col min="1803" max="2047" width="9.140625" style="115"/>
    <col min="2048" max="2048" width="38.140625" style="115" customWidth="1"/>
    <col min="2049" max="2050" width="9.5703125" style="115" bestFit="1" customWidth="1"/>
    <col min="2051" max="2051" width="9.28515625" style="115" bestFit="1" customWidth="1"/>
    <col min="2052" max="2057" width="9.5703125" style="115" bestFit="1" customWidth="1"/>
    <col min="2058" max="2058" width="10.28515625" style="115" bestFit="1" customWidth="1"/>
    <col min="2059" max="2303" width="9.140625" style="115"/>
    <col min="2304" max="2304" width="38.140625" style="115" customWidth="1"/>
    <col min="2305" max="2306" width="9.5703125" style="115" bestFit="1" customWidth="1"/>
    <col min="2307" max="2307" width="9.28515625" style="115" bestFit="1" customWidth="1"/>
    <col min="2308" max="2313" width="9.5703125" style="115" bestFit="1" customWidth="1"/>
    <col min="2314" max="2314" width="10.28515625" style="115" bestFit="1" customWidth="1"/>
    <col min="2315" max="2559" width="9.140625" style="115"/>
    <col min="2560" max="2560" width="38.140625" style="115" customWidth="1"/>
    <col min="2561" max="2562" width="9.5703125" style="115" bestFit="1" customWidth="1"/>
    <col min="2563" max="2563" width="9.28515625" style="115" bestFit="1" customWidth="1"/>
    <col min="2564" max="2569" width="9.5703125" style="115" bestFit="1" customWidth="1"/>
    <col min="2570" max="2570" width="10.28515625" style="115" bestFit="1" customWidth="1"/>
    <col min="2571" max="2815" width="9.140625" style="115"/>
    <col min="2816" max="2816" width="38.140625" style="115" customWidth="1"/>
    <col min="2817" max="2818" width="9.5703125" style="115" bestFit="1" customWidth="1"/>
    <col min="2819" max="2819" width="9.28515625" style="115" bestFit="1" customWidth="1"/>
    <col min="2820" max="2825" width="9.5703125" style="115" bestFit="1" customWidth="1"/>
    <col min="2826" max="2826" width="10.28515625" style="115" bestFit="1" customWidth="1"/>
    <col min="2827" max="3071" width="9.140625" style="115"/>
    <col min="3072" max="3072" width="38.140625" style="115" customWidth="1"/>
    <col min="3073" max="3074" width="9.5703125" style="115" bestFit="1" customWidth="1"/>
    <col min="3075" max="3075" width="9.28515625" style="115" bestFit="1" customWidth="1"/>
    <col min="3076" max="3081" width="9.5703125" style="115" bestFit="1" customWidth="1"/>
    <col min="3082" max="3082" width="10.28515625" style="115" bestFit="1" customWidth="1"/>
    <col min="3083" max="3327" width="9.140625" style="115"/>
    <col min="3328" max="3328" width="38.140625" style="115" customWidth="1"/>
    <col min="3329" max="3330" width="9.5703125" style="115" bestFit="1" customWidth="1"/>
    <col min="3331" max="3331" width="9.28515625" style="115" bestFit="1" customWidth="1"/>
    <col min="3332" max="3337" width="9.5703125" style="115" bestFit="1" customWidth="1"/>
    <col min="3338" max="3338" width="10.28515625" style="115" bestFit="1" customWidth="1"/>
    <col min="3339" max="3583" width="9.140625" style="115"/>
    <col min="3584" max="3584" width="38.140625" style="115" customWidth="1"/>
    <col min="3585" max="3586" width="9.5703125" style="115" bestFit="1" customWidth="1"/>
    <col min="3587" max="3587" width="9.28515625" style="115" bestFit="1" customWidth="1"/>
    <col min="3588" max="3593" width="9.5703125" style="115" bestFit="1" customWidth="1"/>
    <col min="3594" max="3594" width="10.28515625" style="115" bestFit="1" customWidth="1"/>
    <col min="3595" max="3839" width="9.140625" style="115"/>
    <col min="3840" max="3840" width="38.140625" style="115" customWidth="1"/>
    <col min="3841" max="3842" width="9.5703125" style="115" bestFit="1" customWidth="1"/>
    <col min="3843" max="3843" width="9.28515625" style="115" bestFit="1" customWidth="1"/>
    <col min="3844" max="3849" width="9.5703125" style="115" bestFit="1" customWidth="1"/>
    <col min="3850" max="3850" width="10.28515625" style="115" bestFit="1" customWidth="1"/>
    <col min="3851" max="4095" width="9.140625" style="115"/>
    <col min="4096" max="4096" width="38.140625" style="115" customWidth="1"/>
    <col min="4097" max="4098" width="9.5703125" style="115" bestFit="1" customWidth="1"/>
    <col min="4099" max="4099" width="9.28515625" style="115" bestFit="1" customWidth="1"/>
    <col min="4100" max="4105" width="9.5703125" style="115" bestFit="1" customWidth="1"/>
    <col min="4106" max="4106" width="10.28515625" style="115" bestFit="1" customWidth="1"/>
    <col min="4107" max="4351" width="9.140625" style="115"/>
    <col min="4352" max="4352" width="38.140625" style="115" customWidth="1"/>
    <col min="4353" max="4354" width="9.5703125" style="115" bestFit="1" customWidth="1"/>
    <col min="4355" max="4355" width="9.28515625" style="115" bestFit="1" customWidth="1"/>
    <col min="4356" max="4361" width="9.5703125" style="115" bestFit="1" customWidth="1"/>
    <col min="4362" max="4362" width="10.28515625" style="115" bestFit="1" customWidth="1"/>
    <col min="4363" max="4607" width="9.140625" style="115"/>
    <col min="4608" max="4608" width="38.140625" style="115" customWidth="1"/>
    <col min="4609" max="4610" width="9.5703125" style="115" bestFit="1" customWidth="1"/>
    <col min="4611" max="4611" width="9.28515625" style="115" bestFit="1" customWidth="1"/>
    <col min="4612" max="4617" width="9.5703125" style="115" bestFit="1" customWidth="1"/>
    <col min="4618" max="4618" width="10.28515625" style="115" bestFit="1" customWidth="1"/>
    <col min="4619" max="4863" width="9.140625" style="115"/>
    <col min="4864" max="4864" width="38.140625" style="115" customWidth="1"/>
    <col min="4865" max="4866" width="9.5703125" style="115" bestFit="1" customWidth="1"/>
    <col min="4867" max="4867" width="9.28515625" style="115" bestFit="1" customWidth="1"/>
    <col min="4868" max="4873" width="9.5703125" style="115" bestFit="1" customWidth="1"/>
    <col min="4874" max="4874" width="10.28515625" style="115" bestFit="1" customWidth="1"/>
    <col min="4875" max="5119" width="9.140625" style="115"/>
    <col min="5120" max="5120" width="38.140625" style="115" customWidth="1"/>
    <col min="5121" max="5122" width="9.5703125" style="115" bestFit="1" customWidth="1"/>
    <col min="5123" max="5123" width="9.28515625" style="115" bestFit="1" customWidth="1"/>
    <col min="5124" max="5129" width="9.5703125" style="115" bestFit="1" customWidth="1"/>
    <col min="5130" max="5130" width="10.28515625" style="115" bestFit="1" customWidth="1"/>
    <col min="5131" max="5375" width="9.140625" style="115"/>
    <col min="5376" max="5376" width="38.140625" style="115" customWidth="1"/>
    <col min="5377" max="5378" width="9.5703125" style="115" bestFit="1" customWidth="1"/>
    <col min="5379" max="5379" width="9.28515625" style="115" bestFit="1" customWidth="1"/>
    <col min="5380" max="5385" width="9.5703125" style="115" bestFit="1" customWidth="1"/>
    <col min="5386" max="5386" width="10.28515625" style="115" bestFit="1" customWidth="1"/>
    <col min="5387" max="5631" width="9.140625" style="115"/>
    <col min="5632" max="5632" width="38.140625" style="115" customWidth="1"/>
    <col min="5633" max="5634" width="9.5703125" style="115" bestFit="1" customWidth="1"/>
    <col min="5635" max="5635" width="9.28515625" style="115" bestFit="1" customWidth="1"/>
    <col min="5636" max="5641" width="9.5703125" style="115" bestFit="1" customWidth="1"/>
    <col min="5642" max="5642" width="10.28515625" style="115" bestFit="1" customWidth="1"/>
    <col min="5643" max="5887" width="9.140625" style="115"/>
    <col min="5888" max="5888" width="38.140625" style="115" customWidth="1"/>
    <col min="5889" max="5890" width="9.5703125" style="115" bestFit="1" customWidth="1"/>
    <col min="5891" max="5891" width="9.28515625" style="115" bestFit="1" customWidth="1"/>
    <col min="5892" max="5897" width="9.5703125" style="115" bestFit="1" customWidth="1"/>
    <col min="5898" max="5898" width="10.28515625" style="115" bestFit="1" customWidth="1"/>
    <col min="5899" max="6143" width="9.140625" style="115"/>
    <col min="6144" max="6144" width="38.140625" style="115" customWidth="1"/>
    <col min="6145" max="6146" width="9.5703125" style="115" bestFit="1" customWidth="1"/>
    <col min="6147" max="6147" width="9.28515625" style="115" bestFit="1" customWidth="1"/>
    <col min="6148" max="6153" width="9.5703125" style="115" bestFit="1" customWidth="1"/>
    <col min="6154" max="6154" width="10.28515625" style="115" bestFit="1" customWidth="1"/>
    <col min="6155" max="6399" width="9.140625" style="115"/>
    <col min="6400" max="6400" width="38.140625" style="115" customWidth="1"/>
    <col min="6401" max="6402" width="9.5703125" style="115" bestFit="1" customWidth="1"/>
    <col min="6403" max="6403" width="9.28515625" style="115" bestFit="1" customWidth="1"/>
    <col min="6404" max="6409" width="9.5703125" style="115" bestFit="1" customWidth="1"/>
    <col min="6410" max="6410" width="10.28515625" style="115" bestFit="1" customWidth="1"/>
    <col min="6411" max="6655" width="9.140625" style="115"/>
    <col min="6656" max="6656" width="38.140625" style="115" customWidth="1"/>
    <col min="6657" max="6658" width="9.5703125" style="115" bestFit="1" customWidth="1"/>
    <col min="6659" max="6659" width="9.28515625" style="115" bestFit="1" customWidth="1"/>
    <col min="6660" max="6665" width="9.5703125" style="115" bestFit="1" customWidth="1"/>
    <col min="6666" max="6666" width="10.28515625" style="115" bestFit="1" customWidth="1"/>
    <col min="6667" max="6911" width="9.140625" style="115"/>
    <col min="6912" max="6912" width="38.140625" style="115" customWidth="1"/>
    <col min="6913" max="6914" width="9.5703125" style="115" bestFit="1" customWidth="1"/>
    <col min="6915" max="6915" width="9.28515625" style="115" bestFit="1" customWidth="1"/>
    <col min="6916" max="6921" width="9.5703125" style="115" bestFit="1" customWidth="1"/>
    <col min="6922" max="6922" width="10.28515625" style="115" bestFit="1" customWidth="1"/>
    <col min="6923" max="7167" width="9.140625" style="115"/>
    <col min="7168" max="7168" width="38.140625" style="115" customWidth="1"/>
    <col min="7169" max="7170" width="9.5703125" style="115" bestFit="1" customWidth="1"/>
    <col min="7171" max="7171" width="9.28515625" style="115" bestFit="1" customWidth="1"/>
    <col min="7172" max="7177" width="9.5703125" style="115" bestFit="1" customWidth="1"/>
    <col min="7178" max="7178" width="10.28515625" style="115" bestFit="1" customWidth="1"/>
    <col min="7179" max="7423" width="9.140625" style="115"/>
    <col min="7424" max="7424" width="38.140625" style="115" customWidth="1"/>
    <col min="7425" max="7426" width="9.5703125" style="115" bestFit="1" customWidth="1"/>
    <col min="7427" max="7427" width="9.28515625" style="115" bestFit="1" customWidth="1"/>
    <col min="7428" max="7433" width="9.5703125" style="115" bestFit="1" customWidth="1"/>
    <col min="7434" max="7434" width="10.28515625" style="115" bestFit="1" customWidth="1"/>
    <col min="7435" max="7679" width="9.140625" style="115"/>
    <col min="7680" max="7680" width="38.140625" style="115" customWidth="1"/>
    <col min="7681" max="7682" width="9.5703125" style="115" bestFit="1" customWidth="1"/>
    <col min="7683" max="7683" width="9.28515625" style="115" bestFit="1" customWidth="1"/>
    <col min="7684" max="7689" width="9.5703125" style="115" bestFit="1" customWidth="1"/>
    <col min="7690" max="7690" width="10.28515625" style="115" bestFit="1" customWidth="1"/>
    <col min="7691" max="7935" width="9.140625" style="115"/>
    <col min="7936" max="7936" width="38.140625" style="115" customWidth="1"/>
    <col min="7937" max="7938" width="9.5703125" style="115" bestFit="1" customWidth="1"/>
    <col min="7939" max="7939" width="9.28515625" style="115" bestFit="1" customWidth="1"/>
    <col min="7940" max="7945" width="9.5703125" style="115" bestFit="1" customWidth="1"/>
    <col min="7946" max="7946" width="10.28515625" style="115" bestFit="1" customWidth="1"/>
    <col min="7947" max="8191" width="9.140625" style="115"/>
    <col min="8192" max="8192" width="38.140625" style="115" customWidth="1"/>
    <col min="8193" max="8194" width="9.5703125" style="115" bestFit="1" customWidth="1"/>
    <col min="8195" max="8195" width="9.28515625" style="115" bestFit="1" customWidth="1"/>
    <col min="8196" max="8201" width="9.5703125" style="115" bestFit="1" customWidth="1"/>
    <col min="8202" max="8202" width="10.28515625" style="115" bestFit="1" customWidth="1"/>
    <col min="8203" max="8447" width="9.140625" style="115"/>
    <col min="8448" max="8448" width="38.140625" style="115" customWidth="1"/>
    <col min="8449" max="8450" width="9.5703125" style="115" bestFit="1" customWidth="1"/>
    <col min="8451" max="8451" width="9.28515625" style="115" bestFit="1" customWidth="1"/>
    <col min="8452" max="8457" width="9.5703125" style="115" bestFit="1" customWidth="1"/>
    <col min="8458" max="8458" width="10.28515625" style="115" bestFit="1" customWidth="1"/>
    <col min="8459" max="8703" width="9.140625" style="115"/>
    <col min="8704" max="8704" width="38.140625" style="115" customWidth="1"/>
    <col min="8705" max="8706" width="9.5703125" style="115" bestFit="1" customWidth="1"/>
    <col min="8707" max="8707" width="9.28515625" style="115" bestFit="1" customWidth="1"/>
    <col min="8708" max="8713" width="9.5703125" style="115" bestFit="1" customWidth="1"/>
    <col min="8714" max="8714" width="10.28515625" style="115" bestFit="1" customWidth="1"/>
    <col min="8715" max="8959" width="9.140625" style="115"/>
    <col min="8960" max="8960" width="38.140625" style="115" customWidth="1"/>
    <col min="8961" max="8962" width="9.5703125" style="115" bestFit="1" customWidth="1"/>
    <col min="8963" max="8963" width="9.28515625" style="115" bestFit="1" customWidth="1"/>
    <col min="8964" max="8969" width="9.5703125" style="115" bestFit="1" customWidth="1"/>
    <col min="8970" max="8970" width="10.28515625" style="115" bestFit="1" customWidth="1"/>
    <col min="8971" max="9215" width="9.140625" style="115"/>
    <col min="9216" max="9216" width="38.140625" style="115" customWidth="1"/>
    <col min="9217" max="9218" width="9.5703125" style="115" bestFit="1" customWidth="1"/>
    <col min="9219" max="9219" width="9.28515625" style="115" bestFit="1" customWidth="1"/>
    <col min="9220" max="9225" width="9.5703125" style="115" bestFit="1" customWidth="1"/>
    <col min="9226" max="9226" width="10.28515625" style="115" bestFit="1" customWidth="1"/>
    <col min="9227" max="9471" width="9.140625" style="115"/>
    <col min="9472" max="9472" width="38.140625" style="115" customWidth="1"/>
    <col min="9473" max="9474" width="9.5703125" style="115" bestFit="1" customWidth="1"/>
    <col min="9475" max="9475" width="9.28515625" style="115" bestFit="1" customWidth="1"/>
    <col min="9476" max="9481" width="9.5703125" style="115" bestFit="1" customWidth="1"/>
    <col min="9482" max="9482" width="10.28515625" style="115" bestFit="1" customWidth="1"/>
    <col min="9483" max="9727" width="9.140625" style="115"/>
    <col min="9728" max="9728" width="38.140625" style="115" customWidth="1"/>
    <col min="9729" max="9730" width="9.5703125" style="115" bestFit="1" customWidth="1"/>
    <col min="9731" max="9731" width="9.28515625" style="115" bestFit="1" customWidth="1"/>
    <col min="9732" max="9737" width="9.5703125" style="115" bestFit="1" customWidth="1"/>
    <col min="9738" max="9738" width="10.28515625" style="115" bestFit="1" customWidth="1"/>
    <col min="9739" max="9983" width="9.140625" style="115"/>
    <col min="9984" max="9984" width="38.140625" style="115" customWidth="1"/>
    <col min="9985" max="9986" width="9.5703125" style="115" bestFit="1" customWidth="1"/>
    <col min="9987" max="9987" width="9.28515625" style="115" bestFit="1" customWidth="1"/>
    <col min="9988" max="9993" width="9.5703125" style="115" bestFit="1" customWidth="1"/>
    <col min="9994" max="9994" width="10.28515625" style="115" bestFit="1" customWidth="1"/>
    <col min="9995" max="10239" width="9.140625" style="115"/>
    <col min="10240" max="10240" width="38.140625" style="115" customWidth="1"/>
    <col min="10241" max="10242" width="9.5703125" style="115" bestFit="1" customWidth="1"/>
    <col min="10243" max="10243" width="9.28515625" style="115" bestFit="1" customWidth="1"/>
    <col min="10244" max="10249" width="9.5703125" style="115" bestFit="1" customWidth="1"/>
    <col min="10250" max="10250" width="10.28515625" style="115" bestFit="1" customWidth="1"/>
    <col min="10251" max="10495" width="9.140625" style="115"/>
    <col min="10496" max="10496" width="38.140625" style="115" customWidth="1"/>
    <col min="10497" max="10498" width="9.5703125" style="115" bestFit="1" customWidth="1"/>
    <col min="10499" max="10499" width="9.28515625" style="115" bestFit="1" customWidth="1"/>
    <col min="10500" max="10505" width="9.5703125" style="115" bestFit="1" customWidth="1"/>
    <col min="10506" max="10506" width="10.28515625" style="115" bestFit="1" customWidth="1"/>
    <col min="10507" max="10751" width="9.140625" style="115"/>
    <col min="10752" max="10752" width="38.140625" style="115" customWidth="1"/>
    <col min="10753" max="10754" width="9.5703125" style="115" bestFit="1" customWidth="1"/>
    <col min="10755" max="10755" width="9.28515625" style="115" bestFit="1" customWidth="1"/>
    <col min="10756" max="10761" width="9.5703125" style="115" bestFit="1" customWidth="1"/>
    <col min="10762" max="10762" width="10.28515625" style="115" bestFit="1" customWidth="1"/>
    <col min="10763" max="11007" width="9.140625" style="115"/>
    <col min="11008" max="11008" width="38.140625" style="115" customWidth="1"/>
    <col min="11009" max="11010" width="9.5703125" style="115" bestFit="1" customWidth="1"/>
    <col min="11011" max="11011" width="9.28515625" style="115" bestFit="1" customWidth="1"/>
    <col min="11012" max="11017" width="9.5703125" style="115" bestFit="1" customWidth="1"/>
    <col min="11018" max="11018" width="10.28515625" style="115" bestFit="1" customWidth="1"/>
    <col min="11019" max="11263" width="9.140625" style="115"/>
    <col min="11264" max="11264" width="38.140625" style="115" customWidth="1"/>
    <col min="11265" max="11266" width="9.5703125" style="115" bestFit="1" customWidth="1"/>
    <col min="11267" max="11267" width="9.28515625" style="115" bestFit="1" customWidth="1"/>
    <col min="11268" max="11273" width="9.5703125" style="115" bestFit="1" customWidth="1"/>
    <col min="11274" max="11274" width="10.28515625" style="115" bestFit="1" customWidth="1"/>
    <col min="11275" max="11519" width="9.140625" style="115"/>
    <col min="11520" max="11520" width="38.140625" style="115" customWidth="1"/>
    <col min="11521" max="11522" width="9.5703125" style="115" bestFit="1" customWidth="1"/>
    <col min="11523" max="11523" width="9.28515625" style="115" bestFit="1" customWidth="1"/>
    <col min="11524" max="11529" width="9.5703125" style="115" bestFit="1" customWidth="1"/>
    <col min="11530" max="11530" width="10.28515625" style="115" bestFit="1" customWidth="1"/>
    <col min="11531" max="11775" width="9.140625" style="115"/>
    <col min="11776" max="11776" width="38.140625" style="115" customWidth="1"/>
    <col min="11777" max="11778" width="9.5703125" style="115" bestFit="1" customWidth="1"/>
    <col min="11779" max="11779" width="9.28515625" style="115" bestFit="1" customWidth="1"/>
    <col min="11780" max="11785" width="9.5703125" style="115" bestFit="1" customWidth="1"/>
    <col min="11786" max="11786" width="10.28515625" style="115" bestFit="1" customWidth="1"/>
    <col min="11787" max="12031" width="9.140625" style="115"/>
    <col min="12032" max="12032" width="38.140625" style="115" customWidth="1"/>
    <col min="12033" max="12034" width="9.5703125" style="115" bestFit="1" customWidth="1"/>
    <col min="12035" max="12035" width="9.28515625" style="115" bestFit="1" customWidth="1"/>
    <col min="12036" max="12041" width="9.5703125" style="115" bestFit="1" customWidth="1"/>
    <col min="12042" max="12042" width="10.28515625" style="115" bestFit="1" customWidth="1"/>
    <col min="12043" max="12287" width="9.140625" style="115"/>
    <col min="12288" max="12288" width="38.140625" style="115" customWidth="1"/>
    <col min="12289" max="12290" width="9.5703125" style="115" bestFit="1" customWidth="1"/>
    <col min="12291" max="12291" width="9.28515625" style="115" bestFit="1" customWidth="1"/>
    <col min="12292" max="12297" width="9.5703125" style="115" bestFit="1" customWidth="1"/>
    <col min="12298" max="12298" width="10.28515625" style="115" bestFit="1" customWidth="1"/>
    <col min="12299" max="12543" width="9.140625" style="115"/>
    <col min="12544" max="12544" width="38.140625" style="115" customWidth="1"/>
    <col min="12545" max="12546" width="9.5703125" style="115" bestFit="1" customWidth="1"/>
    <col min="12547" max="12547" width="9.28515625" style="115" bestFit="1" customWidth="1"/>
    <col min="12548" max="12553" width="9.5703125" style="115" bestFit="1" customWidth="1"/>
    <col min="12554" max="12554" width="10.28515625" style="115" bestFit="1" customWidth="1"/>
    <col min="12555" max="12799" width="9.140625" style="115"/>
    <col min="12800" max="12800" width="38.140625" style="115" customWidth="1"/>
    <col min="12801" max="12802" width="9.5703125" style="115" bestFit="1" customWidth="1"/>
    <col min="12803" max="12803" width="9.28515625" style="115" bestFit="1" customWidth="1"/>
    <col min="12804" max="12809" width="9.5703125" style="115" bestFit="1" customWidth="1"/>
    <col min="12810" max="12810" width="10.28515625" style="115" bestFit="1" customWidth="1"/>
    <col min="12811" max="13055" width="9.140625" style="115"/>
    <col min="13056" max="13056" width="38.140625" style="115" customWidth="1"/>
    <col min="13057" max="13058" width="9.5703125" style="115" bestFit="1" customWidth="1"/>
    <col min="13059" max="13059" width="9.28515625" style="115" bestFit="1" customWidth="1"/>
    <col min="13060" max="13065" width="9.5703125" style="115" bestFit="1" customWidth="1"/>
    <col min="13066" max="13066" width="10.28515625" style="115" bestFit="1" customWidth="1"/>
    <col min="13067" max="13311" width="9.140625" style="115"/>
    <col min="13312" max="13312" width="38.140625" style="115" customWidth="1"/>
    <col min="13313" max="13314" width="9.5703125" style="115" bestFit="1" customWidth="1"/>
    <col min="13315" max="13315" width="9.28515625" style="115" bestFit="1" customWidth="1"/>
    <col min="13316" max="13321" width="9.5703125" style="115" bestFit="1" customWidth="1"/>
    <col min="13322" max="13322" width="10.28515625" style="115" bestFit="1" customWidth="1"/>
    <col min="13323" max="13567" width="9.140625" style="115"/>
    <col min="13568" max="13568" width="38.140625" style="115" customWidth="1"/>
    <col min="13569" max="13570" width="9.5703125" style="115" bestFit="1" customWidth="1"/>
    <col min="13571" max="13571" width="9.28515625" style="115" bestFit="1" customWidth="1"/>
    <col min="13572" max="13577" width="9.5703125" style="115" bestFit="1" customWidth="1"/>
    <col min="13578" max="13578" width="10.28515625" style="115" bestFit="1" customWidth="1"/>
    <col min="13579" max="13823" width="9.140625" style="115"/>
    <col min="13824" max="13824" width="38.140625" style="115" customWidth="1"/>
    <col min="13825" max="13826" width="9.5703125" style="115" bestFit="1" customWidth="1"/>
    <col min="13827" max="13827" width="9.28515625" style="115" bestFit="1" customWidth="1"/>
    <col min="13828" max="13833" width="9.5703125" style="115" bestFit="1" customWidth="1"/>
    <col min="13834" max="13834" width="10.28515625" style="115" bestFit="1" customWidth="1"/>
    <col min="13835" max="14079" width="9.140625" style="115"/>
    <col min="14080" max="14080" width="38.140625" style="115" customWidth="1"/>
    <col min="14081" max="14082" width="9.5703125" style="115" bestFit="1" customWidth="1"/>
    <col min="14083" max="14083" width="9.28515625" style="115" bestFit="1" customWidth="1"/>
    <col min="14084" max="14089" width="9.5703125" style="115" bestFit="1" customWidth="1"/>
    <col min="14090" max="14090" width="10.28515625" style="115" bestFit="1" customWidth="1"/>
    <col min="14091" max="14335" width="9.140625" style="115"/>
    <col min="14336" max="14336" width="38.140625" style="115" customWidth="1"/>
    <col min="14337" max="14338" width="9.5703125" style="115" bestFit="1" customWidth="1"/>
    <col min="14339" max="14339" width="9.28515625" style="115" bestFit="1" customWidth="1"/>
    <col min="14340" max="14345" width="9.5703125" style="115" bestFit="1" customWidth="1"/>
    <col min="14346" max="14346" width="10.28515625" style="115" bestFit="1" customWidth="1"/>
    <col min="14347" max="14591" width="9.140625" style="115"/>
    <col min="14592" max="14592" width="38.140625" style="115" customWidth="1"/>
    <col min="14593" max="14594" width="9.5703125" style="115" bestFit="1" customWidth="1"/>
    <col min="14595" max="14595" width="9.28515625" style="115" bestFit="1" customWidth="1"/>
    <col min="14596" max="14601" width="9.5703125" style="115" bestFit="1" customWidth="1"/>
    <col min="14602" max="14602" width="10.28515625" style="115" bestFit="1" customWidth="1"/>
    <col min="14603" max="14847" width="9.140625" style="115"/>
    <col min="14848" max="14848" width="38.140625" style="115" customWidth="1"/>
    <col min="14849" max="14850" width="9.5703125" style="115" bestFit="1" customWidth="1"/>
    <col min="14851" max="14851" width="9.28515625" style="115" bestFit="1" customWidth="1"/>
    <col min="14852" max="14857" width="9.5703125" style="115" bestFit="1" customWidth="1"/>
    <col min="14858" max="14858" width="10.28515625" style="115" bestFit="1" customWidth="1"/>
    <col min="14859" max="15103" width="9.140625" style="115"/>
    <col min="15104" max="15104" width="38.140625" style="115" customWidth="1"/>
    <col min="15105" max="15106" width="9.5703125" style="115" bestFit="1" customWidth="1"/>
    <col min="15107" max="15107" width="9.28515625" style="115" bestFit="1" customWidth="1"/>
    <col min="15108" max="15113" width="9.5703125" style="115" bestFit="1" customWidth="1"/>
    <col min="15114" max="15114" width="10.28515625" style="115" bestFit="1" customWidth="1"/>
    <col min="15115" max="15359" width="9.140625" style="115"/>
    <col min="15360" max="15360" width="38.140625" style="115" customWidth="1"/>
    <col min="15361" max="15362" width="9.5703125" style="115" bestFit="1" customWidth="1"/>
    <col min="15363" max="15363" width="9.28515625" style="115" bestFit="1" customWidth="1"/>
    <col min="15364" max="15369" width="9.5703125" style="115" bestFit="1" customWidth="1"/>
    <col min="15370" max="15370" width="10.28515625" style="115" bestFit="1" customWidth="1"/>
    <col min="15371" max="15615" width="9.140625" style="115"/>
    <col min="15616" max="15616" width="38.140625" style="115" customWidth="1"/>
    <col min="15617" max="15618" width="9.5703125" style="115" bestFit="1" customWidth="1"/>
    <col min="15619" max="15619" width="9.28515625" style="115" bestFit="1" customWidth="1"/>
    <col min="15620" max="15625" width="9.5703125" style="115" bestFit="1" customWidth="1"/>
    <col min="15626" max="15626" width="10.28515625" style="115" bestFit="1" customWidth="1"/>
    <col min="15627" max="15871" width="9.140625" style="115"/>
    <col min="15872" max="15872" width="38.140625" style="115" customWidth="1"/>
    <col min="15873" max="15874" width="9.5703125" style="115" bestFit="1" customWidth="1"/>
    <col min="15875" max="15875" width="9.28515625" style="115" bestFit="1" customWidth="1"/>
    <col min="15876" max="15881" width="9.5703125" style="115" bestFit="1" customWidth="1"/>
    <col min="15882" max="15882" width="10.28515625" style="115" bestFit="1" customWidth="1"/>
    <col min="15883" max="16127" width="9.140625" style="115"/>
    <col min="16128" max="16128" width="38.140625" style="115" customWidth="1"/>
    <col min="16129" max="16130" width="9.5703125" style="115" bestFit="1" customWidth="1"/>
    <col min="16131" max="16131" width="9.28515625" style="115" bestFit="1" customWidth="1"/>
    <col min="16132" max="16137" width="9.5703125" style="115" bestFit="1" customWidth="1"/>
    <col min="16138" max="16138" width="10.28515625" style="115" bestFit="1" customWidth="1"/>
    <col min="16139" max="16384" width="9.140625" style="115"/>
  </cols>
  <sheetData>
    <row r="1" spans="1:12" ht="17.100000000000001" customHeight="1" x14ac:dyDescent="0.2">
      <c r="A1" s="720" t="s">
        <v>79</v>
      </c>
      <c r="B1" s="721"/>
      <c r="C1" s="721"/>
      <c r="D1" s="721"/>
      <c r="E1" s="721"/>
      <c r="F1" s="721"/>
      <c r="G1" s="721"/>
      <c r="H1" s="721"/>
      <c r="I1" s="721"/>
      <c r="J1" s="722"/>
    </row>
    <row r="2" spans="1:12" ht="17.100000000000001" customHeight="1" x14ac:dyDescent="0.2">
      <c r="A2" s="736" t="s">
        <v>60</v>
      </c>
      <c r="B2" s="737"/>
      <c r="C2" s="737"/>
      <c r="D2" s="737"/>
      <c r="E2" s="737"/>
      <c r="F2" s="737"/>
      <c r="G2" s="737"/>
      <c r="H2" s="737"/>
      <c r="I2" s="737"/>
      <c r="J2" s="738"/>
    </row>
    <row r="3" spans="1:12" ht="17.100000000000001" customHeight="1" x14ac:dyDescent="0.2">
      <c r="A3" s="69" t="s">
        <v>80</v>
      </c>
      <c r="B3" s="40" t="s">
        <v>61</v>
      </c>
      <c r="C3" s="40" t="s">
        <v>62</v>
      </c>
      <c r="D3" s="40" t="s">
        <v>63</v>
      </c>
      <c r="E3" s="40" t="s">
        <v>64</v>
      </c>
      <c r="F3" s="40" t="s">
        <v>65</v>
      </c>
      <c r="G3" s="40" t="s">
        <v>66</v>
      </c>
      <c r="H3" s="40" t="s">
        <v>67</v>
      </c>
      <c r="I3" s="40" t="s">
        <v>68</v>
      </c>
      <c r="J3" s="41" t="s">
        <v>69</v>
      </c>
      <c r="K3" s="116"/>
    </row>
    <row r="4" spans="1:12" ht="17.100000000000001" customHeight="1" x14ac:dyDescent="0.2">
      <c r="A4" s="749"/>
      <c r="B4" s="750"/>
      <c r="C4" s="750"/>
      <c r="D4" s="750"/>
      <c r="E4" s="750"/>
      <c r="F4" s="750"/>
      <c r="G4" s="750"/>
      <c r="H4" s="750"/>
      <c r="I4" s="750"/>
      <c r="J4" s="751"/>
    </row>
    <row r="5" spans="1:12" ht="17.100000000000001" customHeight="1" x14ac:dyDescent="0.2">
      <c r="A5" s="70" t="s">
        <v>81</v>
      </c>
      <c r="B5" s="67" t="e">
        <f>Profitability!B13</f>
        <v>#REF!</v>
      </c>
      <c r="C5" s="67" t="e">
        <f>Profitability!C13</f>
        <v>#REF!</v>
      </c>
      <c r="D5" s="67" t="e">
        <f>Profitability!D13</f>
        <v>#REF!</v>
      </c>
      <c r="E5" s="67" t="e">
        <f>Profitability!E13</f>
        <v>#REF!</v>
      </c>
      <c r="F5" s="67" t="e">
        <f>Profitability!F13</f>
        <v>#REF!</v>
      </c>
      <c r="G5" s="67" t="e">
        <f>Profitability!G13</f>
        <v>#REF!</v>
      </c>
      <c r="H5" s="67" t="e">
        <f>Profitability!H13</f>
        <v>#REF!</v>
      </c>
      <c r="I5" s="67" t="e">
        <f>Profitability!I13</f>
        <v>#REF!</v>
      </c>
      <c r="J5" s="71" t="e">
        <f>Profitability!J13</f>
        <v>#REF!</v>
      </c>
    </row>
    <row r="6" spans="1:12" ht="17.100000000000001" customHeight="1" x14ac:dyDescent="0.2">
      <c r="A6" s="70" t="s">
        <v>82</v>
      </c>
      <c r="B6" s="67" t="e">
        <f>Norms!#REF!</f>
        <v>#REF!</v>
      </c>
      <c r="C6" s="67" t="e">
        <f>Norms!#REF!</f>
        <v>#REF!</v>
      </c>
      <c r="D6" s="67" t="e">
        <f>Norms!#REF!</f>
        <v>#REF!</v>
      </c>
      <c r="E6" s="67" t="e">
        <f>Norms!#REF!</f>
        <v>#REF!</v>
      </c>
      <c r="F6" s="67" t="e">
        <f>Norms!#REF!</f>
        <v>#REF!</v>
      </c>
      <c r="G6" s="67" t="e">
        <f>Norms!#REF!</f>
        <v>#REF!</v>
      </c>
      <c r="H6" s="67" t="e">
        <f>Norms!#REF!</f>
        <v>#REF!</v>
      </c>
      <c r="I6" s="67" t="e">
        <f>Norms!#REF!</f>
        <v>#REF!</v>
      </c>
      <c r="J6" s="71" t="e">
        <f>Norms!#REF!</f>
        <v>#REF!</v>
      </c>
    </row>
    <row r="7" spans="1:12" ht="17.100000000000001" customHeight="1" x14ac:dyDescent="0.2">
      <c r="A7" s="749"/>
      <c r="B7" s="750"/>
      <c r="C7" s="750"/>
      <c r="D7" s="750"/>
      <c r="E7" s="750"/>
      <c r="F7" s="750"/>
      <c r="G7" s="750"/>
      <c r="H7" s="750"/>
      <c r="I7" s="750"/>
      <c r="J7" s="751"/>
    </row>
    <row r="8" spans="1:12" s="117" customFormat="1" ht="17.100000000000001" customHeight="1" x14ac:dyDescent="0.2">
      <c r="A8" s="38" t="s">
        <v>116</v>
      </c>
      <c r="B8" s="68" t="e">
        <f t="shared" ref="B8:J8" si="0">SUM(B5:B6)</f>
        <v>#REF!</v>
      </c>
      <c r="C8" s="68" t="e">
        <f t="shared" si="0"/>
        <v>#REF!</v>
      </c>
      <c r="D8" s="68" t="e">
        <f t="shared" si="0"/>
        <v>#REF!</v>
      </c>
      <c r="E8" s="68" t="e">
        <f t="shared" si="0"/>
        <v>#REF!</v>
      </c>
      <c r="F8" s="68" t="e">
        <f t="shared" si="0"/>
        <v>#REF!</v>
      </c>
      <c r="G8" s="68" t="e">
        <f t="shared" si="0"/>
        <v>#REF!</v>
      </c>
      <c r="H8" s="68" t="e">
        <f t="shared" si="0"/>
        <v>#REF!</v>
      </c>
      <c r="I8" s="68" t="e">
        <f t="shared" si="0"/>
        <v>#REF!</v>
      </c>
      <c r="J8" s="72" t="e">
        <f t="shared" si="0"/>
        <v>#REF!</v>
      </c>
      <c r="L8" s="118"/>
    </row>
    <row r="9" spans="1:12" ht="17.100000000000001" customHeight="1" x14ac:dyDescent="0.2">
      <c r="A9" s="749"/>
      <c r="B9" s="750"/>
      <c r="C9" s="750"/>
      <c r="D9" s="750"/>
      <c r="E9" s="750"/>
      <c r="F9" s="750"/>
      <c r="G9" s="750"/>
      <c r="H9" s="750"/>
      <c r="I9" s="750"/>
      <c r="J9" s="751"/>
    </row>
    <row r="10" spans="1:12" ht="17.100000000000001" customHeight="1" x14ac:dyDescent="0.2">
      <c r="A10" s="70" t="s">
        <v>117</v>
      </c>
      <c r="B10" s="67" t="e">
        <f t="shared" ref="B10:J10" si="1">+B6</f>
        <v>#REF!</v>
      </c>
      <c r="C10" s="67" t="e">
        <f t="shared" si="1"/>
        <v>#REF!</v>
      </c>
      <c r="D10" s="67" t="e">
        <f t="shared" si="1"/>
        <v>#REF!</v>
      </c>
      <c r="E10" s="67" t="e">
        <f t="shared" si="1"/>
        <v>#REF!</v>
      </c>
      <c r="F10" s="67" t="e">
        <f t="shared" si="1"/>
        <v>#REF!</v>
      </c>
      <c r="G10" s="67" t="e">
        <f t="shared" si="1"/>
        <v>#REF!</v>
      </c>
      <c r="H10" s="67" t="e">
        <f t="shared" si="1"/>
        <v>#REF!</v>
      </c>
      <c r="I10" s="67" t="e">
        <f t="shared" si="1"/>
        <v>#REF!</v>
      </c>
      <c r="J10" s="71" t="e">
        <f t="shared" si="1"/>
        <v>#REF!</v>
      </c>
    </row>
    <row r="11" spans="1:12" ht="17.100000000000001" customHeight="1" x14ac:dyDescent="0.2">
      <c r="A11" s="70" t="s">
        <v>118</v>
      </c>
      <c r="B11" s="67" t="e">
        <f>Norms!#REF!</f>
        <v>#REF!</v>
      </c>
      <c r="C11" s="67" t="e">
        <f>Norms!#REF!</f>
        <v>#REF!</v>
      </c>
      <c r="D11" s="67" t="e">
        <f>Norms!#REF!</f>
        <v>#REF!</v>
      </c>
      <c r="E11" s="67" t="e">
        <f>Norms!#REF!</f>
        <v>#REF!</v>
      </c>
      <c r="F11" s="67" t="e">
        <f>Norms!#REF!</f>
        <v>#REF!</v>
      </c>
      <c r="G11" s="67" t="e">
        <f>Norms!#REF!</f>
        <v>#REF!</v>
      </c>
      <c r="H11" s="67" t="e">
        <f>Norms!#REF!</f>
        <v>#REF!</v>
      </c>
      <c r="I11" s="67" t="e">
        <f>Norms!#REF!</f>
        <v>#REF!</v>
      </c>
      <c r="J11" s="71" t="e">
        <f>Norms!#REF!</f>
        <v>#REF!</v>
      </c>
    </row>
    <row r="12" spans="1:12" ht="17.100000000000001" customHeight="1" x14ac:dyDescent="0.2">
      <c r="A12" s="749"/>
      <c r="B12" s="750"/>
      <c r="C12" s="750"/>
      <c r="D12" s="750"/>
      <c r="E12" s="750"/>
      <c r="F12" s="750"/>
      <c r="G12" s="750"/>
      <c r="H12" s="750"/>
      <c r="I12" s="750"/>
      <c r="J12" s="751"/>
    </row>
    <row r="13" spans="1:12" s="117" customFormat="1" ht="17.100000000000001" customHeight="1" x14ac:dyDescent="0.2">
      <c r="A13" s="38" t="s">
        <v>119</v>
      </c>
      <c r="B13" s="68" t="e">
        <f t="shared" ref="B13:J13" si="2">SUM(B10:B11)</f>
        <v>#REF!</v>
      </c>
      <c r="C13" s="68" t="e">
        <f t="shared" si="2"/>
        <v>#REF!</v>
      </c>
      <c r="D13" s="68" t="e">
        <f t="shared" si="2"/>
        <v>#REF!</v>
      </c>
      <c r="E13" s="68" t="e">
        <f t="shared" si="2"/>
        <v>#REF!</v>
      </c>
      <c r="F13" s="68" t="e">
        <f t="shared" si="2"/>
        <v>#REF!</v>
      </c>
      <c r="G13" s="68" t="e">
        <f t="shared" si="2"/>
        <v>#REF!</v>
      </c>
      <c r="H13" s="68" t="e">
        <f t="shared" si="2"/>
        <v>#REF!</v>
      </c>
      <c r="I13" s="68" t="e">
        <f t="shared" si="2"/>
        <v>#REF!</v>
      </c>
      <c r="J13" s="72" t="e">
        <f t="shared" si="2"/>
        <v>#REF!</v>
      </c>
      <c r="L13" s="118"/>
    </row>
    <row r="14" spans="1:12" ht="17.100000000000001" customHeight="1" x14ac:dyDescent="0.2">
      <c r="A14" s="749"/>
      <c r="B14" s="750"/>
      <c r="C14" s="750"/>
      <c r="D14" s="750"/>
      <c r="E14" s="750"/>
      <c r="F14" s="750"/>
      <c r="G14" s="750"/>
      <c r="H14" s="750"/>
      <c r="I14" s="750"/>
      <c r="J14" s="751"/>
    </row>
    <row r="15" spans="1:12" s="117" customFormat="1" ht="17.100000000000001" customHeight="1" x14ac:dyDescent="0.2">
      <c r="A15" s="69" t="s">
        <v>120</v>
      </c>
      <c r="B15" s="68" t="e">
        <f t="shared" ref="B15:J15" si="3">+B8/B13</f>
        <v>#REF!</v>
      </c>
      <c r="C15" s="68" t="e">
        <f t="shared" si="3"/>
        <v>#REF!</v>
      </c>
      <c r="D15" s="68" t="e">
        <f t="shared" si="3"/>
        <v>#REF!</v>
      </c>
      <c r="E15" s="68" t="e">
        <f t="shared" si="3"/>
        <v>#REF!</v>
      </c>
      <c r="F15" s="68" t="e">
        <f t="shared" si="3"/>
        <v>#REF!</v>
      </c>
      <c r="G15" s="68" t="e">
        <f t="shared" si="3"/>
        <v>#REF!</v>
      </c>
      <c r="H15" s="68" t="e">
        <f t="shared" si="3"/>
        <v>#REF!</v>
      </c>
      <c r="I15" s="68" t="e">
        <f t="shared" si="3"/>
        <v>#REF!</v>
      </c>
      <c r="J15" s="72" t="e">
        <f t="shared" si="3"/>
        <v>#REF!</v>
      </c>
    </row>
    <row r="16" spans="1:12" ht="17.100000000000001" customHeight="1" x14ac:dyDescent="0.2">
      <c r="A16" s="749"/>
      <c r="B16" s="750"/>
      <c r="C16" s="750"/>
      <c r="D16" s="750"/>
      <c r="E16" s="750"/>
      <c r="F16" s="750"/>
      <c r="G16" s="750"/>
      <c r="H16" s="750"/>
      <c r="I16" s="750"/>
      <c r="J16" s="751"/>
    </row>
    <row r="17" spans="1:10" ht="17.100000000000001" customHeight="1" x14ac:dyDescent="0.2">
      <c r="A17" s="73" t="s">
        <v>83</v>
      </c>
      <c r="B17" s="74" t="e">
        <f>SUM(B8:I8)/SUM(B13:I13)</f>
        <v>#REF!</v>
      </c>
      <c r="C17" s="75"/>
      <c r="D17" s="75"/>
      <c r="E17" s="75"/>
      <c r="F17" s="75"/>
      <c r="G17" s="75"/>
      <c r="H17" s="75"/>
      <c r="I17" s="75"/>
      <c r="J17" s="76"/>
    </row>
    <row r="18" spans="1:10" ht="17.100000000000001" customHeight="1" x14ac:dyDescent="0.2">
      <c r="A18" s="119"/>
      <c r="B18" s="119"/>
      <c r="C18" s="119"/>
      <c r="D18" s="119"/>
      <c r="E18" s="119"/>
      <c r="F18" s="119"/>
      <c r="G18" s="119"/>
      <c r="H18" s="119"/>
      <c r="I18" s="119"/>
      <c r="J18" s="119"/>
    </row>
    <row r="21" spans="1:10" x14ac:dyDescent="0.2">
      <c r="B21" s="120"/>
      <c r="D21" s="121"/>
      <c r="E21" s="121"/>
      <c r="F21" s="121"/>
      <c r="G21" s="121"/>
      <c r="H21" s="121"/>
      <c r="I21" s="121"/>
      <c r="J21" s="121"/>
    </row>
    <row r="22" spans="1:10" x14ac:dyDescent="0.2">
      <c r="D22" s="121"/>
      <c r="E22" s="121"/>
      <c r="F22" s="121"/>
      <c r="G22" s="121"/>
      <c r="H22" s="121"/>
      <c r="I22" s="121"/>
      <c r="J22" s="121"/>
    </row>
    <row r="23" spans="1:10" x14ac:dyDescent="0.2">
      <c r="D23" s="121"/>
      <c r="E23" s="121"/>
      <c r="F23" s="121"/>
      <c r="G23" s="121"/>
      <c r="H23" s="121"/>
      <c r="I23" s="121"/>
      <c r="J23" s="121"/>
    </row>
    <row r="24" spans="1:10" x14ac:dyDescent="0.2">
      <c r="D24" s="121"/>
      <c r="E24" s="121"/>
      <c r="F24" s="121"/>
      <c r="G24" s="121"/>
      <c r="H24" s="121"/>
      <c r="I24" s="121"/>
      <c r="J24" s="121"/>
    </row>
    <row r="25" spans="1:10" x14ac:dyDescent="0.2">
      <c r="D25" s="121"/>
      <c r="E25" s="121"/>
      <c r="F25" s="121"/>
      <c r="G25" s="121"/>
      <c r="H25" s="121"/>
      <c r="I25" s="121"/>
      <c r="J25" s="121"/>
    </row>
    <row r="26" spans="1:10" x14ac:dyDescent="0.2">
      <c r="D26" s="121"/>
      <c r="E26" s="121"/>
      <c r="F26" s="121"/>
      <c r="G26" s="121"/>
      <c r="H26" s="121"/>
      <c r="I26" s="121"/>
      <c r="J26" s="121"/>
    </row>
    <row r="27" spans="1:10" x14ac:dyDescent="0.2">
      <c r="D27" s="121"/>
      <c r="E27" s="121"/>
      <c r="F27" s="121"/>
      <c r="G27" s="121"/>
      <c r="H27" s="121"/>
      <c r="I27" s="121"/>
      <c r="J27" s="121"/>
    </row>
    <row r="28" spans="1:10" x14ac:dyDescent="0.2">
      <c r="D28" s="121"/>
      <c r="E28" s="121"/>
      <c r="F28" s="121"/>
      <c r="G28" s="121"/>
      <c r="H28" s="121"/>
      <c r="I28" s="121"/>
      <c r="J28" s="121"/>
    </row>
    <row r="29" spans="1:10" x14ac:dyDescent="0.2">
      <c r="D29" s="121"/>
      <c r="E29" s="121"/>
      <c r="F29" s="121"/>
      <c r="G29" s="121"/>
      <c r="H29" s="121"/>
      <c r="I29" s="121"/>
      <c r="J29" s="121"/>
    </row>
    <row r="30" spans="1:10" x14ac:dyDescent="0.2">
      <c r="D30" s="121"/>
      <c r="E30" s="121"/>
      <c r="F30" s="121"/>
      <c r="G30" s="121"/>
      <c r="H30" s="121"/>
      <c r="I30" s="121"/>
      <c r="J30" s="121"/>
    </row>
    <row r="31" spans="1:10" x14ac:dyDescent="0.2">
      <c r="D31" s="121"/>
      <c r="E31" s="121"/>
      <c r="F31" s="121"/>
      <c r="G31" s="121"/>
      <c r="H31" s="121"/>
      <c r="I31" s="121"/>
      <c r="J31" s="121"/>
    </row>
    <row r="32" spans="1:10" x14ac:dyDescent="0.2">
      <c r="D32" s="121"/>
      <c r="E32" s="121"/>
      <c r="F32" s="121"/>
      <c r="G32" s="121"/>
      <c r="H32" s="121"/>
      <c r="I32" s="121"/>
      <c r="J32" s="121"/>
    </row>
    <row r="33" spans="4:10" x14ac:dyDescent="0.2">
      <c r="D33" s="121"/>
      <c r="E33" s="121"/>
      <c r="F33" s="121"/>
      <c r="G33" s="121"/>
      <c r="H33" s="121"/>
      <c r="I33" s="121"/>
      <c r="J33" s="121"/>
    </row>
    <row r="34" spans="4:10" x14ac:dyDescent="0.2">
      <c r="D34" s="121"/>
      <c r="E34" s="121"/>
      <c r="F34" s="121"/>
      <c r="G34" s="121"/>
      <c r="H34" s="121"/>
      <c r="I34" s="121"/>
      <c r="J34" s="121"/>
    </row>
    <row r="35" spans="4:10" x14ac:dyDescent="0.2">
      <c r="D35" s="121"/>
      <c r="E35" s="121"/>
      <c r="F35" s="121"/>
      <c r="G35" s="121"/>
      <c r="H35" s="121"/>
      <c r="I35" s="121"/>
      <c r="J35" s="121"/>
    </row>
    <row r="36" spans="4:10" x14ac:dyDescent="0.2">
      <c r="D36" s="121"/>
      <c r="E36" s="121"/>
      <c r="F36" s="121"/>
      <c r="G36" s="121"/>
      <c r="H36" s="121"/>
      <c r="I36" s="121"/>
      <c r="J36" s="121"/>
    </row>
    <row r="37" spans="4:10" x14ac:dyDescent="0.2">
      <c r="D37" s="121"/>
      <c r="E37" s="121"/>
      <c r="F37" s="121"/>
      <c r="G37" s="121"/>
      <c r="H37" s="121"/>
      <c r="I37" s="121"/>
      <c r="J37" s="121"/>
    </row>
    <row r="38" spans="4:10" x14ac:dyDescent="0.2">
      <c r="D38" s="121"/>
      <c r="E38" s="121"/>
      <c r="F38" s="121"/>
      <c r="G38" s="121"/>
      <c r="H38" s="121"/>
      <c r="I38" s="121"/>
      <c r="J38" s="121"/>
    </row>
    <row r="39" spans="4:10" x14ac:dyDescent="0.2">
      <c r="D39" s="121"/>
      <c r="E39" s="121"/>
      <c r="F39" s="121"/>
      <c r="G39" s="121"/>
      <c r="H39" s="121"/>
      <c r="I39" s="121"/>
      <c r="J39" s="121"/>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32"/>
  <sheetViews>
    <sheetView topLeftCell="A4" workbookViewId="0">
      <selection activeCell="G11" sqref="G11"/>
    </sheetView>
  </sheetViews>
  <sheetFormatPr defaultColWidth="9.140625" defaultRowHeight="12.75" x14ac:dyDescent="0.25"/>
  <cols>
    <col min="1" max="1" width="9.140625" style="301"/>
    <col min="2" max="2" width="35.28515625" style="301" customWidth="1"/>
    <col min="3" max="18" width="10.7109375" style="301" customWidth="1"/>
    <col min="19" max="19" width="9.140625" style="301"/>
    <col min="20" max="32" width="9.140625" style="371"/>
    <col min="33" max="16384" width="9.140625" style="301"/>
  </cols>
  <sheetData>
    <row r="1" spans="1:33" x14ac:dyDescent="0.25">
      <c r="B1" s="470" t="s">
        <v>555</v>
      </c>
      <c r="C1" s="470" t="s">
        <v>556</v>
      </c>
    </row>
    <row r="2" spans="1:33" x14ac:dyDescent="0.25">
      <c r="B2" s="299" t="s">
        <v>331</v>
      </c>
      <c r="C2" s="671">
        <v>0.18</v>
      </c>
      <c r="D2" s="497"/>
    </row>
    <row r="3" spans="1:33" x14ac:dyDescent="0.25">
      <c r="B3" s="299" t="s">
        <v>58</v>
      </c>
      <c r="C3" s="671">
        <v>0.18</v>
      </c>
      <c r="D3" s="474"/>
      <c r="E3" s="474"/>
      <c r="F3" s="475"/>
      <c r="G3" s="474"/>
      <c r="H3" s="474"/>
      <c r="I3" s="474"/>
      <c r="J3" s="474"/>
      <c r="K3" s="474"/>
      <c r="L3" s="474"/>
      <c r="M3" s="474"/>
      <c r="N3" s="474"/>
      <c r="O3" s="474"/>
      <c r="P3" s="474"/>
      <c r="Q3" s="474"/>
      <c r="R3" s="474"/>
    </row>
    <row r="4" spans="1:33" x14ac:dyDescent="0.25">
      <c r="B4" s="299"/>
      <c r="C4" s="299"/>
      <c r="D4" s="474"/>
      <c r="E4" s="474"/>
      <c r="F4" s="475"/>
      <c r="G4" s="474"/>
      <c r="H4" s="474"/>
      <c r="I4" s="474"/>
      <c r="J4" s="474"/>
      <c r="K4" s="474"/>
      <c r="L4" s="474"/>
      <c r="M4" s="474"/>
      <c r="N4" s="474"/>
      <c r="O4" s="474"/>
      <c r="P4" s="474"/>
      <c r="Q4" s="474"/>
      <c r="R4" s="474"/>
    </row>
    <row r="5" spans="1:33" x14ac:dyDescent="0.25">
      <c r="B5" s="470" t="s">
        <v>557</v>
      </c>
      <c r="C5" s="299"/>
      <c r="D5" s="474"/>
      <c r="E5" s="474"/>
      <c r="F5" s="475"/>
      <c r="G5" s="474"/>
      <c r="H5" s="474"/>
      <c r="I5" s="474"/>
      <c r="J5" s="474"/>
      <c r="K5" s="474"/>
      <c r="L5" s="474"/>
      <c r="M5" s="474"/>
      <c r="N5" s="474"/>
      <c r="O5" s="474"/>
      <c r="P5" s="474"/>
      <c r="Q5" s="474"/>
      <c r="R5" s="474"/>
    </row>
    <row r="6" spans="1:33" x14ac:dyDescent="0.25">
      <c r="B6" s="299" t="s">
        <v>558</v>
      </c>
      <c r="C6" s="671">
        <v>0.05</v>
      </c>
      <c r="D6" s="474"/>
      <c r="E6" s="474"/>
      <c r="F6" s="475"/>
      <c r="G6" s="474"/>
      <c r="H6" s="474"/>
      <c r="I6" s="474"/>
      <c r="J6" s="474"/>
      <c r="K6" s="474"/>
      <c r="L6" s="474"/>
      <c r="M6" s="474"/>
      <c r="N6" s="474"/>
      <c r="O6" s="474"/>
      <c r="P6" s="474"/>
      <c r="Q6" s="474"/>
      <c r="R6" s="474"/>
    </row>
    <row r="7" spans="1:33" x14ac:dyDescent="0.25">
      <c r="B7" s="299" t="s">
        <v>139</v>
      </c>
      <c r="C7" s="671">
        <v>0.05</v>
      </c>
      <c r="D7" s="474"/>
      <c r="E7" s="474"/>
      <c r="F7" s="475"/>
      <c r="G7" s="474"/>
      <c r="H7" s="474"/>
      <c r="I7" s="474"/>
      <c r="J7" s="474"/>
      <c r="K7" s="474"/>
      <c r="L7" s="474"/>
      <c r="M7" s="474"/>
      <c r="N7" s="474"/>
      <c r="O7" s="474"/>
      <c r="P7" s="474"/>
      <c r="Q7" s="474"/>
      <c r="R7" s="474"/>
    </row>
    <row r="8" spans="1:33" x14ac:dyDescent="0.25">
      <c r="D8" s="474"/>
      <c r="E8" s="474"/>
      <c r="F8" s="475"/>
      <c r="G8" s="474"/>
      <c r="H8" s="474"/>
      <c r="I8" s="474"/>
      <c r="J8" s="474"/>
      <c r="K8" s="474"/>
      <c r="L8" s="474"/>
      <c r="M8" s="474"/>
      <c r="N8" s="474"/>
      <c r="O8" s="474"/>
      <c r="P8" s="474"/>
      <c r="Q8" s="474"/>
      <c r="R8" s="474"/>
    </row>
    <row r="9" spans="1:33" ht="15.75" x14ac:dyDescent="0.25">
      <c r="A9" s="299"/>
      <c r="B9" s="752" t="s">
        <v>554</v>
      </c>
      <c r="C9" s="752"/>
      <c r="D9" s="752"/>
      <c r="E9" s="752"/>
      <c r="F9" s="752"/>
      <c r="G9" s="752"/>
      <c r="H9" s="752"/>
      <c r="I9" s="752"/>
      <c r="J9" s="752"/>
      <c r="K9" s="752"/>
      <c r="L9" s="752"/>
      <c r="M9" s="752"/>
      <c r="N9" s="752"/>
      <c r="O9" s="752"/>
      <c r="P9" s="752"/>
      <c r="Q9" s="752"/>
      <c r="R9" s="752"/>
    </row>
    <row r="10" spans="1:33" s="468" customFormat="1" ht="20.100000000000001" customHeight="1" x14ac:dyDescent="0.25">
      <c r="A10" s="468" t="s">
        <v>402</v>
      </c>
      <c r="B10" s="494" t="s">
        <v>549</v>
      </c>
      <c r="C10" s="495" t="s">
        <v>436</v>
      </c>
      <c r="D10" s="496">
        <v>1</v>
      </c>
      <c r="E10" s="496">
        <v>2</v>
      </c>
      <c r="F10" s="496">
        <v>3</v>
      </c>
      <c r="G10" s="496">
        <v>4</v>
      </c>
      <c r="H10" s="496">
        <v>5</v>
      </c>
      <c r="I10" s="496">
        <v>6</v>
      </c>
      <c r="J10" s="496">
        <v>7</v>
      </c>
      <c r="K10" s="496">
        <v>8</v>
      </c>
      <c r="L10" s="496">
        <v>9</v>
      </c>
      <c r="M10" s="496">
        <v>10</v>
      </c>
      <c r="N10" s="496">
        <v>11</v>
      </c>
      <c r="O10" s="496">
        <v>12</v>
      </c>
      <c r="P10" s="496">
        <v>13</v>
      </c>
      <c r="Q10" s="496">
        <v>14</v>
      </c>
      <c r="R10" s="496">
        <v>15</v>
      </c>
      <c r="S10" s="491"/>
      <c r="T10" s="487"/>
      <c r="U10" s="487"/>
      <c r="V10" s="487"/>
      <c r="W10" s="487"/>
      <c r="X10" s="487"/>
      <c r="Y10" s="487"/>
      <c r="Z10" s="487"/>
      <c r="AA10" s="487"/>
      <c r="AB10" s="487"/>
      <c r="AC10" s="487"/>
      <c r="AD10" s="487"/>
      <c r="AE10" s="487"/>
      <c r="AF10" s="487"/>
      <c r="AG10" s="492"/>
    </row>
    <row r="11" spans="1:33" s="371" customFormat="1" ht="20.100000000000001" customHeight="1" x14ac:dyDescent="0.25">
      <c r="A11" s="352">
        <v>1</v>
      </c>
      <c r="B11" s="387" t="s">
        <v>331</v>
      </c>
      <c r="C11" s="352" t="s">
        <v>536</v>
      </c>
      <c r="D11" s="485">
        <f>Opex!D7*$C$2</f>
        <v>6.2631142432031242</v>
      </c>
      <c r="E11" s="485">
        <f>Opex!E7*$C$2</f>
        <v>7.1578448493749995</v>
      </c>
      <c r="F11" s="485">
        <f>Opex!F7*$C$2</f>
        <v>8.4999407586328104</v>
      </c>
      <c r="G11" s="485">
        <f>Opex!G7*$C$2</f>
        <v>8.4999407586328104</v>
      </c>
      <c r="H11" s="485">
        <f>Opex!H7*$C$2</f>
        <v>8.4999407586328104</v>
      </c>
      <c r="I11" s="485">
        <f>Opex!I7*$C$2</f>
        <v>8.4999407586328104</v>
      </c>
      <c r="J11" s="485">
        <f>Opex!J7*$C$2</f>
        <v>8.4999407586328104</v>
      </c>
      <c r="K11" s="485">
        <f>Opex!K7*$C$2</f>
        <v>8.4999407586328104</v>
      </c>
      <c r="L11" s="485">
        <f>Opex!L7*$C$2</f>
        <v>8.4999407586328104</v>
      </c>
      <c r="M11" s="485">
        <f>Opex!M7*$C$2</f>
        <v>8.4999407586328104</v>
      </c>
      <c r="N11" s="485">
        <f>Opex!N7*$C$2</f>
        <v>8.4999407586328104</v>
      </c>
      <c r="O11" s="485">
        <f>Opex!O7*$C$2</f>
        <v>8.4999407586328104</v>
      </c>
      <c r="P11" s="485">
        <f>Opex!P7*$C$2</f>
        <v>8.4999407586328104</v>
      </c>
      <c r="Q11" s="485">
        <f>Opex!Q7*$C$2</f>
        <v>8.4999407586328104</v>
      </c>
      <c r="R11" s="485">
        <f>Opex!R7*$C$2</f>
        <v>8.4999407586328104</v>
      </c>
    </row>
    <row r="12" spans="1:33" s="487" customFormat="1" ht="20.100000000000001" customHeight="1" x14ac:dyDescent="0.25">
      <c r="A12" s="379">
        <v>2</v>
      </c>
      <c r="B12" s="468" t="s">
        <v>550</v>
      </c>
      <c r="C12" s="346" t="s">
        <v>536</v>
      </c>
      <c r="D12" s="486">
        <f t="shared" ref="D12:R12" si="0">SUM(D11:D11)</f>
        <v>6.2631142432031242</v>
      </c>
      <c r="E12" s="486">
        <f t="shared" si="0"/>
        <v>7.1578448493749995</v>
      </c>
      <c r="F12" s="486">
        <f t="shared" si="0"/>
        <v>8.4999407586328104</v>
      </c>
      <c r="G12" s="486">
        <f t="shared" si="0"/>
        <v>8.4999407586328104</v>
      </c>
      <c r="H12" s="486">
        <f t="shared" si="0"/>
        <v>8.4999407586328104</v>
      </c>
      <c r="I12" s="486">
        <f t="shared" si="0"/>
        <v>8.4999407586328104</v>
      </c>
      <c r="J12" s="486">
        <f t="shared" si="0"/>
        <v>8.4999407586328104</v>
      </c>
      <c r="K12" s="486">
        <f t="shared" si="0"/>
        <v>8.4999407586328104</v>
      </c>
      <c r="L12" s="486">
        <f t="shared" si="0"/>
        <v>8.4999407586328104</v>
      </c>
      <c r="M12" s="486">
        <f t="shared" si="0"/>
        <v>8.4999407586328104</v>
      </c>
      <c r="N12" s="486">
        <f t="shared" si="0"/>
        <v>8.4999407586328104</v>
      </c>
      <c r="O12" s="486">
        <f t="shared" si="0"/>
        <v>8.4999407586328104</v>
      </c>
      <c r="P12" s="486">
        <f t="shared" si="0"/>
        <v>8.4999407586328104</v>
      </c>
      <c r="Q12" s="486">
        <f t="shared" si="0"/>
        <v>8.4999407586328104</v>
      </c>
      <c r="R12" s="486">
        <f t="shared" si="0"/>
        <v>8.4999407586328104</v>
      </c>
    </row>
    <row r="13" spans="1:33" s="371" customFormat="1" ht="20.100000000000001" customHeight="1" x14ac:dyDescent="0.25">
      <c r="B13" s="488"/>
      <c r="D13" s="489"/>
      <c r="E13" s="489"/>
      <c r="F13" s="489"/>
      <c r="G13" s="489"/>
      <c r="H13" s="489"/>
      <c r="I13" s="489"/>
      <c r="J13" s="489"/>
      <c r="K13" s="489"/>
      <c r="L13" s="489"/>
      <c r="M13" s="489"/>
      <c r="N13" s="489"/>
      <c r="O13" s="489"/>
      <c r="P13" s="489"/>
      <c r="Q13" s="489"/>
      <c r="R13" s="489"/>
    </row>
    <row r="14" spans="1:33" s="468" customFormat="1" ht="20.100000000000001" customHeight="1" x14ac:dyDescent="0.25">
      <c r="A14" s="468" t="s">
        <v>402</v>
      </c>
      <c r="B14" s="490" t="s">
        <v>551</v>
      </c>
      <c r="C14" s="379"/>
      <c r="D14" s="484"/>
      <c r="E14" s="484"/>
      <c r="F14" s="484"/>
      <c r="G14" s="484"/>
      <c r="H14" s="484"/>
      <c r="I14" s="484"/>
      <c r="J14" s="484"/>
      <c r="K14" s="484"/>
      <c r="L14" s="484"/>
      <c r="M14" s="484"/>
      <c r="N14" s="484"/>
      <c r="O14" s="484"/>
      <c r="P14" s="484"/>
      <c r="Q14" s="484"/>
      <c r="R14" s="484"/>
      <c r="S14" s="491"/>
      <c r="T14" s="487"/>
      <c r="U14" s="487"/>
      <c r="V14" s="487"/>
      <c r="W14" s="487"/>
      <c r="X14" s="487"/>
      <c r="Y14" s="487"/>
      <c r="Z14" s="487"/>
      <c r="AA14" s="487"/>
      <c r="AB14" s="487"/>
      <c r="AC14" s="487"/>
      <c r="AD14" s="487"/>
      <c r="AE14" s="487"/>
      <c r="AF14" s="487"/>
      <c r="AG14" s="492"/>
    </row>
    <row r="15" spans="1:33" ht="20.100000000000001" customHeight="1" x14ac:dyDescent="0.25">
      <c r="A15" s="311">
        <v>1</v>
      </c>
      <c r="B15" s="306" t="s">
        <v>558</v>
      </c>
      <c r="C15" s="352" t="s">
        <v>536</v>
      </c>
      <c r="D15" s="476">
        <f>'Cashflow '!F15*$C$6</f>
        <v>10.076822073499999</v>
      </c>
      <c r="E15" s="476">
        <f>'Cashflow '!G15*$C$6</f>
        <v>11.516368084000002</v>
      </c>
      <c r="F15" s="476">
        <f>'Cashflow '!H15*$C$6</f>
        <v>13.67568709975</v>
      </c>
      <c r="G15" s="476">
        <f>'Cashflow '!I15*$C$6</f>
        <v>13.67568709975</v>
      </c>
      <c r="H15" s="476">
        <f>'Cashflow '!J15*$C$6</f>
        <v>13.67568709975</v>
      </c>
      <c r="I15" s="476">
        <f>'Cashflow '!K15*$C$6</f>
        <v>13.67568709975</v>
      </c>
      <c r="J15" s="476">
        <f>'Cashflow '!L15*$C$6</f>
        <v>13.67568709975</v>
      </c>
      <c r="K15" s="476">
        <f>'Cashflow '!M15*$C$6</f>
        <v>13.67568709975</v>
      </c>
      <c r="L15" s="476">
        <f>'Cashflow '!N15*$C$6</f>
        <v>13.67568709975</v>
      </c>
      <c r="M15" s="476">
        <f>'Cashflow '!O15*$C$6</f>
        <v>13.67568709975</v>
      </c>
      <c r="N15" s="476">
        <f>'Cashflow '!P15*$C$6</f>
        <v>13.67568709975</v>
      </c>
      <c r="O15" s="476">
        <f>'Cashflow '!Q15*$C$6</f>
        <v>13.67568709975</v>
      </c>
      <c r="P15" s="476">
        <f>'Cashflow '!R15*$C$6</f>
        <v>13.67568709975</v>
      </c>
      <c r="Q15" s="476">
        <f>'Cashflow '!S15*$C$6</f>
        <v>13.67568709975</v>
      </c>
      <c r="R15" s="476">
        <f>'Cashflow '!T15*$C$6</f>
        <v>13.67568709975</v>
      </c>
    </row>
    <row r="16" spans="1:33" ht="20.100000000000001" customHeight="1" x14ac:dyDescent="0.25">
      <c r="A16" s="311">
        <v>2</v>
      </c>
      <c r="B16" s="306" t="s">
        <v>139</v>
      </c>
      <c r="C16" s="352" t="s">
        <v>536</v>
      </c>
      <c r="D16" s="476">
        <f>'Cashflow '!F14*$C$7</f>
        <v>3.6863820000372655E-6</v>
      </c>
      <c r="E16" s="476">
        <f>'Cashflow '!G14*$C$7</f>
        <v>4.2130079995059354E-6</v>
      </c>
      <c r="F16" s="476">
        <f>'Cashflow '!H14*$C$7</f>
        <v>5.0029470002115704E-6</v>
      </c>
      <c r="G16" s="476">
        <f>'Cashflow '!I14*$C$7</f>
        <v>5.0029470002115704E-6</v>
      </c>
      <c r="H16" s="476">
        <f>'Cashflow '!J14*$C$7</f>
        <v>5.0029470002115704E-6</v>
      </c>
      <c r="I16" s="476">
        <f>'Cashflow '!K14*$C$7</f>
        <v>5.0029470002115704E-6</v>
      </c>
      <c r="J16" s="476">
        <f>'Cashflow '!L14*$C$7</f>
        <v>5.0029470002115704E-6</v>
      </c>
      <c r="K16" s="476">
        <f>'Cashflow '!M14*$C$7</f>
        <v>5.0029470002115704E-6</v>
      </c>
      <c r="L16" s="476">
        <f>'Cashflow '!N14*$C$7</f>
        <v>5.0029470002115704E-6</v>
      </c>
      <c r="M16" s="476">
        <f>'Cashflow '!O14*$C$7</f>
        <v>5.0029470002115704E-6</v>
      </c>
      <c r="N16" s="476">
        <f>'Cashflow '!P14*$C$7</f>
        <v>5.0029470002115704E-6</v>
      </c>
      <c r="O16" s="476">
        <f>'Cashflow '!Q14*$C$7</f>
        <v>5.0029470002115704E-6</v>
      </c>
      <c r="P16" s="476">
        <f>'Cashflow '!R14*$C$7</f>
        <v>5.0029470002115704E-6</v>
      </c>
      <c r="Q16" s="476">
        <f>'Cashflow '!S14*$C$7</f>
        <v>5.0029470002115704E-6</v>
      </c>
      <c r="R16" s="476">
        <f>'Cashflow '!T14*$C$7</f>
        <v>5.0029470002115704E-6</v>
      </c>
    </row>
    <row r="17" spans="1:33" ht="20.100000000000001" customHeight="1" x14ac:dyDescent="0.25">
      <c r="A17" s="298">
        <v>3</v>
      </c>
      <c r="B17" s="470" t="s">
        <v>560</v>
      </c>
      <c r="C17" s="346" t="s">
        <v>536</v>
      </c>
      <c r="D17" s="478">
        <f t="shared" ref="D17:R17" si="1">SUM(D15:D16)</f>
        <v>10.076825759881999</v>
      </c>
      <c r="E17" s="478">
        <f t="shared" si="1"/>
        <v>11.516372297008001</v>
      </c>
      <c r="F17" s="478">
        <f t="shared" si="1"/>
        <v>13.675692102697001</v>
      </c>
      <c r="G17" s="478">
        <f t="shared" si="1"/>
        <v>13.675692102697001</v>
      </c>
      <c r="H17" s="478">
        <f t="shared" si="1"/>
        <v>13.675692102697001</v>
      </c>
      <c r="I17" s="478">
        <f t="shared" si="1"/>
        <v>13.675692102697001</v>
      </c>
      <c r="J17" s="478">
        <f t="shared" si="1"/>
        <v>13.675692102697001</v>
      </c>
      <c r="K17" s="478">
        <f t="shared" si="1"/>
        <v>13.675692102697001</v>
      </c>
      <c r="L17" s="478">
        <f t="shared" si="1"/>
        <v>13.675692102697001</v>
      </c>
      <c r="M17" s="478">
        <f t="shared" si="1"/>
        <v>13.675692102697001</v>
      </c>
      <c r="N17" s="478">
        <f t="shared" si="1"/>
        <v>13.675692102697001</v>
      </c>
      <c r="O17" s="478">
        <f t="shared" si="1"/>
        <v>13.675692102697001</v>
      </c>
      <c r="P17" s="478">
        <f t="shared" si="1"/>
        <v>13.675692102697001</v>
      </c>
      <c r="Q17" s="478">
        <f t="shared" si="1"/>
        <v>13.675692102697001</v>
      </c>
      <c r="R17" s="478">
        <f t="shared" si="1"/>
        <v>13.675692102697001</v>
      </c>
      <c r="S17" s="479"/>
    </row>
    <row r="18" spans="1:33" ht="20.100000000000001" customHeight="1" x14ac:dyDescent="0.25">
      <c r="B18" s="304"/>
      <c r="D18" s="480"/>
      <c r="E18" s="480"/>
      <c r="F18" s="480"/>
      <c r="G18" s="480"/>
      <c r="H18" s="480"/>
      <c r="I18" s="480"/>
      <c r="J18" s="480"/>
      <c r="K18" s="480"/>
      <c r="L18" s="480"/>
      <c r="M18" s="480"/>
      <c r="N18" s="480"/>
      <c r="O18" s="480"/>
      <c r="P18" s="480"/>
      <c r="Q18" s="480"/>
      <c r="R18" s="480"/>
    </row>
    <row r="19" spans="1:33" s="468" customFormat="1" ht="20.100000000000001" customHeight="1" x14ac:dyDescent="0.25">
      <c r="A19" s="468" t="s">
        <v>402</v>
      </c>
      <c r="B19" s="388" t="s">
        <v>561</v>
      </c>
      <c r="C19" s="672">
        <f>(Capex!B5+Capex!B7+Capex!B6)*C3</f>
        <v>70.064999999999998</v>
      </c>
      <c r="D19" s="469"/>
      <c r="E19" s="469"/>
      <c r="F19" s="469"/>
      <c r="G19" s="469"/>
      <c r="H19" s="469"/>
      <c r="I19" s="469"/>
      <c r="J19" s="469"/>
      <c r="K19" s="469"/>
      <c r="L19" s="469"/>
      <c r="M19" s="469"/>
      <c r="N19" s="469"/>
      <c r="O19" s="469"/>
      <c r="P19" s="469"/>
      <c r="Q19" s="469"/>
      <c r="R19" s="469"/>
      <c r="S19" s="491"/>
      <c r="T19" s="487"/>
      <c r="U19" s="487"/>
      <c r="V19" s="487"/>
      <c r="W19" s="487"/>
      <c r="X19" s="487"/>
      <c r="Y19" s="487"/>
      <c r="Z19" s="487"/>
      <c r="AA19" s="487"/>
      <c r="AB19" s="487"/>
      <c r="AC19" s="487"/>
      <c r="AD19" s="487"/>
      <c r="AE19" s="487"/>
      <c r="AF19" s="487"/>
      <c r="AG19" s="492"/>
    </row>
    <row r="20" spans="1:33" ht="26.1" customHeight="1" x14ac:dyDescent="0.25">
      <c r="A20" s="311">
        <v>1</v>
      </c>
      <c r="B20" s="313" t="s">
        <v>559</v>
      </c>
      <c r="C20" s="352" t="s">
        <v>536</v>
      </c>
      <c r="D20" s="477"/>
      <c r="E20" s="477"/>
      <c r="F20" s="477"/>
      <c r="G20" s="477"/>
      <c r="H20" s="477"/>
      <c r="I20" s="477"/>
      <c r="J20" s="477"/>
      <c r="K20" s="477"/>
      <c r="L20" s="477"/>
      <c r="M20" s="477"/>
      <c r="N20" s="477"/>
      <c r="O20" s="477"/>
      <c r="P20" s="477"/>
      <c r="Q20" s="477"/>
      <c r="R20" s="477"/>
      <c r="S20" s="300"/>
    </row>
    <row r="21" spans="1:33" ht="26.1" customHeight="1" x14ac:dyDescent="0.25">
      <c r="A21" s="311">
        <v>2</v>
      </c>
      <c r="B21" s="481" t="s">
        <v>552</v>
      </c>
      <c r="C21" s="352" t="s">
        <v>536</v>
      </c>
      <c r="D21" s="477">
        <f t="shared" ref="D21:R21" si="2">IF((D10&lt;=5),$C$19/5,0)</f>
        <v>14.013</v>
      </c>
      <c r="E21" s="477">
        <f t="shared" si="2"/>
        <v>14.013</v>
      </c>
      <c r="F21" s="477">
        <f t="shared" si="2"/>
        <v>14.013</v>
      </c>
      <c r="G21" s="477">
        <f t="shared" si="2"/>
        <v>14.013</v>
      </c>
      <c r="H21" s="477">
        <f t="shared" si="2"/>
        <v>14.013</v>
      </c>
      <c r="I21" s="477">
        <f t="shared" si="2"/>
        <v>0</v>
      </c>
      <c r="J21" s="477">
        <f t="shared" si="2"/>
        <v>0</v>
      </c>
      <c r="K21" s="477">
        <f t="shared" si="2"/>
        <v>0</v>
      </c>
      <c r="L21" s="477">
        <f t="shared" si="2"/>
        <v>0</v>
      </c>
      <c r="M21" s="477">
        <f t="shared" si="2"/>
        <v>0</v>
      </c>
      <c r="N21" s="477">
        <f t="shared" si="2"/>
        <v>0</v>
      </c>
      <c r="O21" s="477">
        <f t="shared" si="2"/>
        <v>0</v>
      </c>
      <c r="P21" s="477">
        <f t="shared" si="2"/>
        <v>0</v>
      </c>
      <c r="Q21" s="477">
        <f t="shared" si="2"/>
        <v>0</v>
      </c>
      <c r="R21" s="477">
        <f t="shared" si="2"/>
        <v>0</v>
      </c>
      <c r="S21" s="300"/>
    </row>
    <row r="22" spans="1:33" ht="20.100000000000001" customHeight="1" x14ac:dyDescent="0.25">
      <c r="A22" s="311">
        <v>3</v>
      </c>
      <c r="B22" s="313" t="s">
        <v>563</v>
      </c>
      <c r="C22" s="352" t="s">
        <v>536</v>
      </c>
      <c r="D22" s="477">
        <f>D21+D12</f>
        <v>20.276114243203125</v>
      </c>
      <c r="E22" s="477">
        <f t="shared" ref="E22:R22" si="3">E21+E12</f>
        <v>21.170844849375001</v>
      </c>
      <c r="F22" s="477">
        <f t="shared" si="3"/>
        <v>22.512940758632809</v>
      </c>
      <c r="G22" s="477">
        <f t="shared" si="3"/>
        <v>22.512940758632809</v>
      </c>
      <c r="H22" s="477">
        <f t="shared" si="3"/>
        <v>22.512940758632809</v>
      </c>
      <c r="I22" s="477">
        <f t="shared" si="3"/>
        <v>8.4999407586328104</v>
      </c>
      <c r="J22" s="477">
        <f t="shared" si="3"/>
        <v>8.4999407586328104</v>
      </c>
      <c r="K22" s="477">
        <f t="shared" si="3"/>
        <v>8.4999407586328104</v>
      </c>
      <c r="L22" s="477">
        <f t="shared" si="3"/>
        <v>8.4999407586328104</v>
      </c>
      <c r="M22" s="477">
        <f t="shared" si="3"/>
        <v>8.4999407586328104</v>
      </c>
      <c r="N22" s="477">
        <f t="shared" si="3"/>
        <v>8.4999407586328104</v>
      </c>
      <c r="O22" s="477">
        <f t="shared" si="3"/>
        <v>8.4999407586328104</v>
      </c>
      <c r="P22" s="477">
        <f t="shared" si="3"/>
        <v>8.4999407586328104</v>
      </c>
      <c r="Q22" s="477">
        <f t="shared" si="3"/>
        <v>8.4999407586328104</v>
      </c>
      <c r="R22" s="477">
        <f t="shared" si="3"/>
        <v>8.4999407586328104</v>
      </c>
      <c r="S22" s="300"/>
    </row>
    <row r="23" spans="1:33" ht="20.100000000000001" customHeight="1" x14ac:dyDescent="0.25">
      <c r="A23" s="311">
        <v>4</v>
      </c>
      <c r="B23" s="313" t="s">
        <v>564</v>
      </c>
      <c r="C23" s="352" t="s">
        <v>536</v>
      </c>
      <c r="D23" s="477">
        <f t="shared" ref="D23:R23" si="4">D17</f>
        <v>10.076825759881999</v>
      </c>
      <c r="E23" s="477">
        <f t="shared" si="4"/>
        <v>11.516372297008001</v>
      </c>
      <c r="F23" s="477">
        <f t="shared" si="4"/>
        <v>13.675692102697001</v>
      </c>
      <c r="G23" s="477">
        <f t="shared" si="4"/>
        <v>13.675692102697001</v>
      </c>
      <c r="H23" s="477">
        <f t="shared" si="4"/>
        <v>13.675692102697001</v>
      </c>
      <c r="I23" s="477">
        <f t="shared" si="4"/>
        <v>13.675692102697001</v>
      </c>
      <c r="J23" s="477">
        <f t="shared" si="4"/>
        <v>13.675692102697001</v>
      </c>
      <c r="K23" s="477">
        <f t="shared" si="4"/>
        <v>13.675692102697001</v>
      </c>
      <c r="L23" s="477">
        <f t="shared" si="4"/>
        <v>13.675692102697001</v>
      </c>
      <c r="M23" s="477">
        <f t="shared" si="4"/>
        <v>13.675692102697001</v>
      </c>
      <c r="N23" s="477">
        <f t="shared" si="4"/>
        <v>13.675692102697001</v>
      </c>
      <c r="O23" s="477">
        <f t="shared" si="4"/>
        <v>13.675692102697001</v>
      </c>
      <c r="P23" s="477">
        <f t="shared" si="4"/>
        <v>13.675692102697001</v>
      </c>
      <c r="Q23" s="477">
        <f t="shared" si="4"/>
        <v>13.675692102697001</v>
      </c>
      <c r="R23" s="477">
        <f t="shared" si="4"/>
        <v>13.675692102697001</v>
      </c>
      <c r="S23" s="300"/>
    </row>
    <row r="24" spans="1:33" ht="20.100000000000001" customHeight="1" x14ac:dyDescent="0.25">
      <c r="A24" s="311">
        <v>5</v>
      </c>
      <c r="B24" s="312" t="s">
        <v>553</v>
      </c>
      <c r="C24" s="477">
        <v>0</v>
      </c>
      <c r="D24" s="477">
        <f t="shared" ref="D24:R24" si="5">IF((C24+D22-D23)&gt;=0,(C24+D22-D23),0)</f>
        <v>10.199288483321126</v>
      </c>
      <c r="E24" s="477">
        <f t="shared" si="5"/>
        <v>19.853761035688127</v>
      </c>
      <c r="F24" s="477">
        <f t="shared" si="5"/>
        <v>28.691009691623933</v>
      </c>
      <c r="G24" s="477">
        <f t="shared" si="5"/>
        <v>37.528258347559742</v>
      </c>
      <c r="H24" s="477">
        <f t="shared" si="5"/>
        <v>46.365507003495551</v>
      </c>
      <c r="I24" s="477">
        <f t="shared" si="5"/>
        <v>41.189755659431363</v>
      </c>
      <c r="J24" s="477">
        <f t="shared" si="5"/>
        <v>36.014004315367174</v>
      </c>
      <c r="K24" s="477">
        <f t="shared" si="5"/>
        <v>30.838252971302985</v>
      </c>
      <c r="L24" s="477">
        <f t="shared" si="5"/>
        <v>25.662501627238797</v>
      </c>
      <c r="M24" s="477">
        <f t="shared" si="5"/>
        <v>20.486750283174608</v>
      </c>
      <c r="N24" s="477">
        <f t="shared" si="5"/>
        <v>15.310998939110418</v>
      </c>
      <c r="O24" s="477">
        <f t="shared" si="5"/>
        <v>10.135247595046229</v>
      </c>
      <c r="P24" s="477">
        <f t="shared" si="5"/>
        <v>4.9594962509820402</v>
      </c>
      <c r="Q24" s="477">
        <f t="shared" si="5"/>
        <v>0</v>
      </c>
      <c r="R24" s="477">
        <f t="shared" si="5"/>
        <v>0</v>
      </c>
    </row>
    <row r="25" spans="1:33" s="297" customFormat="1" ht="20.100000000000001" customHeight="1" x14ac:dyDescent="0.25">
      <c r="A25" s="314">
        <v>6</v>
      </c>
      <c r="B25" s="482" t="s">
        <v>562</v>
      </c>
      <c r="C25" s="346" t="s">
        <v>536</v>
      </c>
      <c r="D25" s="483">
        <f t="shared" ref="D25:R25" si="6">IF((D24&gt;0),0,(D23-D22))</f>
        <v>0</v>
      </c>
      <c r="E25" s="483">
        <f t="shared" si="6"/>
        <v>0</v>
      </c>
      <c r="F25" s="483">
        <f t="shared" si="6"/>
        <v>0</v>
      </c>
      <c r="G25" s="483">
        <f t="shared" si="6"/>
        <v>0</v>
      </c>
      <c r="H25" s="483">
        <f t="shared" si="6"/>
        <v>0</v>
      </c>
      <c r="I25" s="483">
        <f t="shared" si="6"/>
        <v>0</v>
      </c>
      <c r="J25" s="483">
        <f t="shared" si="6"/>
        <v>0</v>
      </c>
      <c r="K25" s="483">
        <f t="shared" si="6"/>
        <v>0</v>
      </c>
      <c r="L25" s="483">
        <f t="shared" si="6"/>
        <v>0</v>
      </c>
      <c r="M25" s="483">
        <f t="shared" si="6"/>
        <v>0</v>
      </c>
      <c r="N25" s="483">
        <f t="shared" si="6"/>
        <v>0</v>
      </c>
      <c r="O25" s="483">
        <f t="shared" si="6"/>
        <v>0</v>
      </c>
      <c r="P25" s="483">
        <f t="shared" si="6"/>
        <v>0</v>
      </c>
      <c r="Q25" s="483">
        <f t="shared" si="6"/>
        <v>5.1757513440641905</v>
      </c>
      <c r="R25" s="483">
        <f t="shared" si="6"/>
        <v>5.1757513440641905</v>
      </c>
      <c r="T25" s="493"/>
      <c r="U25" s="493"/>
      <c r="V25" s="493"/>
      <c r="W25" s="493"/>
      <c r="X25" s="493"/>
      <c r="Y25" s="493"/>
      <c r="Z25" s="493"/>
      <c r="AA25" s="493"/>
      <c r="AB25" s="493"/>
      <c r="AC25" s="493"/>
      <c r="AD25" s="493"/>
      <c r="AE25" s="493"/>
      <c r="AF25" s="493"/>
    </row>
    <row r="26" spans="1:33" ht="15" customHeight="1" x14ac:dyDescent="0.25">
      <c r="H26" s="305"/>
    </row>
    <row r="28" spans="1:33" x14ac:dyDescent="0.25">
      <c r="H28" s="305"/>
    </row>
    <row r="29" spans="1:33" x14ac:dyDescent="0.25">
      <c r="H29" s="305"/>
    </row>
    <row r="31" spans="1:33" x14ac:dyDescent="0.25">
      <c r="H31" s="305"/>
    </row>
    <row r="32" spans="1:33" ht="15" customHeight="1" x14ac:dyDescent="0.25">
      <c r="H32" s="305"/>
    </row>
  </sheetData>
  <mergeCells count="1">
    <mergeCell ref="B9:R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0"/>
  <sheetViews>
    <sheetView topLeftCell="B1" workbookViewId="0">
      <selection activeCell="G6" sqref="G6"/>
    </sheetView>
  </sheetViews>
  <sheetFormatPr defaultColWidth="9.140625" defaultRowHeight="12.75" x14ac:dyDescent="0.2"/>
  <cols>
    <col min="1" max="1" width="9.140625" style="602"/>
    <col min="2" max="2" width="34.85546875" style="602" customWidth="1"/>
    <col min="3" max="3" width="14.28515625" style="602" customWidth="1"/>
    <col min="4" max="16384" width="9.140625" style="602"/>
  </cols>
  <sheetData>
    <row r="1" spans="1:18" x14ac:dyDescent="0.2">
      <c r="B1" s="640" t="s">
        <v>543</v>
      </c>
    </row>
    <row r="2" spans="1:18" x14ac:dyDescent="0.2">
      <c r="A2" s="314" t="s">
        <v>402</v>
      </c>
      <c r="B2" s="641" t="s">
        <v>333</v>
      </c>
      <c r="C2" s="314" t="s">
        <v>536</v>
      </c>
      <c r="D2" s="314" t="s">
        <v>470</v>
      </c>
      <c r="E2" s="314" t="s">
        <v>471</v>
      </c>
      <c r="H2" s="642"/>
      <c r="I2" s="642"/>
      <c r="J2" s="642"/>
      <c r="K2" s="642"/>
      <c r="L2" s="642"/>
      <c r="M2" s="642"/>
      <c r="N2" s="642"/>
      <c r="O2" s="642"/>
      <c r="P2" s="642"/>
      <c r="Q2" s="642"/>
      <c r="R2" s="642"/>
    </row>
    <row r="3" spans="1:18" x14ac:dyDescent="0.2">
      <c r="A3" s="298">
        <v>1</v>
      </c>
      <c r="B3" s="643" t="s">
        <v>58</v>
      </c>
      <c r="C3" s="644">
        <f>Capex!B5</f>
        <v>362.25</v>
      </c>
      <c r="D3" s="645">
        <v>6.3299999999999995E-2</v>
      </c>
      <c r="E3" s="646">
        <v>0.15</v>
      </c>
      <c r="H3" s="642"/>
      <c r="I3" s="642"/>
      <c r="J3" s="642"/>
      <c r="K3" s="642"/>
      <c r="L3" s="642"/>
      <c r="M3" s="642"/>
      <c r="N3" s="642"/>
      <c r="O3" s="642"/>
      <c r="P3" s="642"/>
      <c r="Q3" s="642"/>
      <c r="R3" s="642"/>
    </row>
    <row r="4" spans="1:18" x14ac:dyDescent="0.2">
      <c r="A4" s="298">
        <v>2</v>
      </c>
      <c r="B4" s="299" t="s">
        <v>473</v>
      </c>
      <c r="C4" s="644">
        <f>Capex!B4</f>
        <v>6</v>
      </c>
      <c r="D4" s="645">
        <v>3.1699999999999999E-2</v>
      </c>
      <c r="E4" s="646">
        <v>0.1</v>
      </c>
      <c r="H4" s="642"/>
      <c r="I4" s="642"/>
      <c r="J4" s="642"/>
      <c r="K4" s="642"/>
      <c r="L4" s="642"/>
      <c r="M4" s="642"/>
      <c r="N4" s="642"/>
      <c r="O4" s="642"/>
      <c r="P4" s="642"/>
      <c r="Q4" s="642"/>
      <c r="R4" s="642"/>
    </row>
    <row r="5" spans="1:18" x14ac:dyDescent="0.2">
      <c r="A5" s="298">
        <v>3</v>
      </c>
      <c r="B5" s="299" t="s">
        <v>472</v>
      </c>
      <c r="C5" s="644">
        <f>Capex!B11-C3-C4</f>
        <v>106.41175000000004</v>
      </c>
      <c r="D5" s="645">
        <v>6.3299999999999995E-2</v>
      </c>
      <c r="E5" s="646">
        <v>0.15</v>
      </c>
      <c r="H5" s="642"/>
      <c r="I5" s="642" t="s">
        <v>249</v>
      </c>
      <c r="J5" s="642"/>
      <c r="K5" s="642"/>
      <c r="L5" s="642"/>
      <c r="M5" s="642"/>
      <c r="N5" s="642"/>
      <c r="O5" s="642"/>
      <c r="P5" s="642"/>
      <c r="Q5" s="642"/>
      <c r="R5" s="642"/>
    </row>
    <row r="6" spans="1:18" x14ac:dyDescent="0.2">
      <c r="A6" s="298">
        <v>4</v>
      </c>
      <c r="B6" s="647" t="s">
        <v>47</v>
      </c>
      <c r="C6" s="648">
        <f>SUM(C3:C5)</f>
        <v>474.66175000000004</v>
      </c>
      <c r="D6" s="642"/>
      <c r="E6" s="642"/>
      <c r="F6" s="642"/>
      <c r="G6" s="642"/>
      <c r="H6" s="642"/>
      <c r="I6" s="642"/>
      <c r="J6" s="642"/>
      <c r="K6" s="642"/>
      <c r="L6" s="642"/>
      <c r="M6" s="642"/>
      <c r="N6" s="642"/>
      <c r="O6" s="642"/>
      <c r="P6" s="642"/>
      <c r="Q6" s="642"/>
      <c r="R6" s="642"/>
    </row>
    <row r="7" spans="1:18" x14ac:dyDescent="0.2">
      <c r="A7" s="300"/>
      <c r="B7" s="649"/>
      <c r="C7" s="650"/>
      <c r="D7" s="301"/>
      <c r="E7" s="301"/>
      <c r="F7" s="301"/>
      <c r="G7" s="642"/>
      <c r="H7" s="642"/>
      <c r="I7" s="642"/>
      <c r="J7" s="642"/>
      <c r="K7" s="642"/>
      <c r="L7" s="642"/>
      <c r="M7" s="642"/>
      <c r="N7" s="642"/>
      <c r="O7" s="642"/>
      <c r="P7" s="642"/>
      <c r="Q7" s="642"/>
      <c r="R7" s="642"/>
    </row>
    <row r="8" spans="1:18" ht="15.75" x14ac:dyDescent="0.2">
      <c r="A8" s="752" t="s">
        <v>544</v>
      </c>
      <c r="B8" s="752"/>
      <c r="C8" s="752"/>
      <c r="D8" s="752"/>
      <c r="E8" s="752"/>
      <c r="F8" s="752"/>
      <c r="G8" s="752"/>
      <c r="H8" s="752"/>
      <c r="I8" s="752"/>
      <c r="J8" s="752"/>
      <c r="K8" s="752"/>
      <c r="L8" s="752"/>
      <c r="M8" s="752"/>
      <c r="N8" s="752"/>
      <c r="O8" s="752"/>
      <c r="P8" s="752"/>
      <c r="Q8" s="752"/>
      <c r="R8" s="752"/>
    </row>
    <row r="9" spans="1:18" s="640" customFormat="1" x14ac:dyDescent="0.2">
      <c r="A9" s="314" t="s">
        <v>402</v>
      </c>
      <c r="B9" s="314" t="s">
        <v>333</v>
      </c>
      <c r="C9" s="651" t="s">
        <v>436</v>
      </c>
      <c r="D9" s="651">
        <v>1</v>
      </c>
      <c r="E9" s="651">
        <v>2</v>
      </c>
      <c r="F9" s="651">
        <v>3</v>
      </c>
      <c r="G9" s="651">
        <v>4</v>
      </c>
      <c r="H9" s="651">
        <v>5</v>
      </c>
      <c r="I9" s="651">
        <v>6</v>
      </c>
      <c r="J9" s="651">
        <v>7</v>
      </c>
      <c r="K9" s="651">
        <v>8</v>
      </c>
      <c r="L9" s="651">
        <v>9</v>
      </c>
      <c r="M9" s="651">
        <v>10</v>
      </c>
      <c r="N9" s="651">
        <v>11</v>
      </c>
      <c r="O9" s="651">
        <v>12</v>
      </c>
      <c r="P9" s="651">
        <v>13</v>
      </c>
      <c r="Q9" s="651">
        <v>14</v>
      </c>
      <c r="R9" s="651">
        <v>15</v>
      </c>
    </row>
    <row r="10" spans="1:18" x14ac:dyDescent="0.2">
      <c r="A10" s="652">
        <v>1</v>
      </c>
      <c r="B10" s="653" t="str">
        <f>B3</f>
        <v>Plant &amp; Machinery</v>
      </c>
      <c r="C10" s="314" t="s">
        <v>536</v>
      </c>
      <c r="D10" s="678">
        <f>$C$3*$D$3</f>
        <v>22.930425</v>
      </c>
      <c r="E10" s="678">
        <f t="shared" ref="E10:R10" si="0">$C$3*$D$3</f>
        <v>22.930425</v>
      </c>
      <c r="F10" s="678">
        <f t="shared" si="0"/>
        <v>22.930425</v>
      </c>
      <c r="G10" s="678">
        <f t="shared" si="0"/>
        <v>22.930425</v>
      </c>
      <c r="H10" s="678">
        <f t="shared" si="0"/>
        <v>22.930425</v>
      </c>
      <c r="I10" s="678">
        <f t="shared" si="0"/>
        <v>22.930425</v>
      </c>
      <c r="J10" s="678">
        <f t="shared" si="0"/>
        <v>22.930425</v>
      </c>
      <c r="K10" s="678">
        <f t="shared" si="0"/>
        <v>22.930425</v>
      </c>
      <c r="L10" s="678">
        <f t="shared" si="0"/>
        <v>22.930425</v>
      </c>
      <c r="M10" s="678">
        <f t="shared" si="0"/>
        <v>22.930425</v>
      </c>
      <c r="N10" s="678">
        <f t="shared" si="0"/>
        <v>22.930425</v>
      </c>
      <c r="O10" s="678">
        <f t="shared" si="0"/>
        <v>22.930425</v>
      </c>
      <c r="P10" s="678">
        <f t="shared" si="0"/>
        <v>22.930425</v>
      </c>
      <c r="Q10" s="678">
        <f t="shared" si="0"/>
        <v>22.930425</v>
      </c>
      <c r="R10" s="678">
        <f t="shared" si="0"/>
        <v>22.930425</v>
      </c>
    </row>
    <row r="11" spans="1:18" x14ac:dyDescent="0.2">
      <c r="A11" s="652">
        <v>2</v>
      </c>
      <c r="B11" s="653" t="str">
        <f>B4</f>
        <v>Civil Works-building &amp; site development</v>
      </c>
      <c r="C11" s="654" t="str">
        <f>C10</f>
        <v>INR Cr</v>
      </c>
      <c r="D11" s="678">
        <f>$C$4*$D$4</f>
        <v>0.19019999999999998</v>
      </c>
      <c r="E11" s="678">
        <f t="shared" ref="E11:R11" si="1">$C$4*$D$4</f>
        <v>0.19019999999999998</v>
      </c>
      <c r="F11" s="678">
        <f t="shared" si="1"/>
        <v>0.19019999999999998</v>
      </c>
      <c r="G11" s="678">
        <f t="shared" si="1"/>
        <v>0.19019999999999998</v>
      </c>
      <c r="H11" s="678">
        <f t="shared" si="1"/>
        <v>0.19019999999999998</v>
      </c>
      <c r="I11" s="678">
        <f t="shared" si="1"/>
        <v>0.19019999999999998</v>
      </c>
      <c r="J11" s="678">
        <f t="shared" si="1"/>
        <v>0.19019999999999998</v>
      </c>
      <c r="K11" s="678">
        <f t="shared" si="1"/>
        <v>0.19019999999999998</v>
      </c>
      <c r="L11" s="678">
        <f t="shared" si="1"/>
        <v>0.19019999999999998</v>
      </c>
      <c r="M11" s="678">
        <f t="shared" si="1"/>
        <v>0.19019999999999998</v>
      </c>
      <c r="N11" s="678">
        <f t="shared" si="1"/>
        <v>0.19019999999999998</v>
      </c>
      <c r="O11" s="678">
        <f t="shared" si="1"/>
        <v>0.19019999999999998</v>
      </c>
      <c r="P11" s="678">
        <f t="shared" si="1"/>
        <v>0.19019999999999998</v>
      </c>
      <c r="Q11" s="678">
        <f t="shared" si="1"/>
        <v>0.19019999999999998</v>
      </c>
      <c r="R11" s="678">
        <f t="shared" si="1"/>
        <v>0.19019999999999998</v>
      </c>
    </row>
    <row r="12" spans="1:18" x14ac:dyDescent="0.2">
      <c r="A12" s="652">
        <v>3</v>
      </c>
      <c r="B12" s="653" t="str">
        <f>B5</f>
        <v>Miscellaneous</v>
      </c>
      <c r="C12" s="655" t="str">
        <f>C10</f>
        <v>INR Cr</v>
      </c>
      <c r="D12" s="678">
        <f>$C$5*$D$5</f>
        <v>6.7358637750000021</v>
      </c>
      <c r="E12" s="678">
        <f t="shared" ref="E12:R12" si="2">$C$5*$D$5</f>
        <v>6.7358637750000021</v>
      </c>
      <c r="F12" s="678">
        <f t="shared" si="2"/>
        <v>6.7358637750000021</v>
      </c>
      <c r="G12" s="678">
        <f t="shared" si="2"/>
        <v>6.7358637750000021</v>
      </c>
      <c r="H12" s="678">
        <f t="shared" si="2"/>
        <v>6.7358637750000021</v>
      </c>
      <c r="I12" s="678">
        <f t="shared" si="2"/>
        <v>6.7358637750000021</v>
      </c>
      <c r="J12" s="678">
        <f t="shared" si="2"/>
        <v>6.7358637750000021</v>
      </c>
      <c r="K12" s="678">
        <f t="shared" si="2"/>
        <v>6.7358637750000021</v>
      </c>
      <c r="L12" s="678">
        <f t="shared" si="2"/>
        <v>6.7358637750000021</v>
      </c>
      <c r="M12" s="678">
        <f t="shared" si="2"/>
        <v>6.7358637750000021</v>
      </c>
      <c r="N12" s="678">
        <f t="shared" si="2"/>
        <v>6.7358637750000021</v>
      </c>
      <c r="O12" s="678">
        <f t="shared" si="2"/>
        <v>6.7358637750000021</v>
      </c>
      <c r="P12" s="678">
        <f t="shared" si="2"/>
        <v>6.7358637750000021</v>
      </c>
      <c r="Q12" s="678">
        <f t="shared" si="2"/>
        <v>6.7358637750000021</v>
      </c>
      <c r="R12" s="678">
        <f t="shared" si="2"/>
        <v>6.7358637750000021</v>
      </c>
    </row>
    <row r="13" spans="1:18" s="640" customFormat="1" x14ac:dyDescent="0.2">
      <c r="A13" s="651">
        <v>4</v>
      </c>
      <c r="B13" s="656" t="s">
        <v>474</v>
      </c>
      <c r="C13" s="651" t="str">
        <f>C10</f>
        <v>INR Cr</v>
      </c>
      <c r="D13" s="657">
        <f>SUM(D10:D12)</f>
        <v>29.856488775000003</v>
      </c>
      <c r="E13" s="657">
        <f t="shared" ref="E13:R13" si="3">SUM(E10:E12)</f>
        <v>29.856488775000003</v>
      </c>
      <c r="F13" s="657">
        <f t="shared" si="3"/>
        <v>29.856488775000003</v>
      </c>
      <c r="G13" s="657">
        <f t="shared" si="3"/>
        <v>29.856488775000003</v>
      </c>
      <c r="H13" s="657">
        <f t="shared" si="3"/>
        <v>29.856488775000003</v>
      </c>
      <c r="I13" s="657">
        <f t="shared" si="3"/>
        <v>29.856488775000003</v>
      </c>
      <c r="J13" s="657">
        <f t="shared" si="3"/>
        <v>29.856488775000003</v>
      </c>
      <c r="K13" s="657">
        <f t="shared" si="3"/>
        <v>29.856488775000003</v>
      </c>
      <c r="L13" s="657">
        <f t="shared" si="3"/>
        <v>29.856488775000003</v>
      </c>
      <c r="M13" s="657">
        <f t="shared" si="3"/>
        <v>29.856488775000003</v>
      </c>
      <c r="N13" s="657">
        <f t="shared" si="3"/>
        <v>29.856488775000003</v>
      </c>
      <c r="O13" s="657">
        <f t="shared" si="3"/>
        <v>29.856488775000003</v>
      </c>
      <c r="P13" s="657">
        <f t="shared" si="3"/>
        <v>29.856488775000003</v>
      </c>
      <c r="Q13" s="657">
        <f t="shared" si="3"/>
        <v>29.856488775000003</v>
      </c>
      <c r="R13" s="657">
        <f t="shared" si="3"/>
        <v>29.856488775000003</v>
      </c>
    </row>
    <row r="14" spans="1:18" x14ac:dyDescent="0.2">
      <c r="A14" s="652"/>
      <c r="B14" s="642"/>
      <c r="C14" s="642"/>
      <c r="D14" s="642"/>
      <c r="E14" s="642"/>
      <c r="F14" s="642"/>
      <c r="G14" s="642"/>
      <c r="H14" s="642"/>
      <c r="I14" s="642"/>
      <c r="J14" s="642"/>
      <c r="K14" s="642"/>
      <c r="L14" s="642"/>
      <c r="M14" s="642"/>
      <c r="N14" s="642"/>
      <c r="O14" s="642"/>
      <c r="P14" s="642"/>
      <c r="Q14" s="642"/>
      <c r="R14" s="642"/>
    </row>
    <row r="15" spans="1:18" ht="15.75" x14ac:dyDescent="0.2">
      <c r="A15" s="752" t="s">
        <v>545</v>
      </c>
      <c r="B15" s="752"/>
      <c r="C15" s="752"/>
      <c r="D15" s="752"/>
      <c r="E15" s="752"/>
      <c r="F15" s="752"/>
      <c r="G15" s="752"/>
      <c r="H15" s="752"/>
      <c r="I15" s="752"/>
      <c r="J15" s="752"/>
      <c r="K15" s="752"/>
      <c r="L15" s="752"/>
      <c r="M15" s="752"/>
      <c r="N15" s="752"/>
      <c r="O15" s="752"/>
      <c r="P15" s="752"/>
      <c r="Q15" s="752"/>
      <c r="R15" s="752"/>
    </row>
    <row r="16" spans="1:18" s="640" customFormat="1" x14ac:dyDescent="0.2">
      <c r="A16" s="314" t="s">
        <v>402</v>
      </c>
      <c r="B16" s="314" t="s">
        <v>333</v>
      </c>
      <c r="C16" s="651" t="s">
        <v>436</v>
      </c>
      <c r="D16" s="651">
        <v>1</v>
      </c>
      <c r="E16" s="651">
        <v>2</v>
      </c>
      <c r="F16" s="651">
        <v>3</v>
      </c>
      <c r="G16" s="651">
        <v>4</v>
      </c>
      <c r="H16" s="651">
        <v>5</v>
      </c>
      <c r="I16" s="651">
        <v>6</v>
      </c>
      <c r="J16" s="651">
        <v>7</v>
      </c>
      <c r="K16" s="651">
        <v>8</v>
      </c>
      <c r="L16" s="651">
        <v>9</v>
      </c>
      <c r="M16" s="651">
        <v>10</v>
      </c>
      <c r="N16" s="651">
        <v>11</v>
      </c>
      <c r="O16" s="651">
        <v>12</v>
      </c>
      <c r="P16" s="651">
        <v>13</v>
      </c>
      <c r="Q16" s="651">
        <v>14</v>
      </c>
      <c r="R16" s="651">
        <v>15</v>
      </c>
    </row>
    <row r="17" spans="1:18" x14ac:dyDescent="0.2">
      <c r="A17" s="652">
        <v>1</v>
      </c>
      <c r="B17" s="653" t="str">
        <f>B10</f>
        <v>Plant &amp; Machinery</v>
      </c>
      <c r="C17" s="658" t="str">
        <f>C10</f>
        <v>INR Cr</v>
      </c>
      <c r="D17" s="659">
        <f>$C$3*$E$3</f>
        <v>54.337499999999999</v>
      </c>
      <c r="E17" s="659">
        <f>($C$3-SUM($D$17:D17))*$E$3</f>
        <v>46.186875000000001</v>
      </c>
      <c r="F17" s="659">
        <f>($C$3-SUM($D$17:E17))*$E$3</f>
        <v>39.258843750000004</v>
      </c>
      <c r="G17" s="659">
        <f>($C$3-SUM($D$17:F17))*$E$3</f>
        <v>33.370017187499997</v>
      </c>
      <c r="H17" s="659">
        <f>($C$3-SUM($D$17:G17))*$E$3</f>
        <v>28.364514609375</v>
      </c>
      <c r="I17" s="659">
        <f>($C$3-SUM($D$17:H17))*$E$3</f>
        <v>24.109837417968752</v>
      </c>
      <c r="J17" s="659">
        <f>($C$3-SUM($D$17:I17))*$E$3</f>
        <v>20.493361805273437</v>
      </c>
      <c r="K17" s="659">
        <f>($C$3-SUM($D$17:J17))*$E$3</f>
        <v>17.419357534482419</v>
      </c>
      <c r="L17" s="659">
        <f>($C$3-SUM($D$17:K17))*$E$3</f>
        <v>14.806453904310061</v>
      </c>
      <c r="M17" s="659">
        <f>($C$3-SUM($D$17:L17))*$E$3</f>
        <v>12.585485818663553</v>
      </c>
      <c r="N17" s="659">
        <f>($C$3-SUM($D$17:M17))*$E$3</f>
        <v>10.697662945864025</v>
      </c>
      <c r="O17" s="659">
        <f>($C$3-SUM($D$17:N17))*$E$3</f>
        <v>9.0930135039844231</v>
      </c>
      <c r="P17" s="659">
        <f>($C$3-SUM($D$17:O17))*$E$3</f>
        <v>7.7290614783867593</v>
      </c>
      <c r="Q17" s="659">
        <f>($C$3-SUM($D$17:P17))*$E$3</f>
        <v>6.5697022566287444</v>
      </c>
      <c r="R17" s="659">
        <f>($C$3-SUM($D$17:Q17))*$E$3</f>
        <v>5.5842469181344372</v>
      </c>
    </row>
    <row r="18" spans="1:18" x14ac:dyDescent="0.2">
      <c r="A18" s="652">
        <v>2</v>
      </c>
      <c r="B18" s="653" t="str">
        <f>B11</f>
        <v>Civil Works-building &amp; site development</v>
      </c>
      <c r="C18" s="654" t="str">
        <f>C17</f>
        <v>INR Cr</v>
      </c>
      <c r="D18" s="659">
        <f>$C$4*$E$4</f>
        <v>0.60000000000000009</v>
      </c>
      <c r="E18" s="659">
        <f>($C$4-SUM($D$18:D18))*$E$4</f>
        <v>0.54</v>
      </c>
      <c r="F18" s="659">
        <f>($C$4-SUM($D$18:E18))*$E$4</f>
        <v>0.48599999999999999</v>
      </c>
      <c r="G18" s="659">
        <f>($C$4-SUM($D$18:F18))*$E$4</f>
        <v>0.43740000000000001</v>
      </c>
      <c r="H18" s="659">
        <f>($C$4-SUM($D$18:G18))*$E$4</f>
        <v>0.39366000000000001</v>
      </c>
      <c r="I18" s="659">
        <f>($C$4-SUM($D$18:H18))*$E$4</f>
        <v>0.354294</v>
      </c>
      <c r="J18" s="659">
        <f>($C$4-SUM($D$18:I18))*$E$4</f>
        <v>0.3188646</v>
      </c>
      <c r="K18" s="659">
        <f>($C$4-SUM($D$18:J18))*$E$4</f>
        <v>0.28697813999999999</v>
      </c>
      <c r="L18" s="659">
        <f>($C$4-SUM($D$18:K18))*$E$4</f>
        <v>0.258280326</v>
      </c>
      <c r="M18" s="659">
        <f>($C$4-SUM($D$18:L18))*$E$4</f>
        <v>0.23245229340000001</v>
      </c>
      <c r="N18" s="659">
        <f>($C$4-SUM($D$18:M18))*$E$4</f>
        <v>0.20920706406</v>
      </c>
      <c r="O18" s="659">
        <f>($C$4-SUM($D$18:N18))*$E$4</f>
        <v>0.18828635765400004</v>
      </c>
      <c r="P18" s="659">
        <f>($C$4-SUM($D$18:O18))*$E$4</f>
        <v>0.16945772188859998</v>
      </c>
      <c r="Q18" s="659">
        <f>($C$4-SUM($D$18:P18))*$E$4</f>
        <v>0.15251194969974</v>
      </c>
      <c r="R18" s="659">
        <f>($C$4-SUM($D$18:Q18))*$E$4</f>
        <v>0.13726075472976601</v>
      </c>
    </row>
    <row r="19" spans="1:18" x14ac:dyDescent="0.2">
      <c r="A19" s="652">
        <v>3</v>
      </c>
      <c r="B19" s="653" t="str">
        <f>B12</f>
        <v>Miscellaneous</v>
      </c>
      <c r="C19" s="655" t="str">
        <f>C17</f>
        <v>INR Cr</v>
      </c>
      <c r="D19" s="659">
        <f>$C$5*$E$5</f>
        <v>15.961762500000006</v>
      </c>
      <c r="E19" s="659">
        <f>($C$5-SUM($D$19:D19))*$E$5</f>
        <v>13.567498125000006</v>
      </c>
      <c r="F19" s="659">
        <f>($C$5-SUM($D$19:E19))*$E$5</f>
        <v>11.532373406250004</v>
      </c>
      <c r="G19" s="659">
        <f>($C$5-SUM($D$19:F19))*$E$5</f>
        <v>9.8025173953125044</v>
      </c>
      <c r="H19" s="659">
        <f>($C$5-SUM($D$19:G19))*$E$5</f>
        <v>8.3321397860156274</v>
      </c>
      <c r="I19" s="659">
        <f>($C$5-SUM($D$19:H19))*$E$5</f>
        <v>7.0823188181132837</v>
      </c>
      <c r="J19" s="659">
        <f>($C$5-SUM($D$19:I19))*$E$5</f>
        <v>6.0199709953962923</v>
      </c>
      <c r="K19" s="659">
        <f>($C$5-SUM($D$19:J19))*$E$5</f>
        <v>5.1169753460868481</v>
      </c>
      <c r="L19" s="659">
        <f>($C$5-SUM($D$19:K19))*$E$5</f>
        <v>4.3494290441738217</v>
      </c>
      <c r="M19" s="659">
        <f>($C$5-SUM($D$19:L19))*$E$5</f>
        <v>3.6970146875477488</v>
      </c>
      <c r="N19" s="659">
        <f>($C$5-SUM($D$19:M19))*$E$5</f>
        <v>3.1424624844155864</v>
      </c>
      <c r="O19" s="659">
        <f>($C$5-SUM($D$19:N19))*$E$5</f>
        <v>2.6710931117532479</v>
      </c>
      <c r="P19" s="659">
        <f>($C$5-SUM($D$19:O19))*$E$5</f>
        <v>2.2704291449902603</v>
      </c>
      <c r="Q19" s="659">
        <f>($C$5-SUM($D$19:P19))*$E$5</f>
        <v>1.9298647732417216</v>
      </c>
      <c r="R19" s="659">
        <f>($C$5-SUM($D$19:Q19))*$E$5</f>
        <v>1.6403850572554639</v>
      </c>
    </row>
    <row r="20" spans="1:18" s="640" customFormat="1" x14ac:dyDescent="0.2">
      <c r="A20" s="651">
        <v>4</v>
      </c>
      <c r="B20" s="656" t="s">
        <v>546</v>
      </c>
      <c r="C20" s="660" t="str">
        <f>C17</f>
        <v>INR Cr</v>
      </c>
      <c r="D20" s="657">
        <f>SUM(D17:D19)</f>
        <v>70.899262500000006</v>
      </c>
      <c r="E20" s="657">
        <f t="shared" ref="E20:O20" si="4">SUM(E17:E19)</f>
        <v>60.294373125000007</v>
      </c>
      <c r="F20" s="657">
        <f t="shared" si="4"/>
        <v>51.277217156250003</v>
      </c>
      <c r="G20" s="657">
        <f t="shared" si="4"/>
        <v>43.6099345828125</v>
      </c>
      <c r="H20" s="657">
        <f t="shared" si="4"/>
        <v>37.090314395390628</v>
      </c>
      <c r="I20" s="657">
        <f t="shared" si="4"/>
        <v>31.546450236082034</v>
      </c>
      <c r="J20" s="657">
        <f t="shared" si="4"/>
        <v>26.832197400669731</v>
      </c>
      <c r="K20" s="657">
        <f t="shared" si="4"/>
        <v>22.823311020569264</v>
      </c>
      <c r="L20" s="657">
        <f t="shared" si="4"/>
        <v>19.414163274483883</v>
      </c>
      <c r="M20" s="657">
        <f t="shared" si="4"/>
        <v>16.514952799611301</v>
      </c>
      <c r="N20" s="657">
        <f t="shared" si="4"/>
        <v>14.049332494339611</v>
      </c>
      <c r="O20" s="657">
        <f t="shared" si="4"/>
        <v>11.952392973391671</v>
      </c>
      <c r="P20" s="657">
        <f>SUM(P17:P19)</f>
        <v>10.168948345265619</v>
      </c>
      <c r="Q20" s="657">
        <f t="shared" ref="Q20" si="5">SUM(Q17:Q19)</f>
        <v>8.6520789795702058</v>
      </c>
      <c r="R20" s="657">
        <f t="shared" ref="R20" si="6">SUM(R17:R19)</f>
        <v>7.361892730119667</v>
      </c>
    </row>
  </sheetData>
  <mergeCells count="2">
    <mergeCell ref="A8:R8"/>
    <mergeCell ref="A15:R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V24"/>
  <sheetViews>
    <sheetView topLeftCell="A8" workbookViewId="0">
      <selection activeCell="F16" sqref="F16"/>
    </sheetView>
  </sheetViews>
  <sheetFormatPr defaultColWidth="9.140625" defaultRowHeight="12.75" x14ac:dyDescent="0.25"/>
  <cols>
    <col min="1" max="1" width="9.140625" style="300"/>
    <col min="2" max="2" width="43.85546875" style="301" customWidth="1"/>
    <col min="3" max="3" width="10.85546875" style="300" customWidth="1"/>
    <col min="4" max="18" width="12.7109375" style="301" customWidth="1"/>
    <col min="19" max="16384" width="9.140625" style="301"/>
  </cols>
  <sheetData>
    <row r="1" spans="1:48" x14ac:dyDescent="0.25">
      <c r="D1" s="302"/>
      <c r="E1" s="302"/>
      <c r="F1" s="302"/>
      <c r="G1" s="302"/>
      <c r="H1" s="303"/>
      <c r="I1" s="302"/>
      <c r="J1" s="302"/>
      <c r="K1" s="302"/>
      <c r="L1" s="302"/>
      <c r="M1" s="302"/>
      <c r="N1" s="302"/>
      <c r="O1" s="302"/>
    </row>
    <row r="2" spans="1:48" ht="14.45" customHeight="1" x14ac:dyDescent="0.25">
      <c r="A2" s="752" t="s">
        <v>490</v>
      </c>
      <c r="B2" s="752"/>
      <c r="C2" s="752"/>
      <c r="D2" s="752"/>
      <c r="E2" s="752"/>
      <c r="F2" s="752"/>
      <c r="G2" s="752"/>
      <c r="H2" s="752"/>
      <c r="I2" s="752"/>
      <c r="J2" s="752"/>
      <c r="K2" s="752"/>
      <c r="L2" s="752"/>
      <c r="M2" s="752"/>
      <c r="N2" s="752"/>
      <c r="O2" s="752"/>
      <c r="P2" s="752"/>
      <c r="Q2" s="752"/>
      <c r="R2" s="752"/>
    </row>
    <row r="3" spans="1:48" x14ac:dyDescent="0.25">
      <c r="C3" s="297" t="s">
        <v>547</v>
      </c>
      <c r="D3" s="304"/>
      <c r="H3" s="305"/>
      <c r="N3" s="302"/>
      <c r="O3" s="302"/>
    </row>
    <row r="4" spans="1:48" s="299" customFormat="1" x14ac:dyDescent="0.25">
      <c r="A4" s="298" t="s">
        <v>402</v>
      </c>
      <c r="B4" s="299" t="s">
        <v>333</v>
      </c>
      <c r="C4" s="298" t="s">
        <v>436</v>
      </c>
      <c r="D4" s="314">
        <v>1</v>
      </c>
      <c r="E4" s="298">
        <v>2</v>
      </c>
      <c r="F4" s="298">
        <v>3</v>
      </c>
      <c r="G4" s="298">
        <v>4</v>
      </c>
      <c r="H4" s="298">
        <v>5</v>
      </c>
      <c r="I4" s="298">
        <v>6</v>
      </c>
      <c r="J4" s="298">
        <v>7</v>
      </c>
      <c r="K4" s="298">
        <v>8</v>
      </c>
      <c r="L4" s="298">
        <v>9</v>
      </c>
      <c r="M4" s="298">
        <v>10</v>
      </c>
      <c r="N4" s="298">
        <v>11</v>
      </c>
      <c r="O4" s="298">
        <v>12</v>
      </c>
      <c r="P4" s="298">
        <v>13</v>
      </c>
      <c r="Q4" s="298">
        <v>14</v>
      </c>
      <c r="R4" s="298">
        <v>15</v>
      </c>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row>
    <row r="5" spans="1:48" s="308" customFormat="1" x14ac:dyDescent="0.25">
      <c r="A5" s="298">
        <v>1</v>
      </c>
      <c r="B5" s="306" t="s">
        <v>475</v>
      </c>
      <c r="C5" s="298" t="s">
        <v>14</v>
      </c>
      <c r="D5" s="307">
        <v>330</v>
      </c>
      <c r="E5" s="307">
        <v>330</v>
      </c>
      <c r="F5" s="307">
        <v>330</v>
      </c>
      <c r="G5" s="307">
        <v>330</v>
      </c>
      <c r="H5" s="307">
        <v>330</v>
      </c>
      <c r="I5" s="307">
        <v>330</v>
      </c>
      <c r="J5" s="307">
        <v>330</v>
      </c>
      <c r="K5" s="307">
        <v>330</v>
      </c>
      <c r="L5" s="307">
        <v>330</v>
      </c>
      <c r="M5" s="307">
        <v>330</v>
      </c>
      <c r="N5" s="307">
        <v>330</v>
      </c>
      <c r="O5" s="307">
        <v>330</v>
      </c>
      <c r="P5" s="307">
        <v>330</v>
      </c>
      <c r="Q5" s="307">
        <v>330</v>
      </c>
      <c r="R5" s="307">
        <v>330</v>
      </c>
      <c r="S5" s="309"/>
      <c r="T5" s="309"/>
      <c r="U5" s="309"/>
      <c r="V5" s="309"/>
      <c r="W5" s="309"/>
      <c r="X5" s="309"/>
      <c r="Y5" s="309"/>
      <c r="Z5" s="309"/>
      <c r="AA5" s="309"/>
      <c r="AB5" s="309"/>
      <c r="AC5" s="309"/>
      <c r="AD5" s="309"/>
      <c r="AE5" s="309"/>
      <c r="AF5" s="309"/>
      <c r="AG5" s="309"/>
      <c r="AH5" s="309"/>
      <c r="AI5" s="309"/>
      <c r="AJ5" s="309"/>
      <c r="AK5" s="309"/>
      <c r="AL5" s="309"/>
      <c r="AM5" s="309"/>
      <c r="AN5" s="309"/>
      <c r="AO5" s="309"/>
      <c r="AP5" s="309"/>
      <c r="AQ5" s="309"/>
      <c r="AR5" s="309"/>
      <c r="AS5" s="309"/>
      <c r="AT5" s="309"/>
      <c r="AU5" s="309"/>
      <c r="AV5" s="309"/>
    </row>
    <row r="6" spans="1:48" s="309" customFormat="1" x14ac:dyDescent="0.25">
      <c r="B6" s="300"/>
      <c r="C6" s="300"/>
      <c r="D6" s="310"/>
      <c r="E6" s="310"/>
      <c r="F6" s="310"/>
      <c r="G6" s="310"/>
      <c r="H6" s="310"/>
      <c r="I6" s="310"/>
      <c r="J6" s="310"/>
      <c r="K6" s="310"/>
      <c r="L6" s="310"/>
      <c r="M6" s="310"/>
      <c r="N6" s="310"/>
      <c r="O6" s="310"/>
      <c r="P6" s="310"/>
      <c r="Q6" s="310"/>
      <c r="R6" s="310"/>
    </row>
    <row r="7" spans="1:48" x14ac:dyDescent="0.25">
      <c r="A7" s="298"/>
      <c r="B7" s="470" t="s">
        <v>476</v>
      </c>
      <c r="C7" s="298" t="s">
        <v>14</v>
      </c>
      <c r="D7" s="471"/>
      <c r="E7" s="471"/>
      <c r="F7" s="471"/>
      <c r="G7" s="471"/>
      <c r="H7" s="472"/>
      <c r="I7" s="471"/>
      <c r="J7" s="471"/>
      <c r="K7" s="471"/>
      <c r="L7" s="471"/>
      <c r="M7" s="471"/>
      <c r="N7" s="471"/>
      <c r="O7" s="471"/>
      <c r="P7" s="299"/>
      <c r="Q7" s="299"/>
      <c r="R7" s="299"/>
    </row>
    <row r="8" spans="1:48" x14ac:dyDescent="0.25">
      <c r="A8" s="298">
        <v>1</v>
      </c>
      <c r="B8" s="299" t="s">
        <v>482</v>
      </c>
      <c r="C8" s="298">
        <v>15</v>
      </c>
      <c r="D8" s="319">
        <f>'Cashflow '!F12*$C$8/D5</f>
        <v>9.1607506908018177</v>
      </c>
      <c r="E8" s="319">
        <f>'Cashflow '!G12*$C$8/E5</f>
        <v>10.469429360916363</v>
      </c>
      <c r="F8" s="319">
        <f>'Cashflow '!H12*$C$8/F5</f>
        <v>12.432447366088182</v>
      </c>
      <c r="G8" s="319">
        <f>'Cashflow '!I12*$C$8/G5</f>
        <v>12.432447366088182</v>
      </c>
      <c r="H8" s="319">
        <f>'Cashflow '!J12*$C$8/H5</f>
        <v>12.432447366088182</v>
      </c>
      <c r="I8" s="319">
        <f>'Cashflow '!K12*$C$8/I5</f>
        <v>12.432447366088182</v>
      </c>
      <c r="J8" s="319">
        <f>'Cashflow '!L12*$C$8/J5</f>
        <v>12.432447366088182</v>
      </c>
      <c r="K8" s="319">
        <f>'Cashflow '!M12*$C$8/K5</f>
        <v>12.432447366088182</v>
      </c>
      <c r="L8" s="319">
        <f>'Cashflow '!N12*$C$8/L5</f>
        <v>12.432447366088182</v>
      </c>
      <c r="M8" s="319">
        <f>'Cashflow '!O12*$C$8/M5</f>
        <v>12.432447366088182</v>
      </c>
      <c r="N8" s="319">
        <f>'Cashflow '!P12*$C$8/N5</f>
        <v>12.432447366088182</v>
      </c>
      <c r="O8" s="319">
        <f>'Cashflow '!Q12*$C$8/O5</f>
        <v>12.432447366088182</v>
      </c>
      <c r="P8" s="319">
        <f>'Cashflow '!R12*$C$8/P5</f>
        <v>12.432447366088182</v>
      </c>
      <c r="Q8" s="319">
        <f>'Cashflow '!S12*$C$8/Q5</f>
        <v>12.432447366088182</v>
      </c>
      <c r="R8" s="319">
        <f>'Cashflow '!T12*$C$8/R5</f>
        <v>12.432447366088182</v>
      </c>
    </row>
    <row r="9" spans="1:48" x14ac:dyDescent="0.25">
      <c r="A9" s="298">
        <v>2</v>
      </c>
      <c r="B9" s="299" t="s">
        <v>483</v>
      </c>
      <c r="C9" s="298">
        <v>15</v>
      </c>
      <c r="D9" s="319">
        <f>'Cashflow '!F14*$C$9/D5</f>
        <v>3.3512563636702413E-6</v>
      </c>
      <c r="E9" s="319">
        <f>'Cashflow '!G14*$C$9/E5</f>
        <v>3.8300072722781231E-6</v>
      </c>
      <c r="F9" s="319">
        <f>'Cashflow '!H14*$C$9/F5</f>
        <v>4.5481336365559731E-6</v>
      </c>
      <c r="G9" s="319">
        <f>'Cashflow '!I14*$C$9/G5</f>
        <v>4.5481336365559731E-6</v>
      </c>
      <c r="H9" s="319">
        <f>'Cashflow '!J14*$C$9/H5</f>
        <v>4.5481336365559731E-6</v>
      </c>
      <c r="I9" s="319">
        <f>'Cashflow '!K14*$C$9/I5</f>
        <v>4.5481336365559731E-6</v>
      </c>
      <c r="J9" s="319">
        <f>'Cashflow '!L14*$C$9/J5</f>
        <v>4.5481336365559731E-6</v>
      </c>
      <c r="K9" s="319">
        <f>'Cashflow '!M14*$C$9/K5</f>
        <v>4.5481336365559731E-6</v>
      </c>
      <c r="L9" s="319">
        <f>'Cashflow '!N14*$C$9/L5</f>
        <v>4.5481336365559731E-6</v>
      </c>
      <c r="M9" s="319">
        <f>'Cashflow '!O14*$C$9/M5</f>
        <v>4.5481336365559731E-6</v>
      </c>
      <c r="N9" s="319">
        <f>'Cashflow '!P14*$C$9/N5</f>
        <v>4.5481336365559731E-6</v>
      </c>
      <c r="O9" s="319">
        <f>'Cashflow '!Q14*$C$9/O5</f>
        <v>4.5481336365559731E-6</v>
      </c>
      <c r="P9" s="319">
        <f>'Cashflow '!R14*$C$9/P5</f>
        <v>4.5481336365559731E-6</v>
      </c>
      <c r="Q9" s="319">
        <f>'Cashflow '!S14*$C$9/Q5</f>
        <v>4.5481336365559731E-6</v>
      </c>
      <c r="R9" s="319">
        <f>'Cashflow '!T14*$C$9/R5</f>
        <v>4.5481336365559731E-6</v>
      </c>
    </row>
    <row r="10" spans="1:48" x14ac:dyDescent="0.25">
      <c r="A10" s="298">
        <v>3</v>
      </c>
      <c r="B10" s="299" t="s">
        <v>484</v>
      </c>
      <c r="C10" s="298">
        <v>3</v>
      </c>
      <c r="D10" s="319">
        <f>(Opex!D7+Opex!D24)*$C$10/D5</f>
        <v>0.61409634035217042</v>
      </c>
      <c r="E10" s="319">
        <f>(Opex!E7+Opex!E24)*$C$10/E5</f>
        <v>0.7018243889739092</v>
      </c>
      <c r="F10" s="319">
        <f>(Opex!F7+Opex!F24)*$C$10/F5</f>
        <v>0.83341646190651708</v>
      </c>
      <c r="G10" s="319">
        <f>(Opex!G7+Opex!G24)*$C$10/G5</f>
        <v>0.83341646190651708</v>
      </c>
      <c r="H10" s="319">
        <f>(Opex!H7+Opex!H24)*$C$10/H5</f>
        <v>0.83341646190651708</v>
      </c>
      <c r="I10" s="319">
        <f>(Opex!I7+Opex!I24)*$C$10/I5</f>
        <v>0.83341646190651708</v>
      </c>
      <c r="J10" s="319">
        <f>(Opex!J7+Opex!J24)*$C$10/J5</f>
        <v>0.83341646190651708</v>
      </c>
      <c r="K10" s="319">
        <f>(Opex!K7+Opex!K24)*$C$10/K5</f>
        <v>0.83341646190651708</v>
      </c>
      <c r="L10" s="319">
        <f>(Opex!L7+Opex!L24)*$C$10/L5</f>
        <v>0.83341646190651708</v>
      </c>
      <c r="M10" s="319">
        <f>(Opex!M7+Opex!M24)*$C$10/M5</f>
        <v>0.83341646190651708</v>
      </c>
      <c r="N10" s="319">
        <f>(Opex!N7+Opex!N24)*$C$10/N5</f>
        <v>0.83341646190651708</v>
      </c>
      <c r="O10" s="319">
        <f>(Opex!O7+Opex!O24)*$C$10/O5</f>
        <v>0.83341646190651708</v>
      </c>
      <c r="P10" s="319">
        <f>(Opex!P7+Opex!P24)*$C$10/P5</f>
        <v>0.83341646190651708</v>
      </c>
      <c r="Q10" s="319">
        <f>(Opex!Q7+Opex!Q24)*$C$10/Q5</f>
        <v>0.83341646190651708</v>
      </c>
      <c r="R10" s="319">
        <f>(Opex!R7+Opex!R24)*$C$10/R5</f>
        <v>0.83341646190651708</v>
      </c>
    </row>
    <row r="11" spans="1:48" x14ac:dyDescent="0.25">
      <c r="A11" s="298">
        <v>4</v>
      </c>
      <c r="B11" s="299" t="s">
        <v>491</v>
      </c>
      <c r="C11" s="298">
        <f>[5]Main!D104</f>
        <v>30</v>
      </c>
      <c r="D11" s="471">
        <f>+Opex!D11*$C$11/D5</f>
        <v>1.3174298441193184</v>
      </c>
      <c r="E11" s="471">
        <f>+Opex!E11*$C$11/E5</f>
        <v>1.3311360941193184</v>
      </c>
      <c r="F11" s="471">
        <f>+Opex!F11*$C$11/F5</f>
        <v>1.3516954691193184</v>
      </c>
      <c r="G11" s="471">
        <f>+Opex!G11*$C$11/G5</f>
        <v>1.3516954691193184</v>
      </c>
      <c r="H11" s="471">
        <f>+Opex!H11*$C$11/H5</f>
        <v>1.3516954691193184</v>
      </c>
      <c r="I11" s="471">
        <f>+Opex!I11*$C$11/I5</f>
        <v>1.3516954691193184</v>
      </c>
      <c r="J11" s="471">
        <f>+Opex!J11*$C$11/J5</f>
        <v>1.3516954691193184</v>
      </c>
      <c r="K11" s="471">
        <f>+Opex!K11*$C$11/K5</f>
        <v>1.3516954691193184</v>
      </c>
      <c r="L11" s="471">
        <f>+Opex!L11*$C$11/L5</f>
        <v>1.3516954691193184</v>
      </c>
      <c r="M11" s="471">
        <f>+Opex!M11*$C$11/M5</f>
        <v>1.3516954691193184</v>
      </c>
      <c r="N11" s="471">
        <f>+Opex!N11*$C$11/N5</f>
        <v>1.3516954691193184</v>
      </c>
      <c r="O11" s="471">
        <f>+Opex!O11*$C$11/O5</f>
        <v>1.3516954691193184</v>
      </c>
      <c r="P11" s="471">
        <f>+Opex!P11*$C$11/P5</f>
        <v>1.3516954691193184</v>
      </c>
      <c r="Q11" s="471">
        <f>+Opex!Q11*$C$11/Q5</f>
        <v>1.3516954691193184</v>
      </c>
      <c r="R11" s="471">
        <f>+Opex!R11*$C$11/R5</f>
        <v>1.3516954691193184</v>
      </c>
    </row>
    <row r="12" spans="1:48" x14ac:dyDescent="0.25">
      <c r="A12" s="298">
        <v>5</v>
      </c>
      <c r="B12" s="299" t="s">
        <v>485</v>
      </c>
      <c r="C12" s="298">
        <f>[5]Main!D105</f>
        <v>7</v>
      </c>
      <c r="D12" s="319">
        <f>-D10*$C$12/$C$10</f>
        <v>-1.4328914608217309</v>
      </c>
      <c r="E12" s="319">
        <f t="shared" ref="E12:R12" si="0">-E10*$C$12/$C$10</f>
        <v>-1.6375902409391214</v>
      </c>
      <c r="F12" s="319">
        <f t="shared" si="0"/>
        <v>-1.9446384111152064</v>
      </c>
      <c r="G12" s="319">
        <f t="shared" si="0"/>
        <v>-1.9446384111152064</v>
      </c>
      <c r="H12" s="319">
        <f t="shared" si="0"/>
        <v>-1.9446384111152064</v>
      </c>
      <c r="I12" s="319">
        <f t="shared" si="0"/>
        <v>-1.9446384111152064</v>
      </c>
      <c r="J12" s="319">
        <f t="shared" si="0"/>
        <v>-1.9446384111152064</v>
      </c>
      <c r="K12" s="319">
        <f t="shared" si="0"/>
        <v>-1.9446384111152064</v>
      </c>
      <c r="L12" s="319">
        <f t="shared" si="0"/>
        <v>-1.9446384111152064</v>
      </c>
      <c r="M12" s="319">
        <f t="shared" si="0"/>
        <v>-1.9446384111152064</v>
      </c>
      <c r="N12" s="319">
        <f t="shared" si="0"/>
        <v>-1.9446384111152064</v>
      </c>
      <c r="O12" s="319">
        <f t="shared" si="0"/>
        <v>-1.9446384111152064</v>
      </c>
      <c r="P12" s="319">
        <f t="shared" si="0"/>
        <v>-1.9446384111152064</v>
      </c>
      <c r="Q12" s="319">
        <f t="shared" si="0"/>
        <v>-1.9446384111152064</v>
      </c>
      <c r="R12" s="319">
        <f t="shared" si="0"/>
        <v>-1.9446384111152064</v>
      </c>
    </row>
    <row r="13" spans="1:48" ht="20.100000000000001" customHeight="1" x14ac:dyDescent="0.25">
      <c r="A13" s="314">
        <v>6</v>
      </c>
      <c r="B13" s="470" t="s">
        <v>477</v>
      </c>
      <c r="C13" s="314" t="s">
        <v>536</v>
      </c>
      <c r="D13" s="473">
        <f t="shared" ref="D13:R13" si="1">SUM(D8:D12)</f>
        <v>9.6593887657079414</v>
      </c>
      <c r="E13" s="473">
        <f t="shared" si="1"/>
        <v>10.864803433077743</v>
      </c>
      <c r="F13" s="473">
        <f t="shared" si="1"/>
        <v>12.672925434132447</v>
      </c>
      <c r="G13" s="473">
        <f t="shared" si="1"/>
        <v>12.672925434132447</v>
      </c>
      <c r="H13" s="473">
        <f t="shared" si="1"/>
        <v>12.672925434132447</v>
      </c>
      <c r="I13" s="473">
        <f t="shared" si="1"/>
        <v>12.672925434132447</v>
      </c>
      <c r="J13" s="473">
        <f t="shared" si="1"/>
        <v>12.672925434132447</v>
      </c>
      <c r="K13" s="473">
        <f t="shared" si="1"/>
        <v>12.672925434132447</v>
      </c>
      <c r="L13" s="473">
        <f t="shared" si="1"/>
        <v>12.672925434132447</v>
      </c>
      <c r="M13" s="473">
        <f t="shared" si="1"/>
        <v>12.672925434132447</v>
      </c>
      <c r="N13" s="473">
        <f t="shared" si="1"/>
        <v>12.672925434132447</v>
      </c>
      <c r="O13" s="473">
        <f t="shared" si="1"/>
        <v>12.672925434132447</v>
      </c>
      <c r="P13" s="473">
        <f t="shared" si="1"/>
        <v>12.672925434132447</v>
      </c>
      <c r="Q13" s="473">
        <f t="shared" si="1"/>
        <v>12.672925434132447</v>
      </c>
      <c r="R13" s="473">
        <f t="shared" si="1"/>
        <v>12.672925434132447</v>
      </c>
    </row>
    <row r="14" spans="1:48" ht="20.100000000000001" customHeight="1" x14ac:dyDescent="0.25"/>
    <row r="15" spans="1:48" ht="20.100000000000001" customHeight="1" x14ac:dyDescent="0.25">
      <c r="A15" s="298"/>
      <c r="B15" s="470" t="s">
        <v>478</v>
      </c>
      <c r="C15" s="599">
        <v>0.25</v>
      </c>
      <c r="D15" s="299"/>
      <c r="E15" s="299"/>
      <c r="F15" s="299"/>
      <c r="G15" s="299"/>
      <c r="H15" s="299"/>
      <c r="I15" s="299"/>
      <c r="J15" s="299"/>
      <c r="K15" s="299"/>
      <c r="L15" s="299"/>
      <c r="M15" s="299"/>
      <c r="N15" s="299"/>
      <c r="O15" s="299"/>
      <c r="P15" s="299"/>
      <c r="Q15" s="299"/>
      <c r="R15" s="299"/>
    </row>
    <row r="16" spans="1:48" ht="20.100000000000001" customHeight="1" x14ac:dyDescent="0.25">
      <c r="A16" s="298">
        <v>1</v>
      </c>
      <c r="B16" s="470" t="s">
        <v>492</v>
      </c>
      <c r="C16" s="314" t="s">
        <v>536</v>
      </c>
      <c r="D16" s="473">
        <f>D13*$C$15</f>
        <v>2.4148471914269853</v>
      </c>
      <c r="E16" s="473">
        <f t="shared" ref="E16:R16" si="2">E13*$C$15</f>
        <v>2.7162008582694357</v>
      </c>
      <c r="F16" s="473">
        <f t="shared" si="2"/>
        <v>3.1682313585331117</v>
      </c>
      <c r="G16" s="473">
        <f t="shared" si="2"/>
        <v>3.1682313585331117</v>
      </c>
      <c r="H16" s="473">
        <f t="shared" si="2"/>
        <v>3.1682313585331117</v>
      </c>
      <c r="I16" s="473">
        <f t="shared" si="2"/>
        <v>3.1682313585331117</v>
      </c>
      <c r="J16" s="473">
        <f t="shared" si="2"/>
        <v>3.1682313585331117</v>
      </c>
      <c r="K16" s="473">
        <f t="shared" si="2"/>
        <v>3.1682313585331117</v>
      </c>
      <c r="L16" s="473">
        <f t="shared" si="2"/>
        <v>3.1682313585331117</v>
      </c>
      <c r="M16" s="473">
        <f t="shared" si="2"/>
        <v>3.1682313585331117</v>
      </c>
      <c r="N16" s="473">
        <f t="shared" si="2"/>
        <v>3.1682313585331117</v>
      </c>
      <c r="O16" s="473">
        <f t="shared" si="2"/>
        <v>3.1682313585331117</v>
      </c>
      <c r="P16" s="473">
        <f t="shared" si="2"/>
        <v>3.1682313585331117</v>
      </c>
      <c r="Q16" s="473">
        <f t="shared" si="2"/>
        <v>3.1682313585331117</v>
      </c>
      <c r="R16" s="473">
        <f t="shared" si="2"/>
        <v>3.1682313585331117</v>
      </c>
    </row>
    <row r="17" spans="1:18" ht="20.100000000000001" customHeight="1" x14ac:dyDescent="0.25">
      <c r="A17" s="298">
        <v>2</v>
      </c>
      <c r="B17" s="299" t="s">
        <v>479</v>
      </c>
      <c r="C17" s="298" t="s">
        <v>536</v>
      </c>
      <c r="D17" s="319">
        <f>D16</f>
        <v>2.4148471914269853</v>
      </c>
      <c r="E17" s="319">
        <f t="shared" ref="E17:R17" si="3">E16-D16</f>
        <v>0.30135366684245035</v>
      </c>
      <c r="F17" s="319">
        <f t="shared" si="3"/>
        <v>0.45203050026367597</v>
      </c>
      <c r="G17" s="319">
        <f t="shared" si="3"/>
        <v>0</v>
      </c>
      <c r="H17" s="319">
        <f t="shared" si="3"/>
        <v>0</v>
      </c>
      <c r="I17" s="319">
        <f t="shared" si="3"/>
        <v>0</v>
      </c>
      <c r="J17" s="319">
        <f t="shared" si="3"/>
        <v>0</v>
      </c>
      <c r="K17" s="319">
        <f t="shared" si="3"/>
        <v>0</v>
      </c>
      <c r="L17" s="319">
        <f t="shared" si="3"/>
        <v>0</v>
      </c>
      <c r="M17" s="319">
        <f t="shared" si="3"/>
        <v>0</v>
      </c>
      <c r="N17" s="319">
        <f t="shared" si="3"/>
        <v>0</v>
      </c>
      <c r="O17" s="319">
        <f t="shared" si="3"/>
        <v>0</v>
      </c>
      <c r="P17" s="319">
        <f t="shared" si="3"/>
        <v>0</v>
      </c>
      <c r="Q17" s="319">
        <f t="shared" si="3"/>
        <v>0</v>
      </c>
      <c r="R17" s="319">
        <f t="shared" si="3"/>
        <v>0</v>
      </c>
    </row>
    <row r="18" spans="1:18" ht="20.100000000000001" customHeight="1" x14ac:dyDescent="0.25">
      <c r="A18" s="298">
        <v>3</v>
      </c>
      <c r="B18" s="306" t="s">
        <v>480</v>
      </c>
      <c r="C18" s="298" t="s">
        <v>536</v>
      </c>
      <c r="D18" s="319">
        <f>+D13*(1-$C$15)</f>
        <v>7.244541574280956</v>
      </c>
      <c r="E18" s="319">
        <f t="shared" ref="E18:R18" si="4">+E13*(1-$C$15)</f>
        <v>8.148602574808308</v>
      </c>
      <c r="F18" s="319">
        <f t="shared" si="4"/>
        <v>9.5046940755993354</v>
      </c>
      <c r="G18" s="319">
        <f t="shared" si="4"/>
        <v>9.5046940755993354</v>
      </c>
      <c r="H18" s="319">
        <f t="shared" si="4"/>
        <v>9.5046940755993354</v>
      </c>
      <c r="I18" s="319">
        <f t="shared" si="4"/>
        <v>9.5046940755993354</v>
      </c>
      <c r="J18" s="319">
        <f t="shared" si="4"/>
        <v>9.5046940755993354</v>
      </c>
      <c r="K18" s="319">
        <f t="shared" si="4"/>
        <v>9.5046940755993354</v>
      </c>
      <c r="L18" s="319">
        <f t="shared" si="4"/>
        <v>9.5046940755993354</v>
      </c>
      <c r="M18" s="319">
        <f t="shared" si="4"/>
        <v>9.5046940755993354</v>
      </c>
      <c r="N18" s="319">
        <f t="shared" si="4"/>
        <v>9.5046940755993354</v>
      </c>
      <c r="O18" s="319">
        <f t="shared" si="4"/>
        <v>9.5046940755993354</v>
      </c>
      <c r="P18" s="319">
        <f t="shared" si="4"/>
        <v>9.5046940755993354</v>
      </c>
      <c r="Q18" s="319">
        <f t="shared" si="4"/>
        <v>9.5046940755993354</v>
      </c>
      <c r="R18" s="319">
        <f t="shared" si="4"/>
        <v>9.5046940755993354</v>
      </c>
    </row>
    <row r="19" spans="1:18" ht="20.100000000000001" customHeight="1" x14ac:dyDescent="0.25">
      <c r="A19" s="298">
        <v>4</v>
      </c>
      <c r="B19" s="306" t="s">
        <v>548</v>
      </c>
      <c r="C19" s="298" t="s">
        <v>536</v>
      </c>
      <c r="D19" s="319">
        <f>D18*Norms!$B$53</f>
        <v>0.5795633259424765</v>
      </c>
      <c r="E19" s="319">
        <f>E18*Norms!$B$53</f>
        <v>0.65188820598466468</v>
      </c>
      <c r="F19" s="319">
        <f>F18*Norms!$B$53</f>
        <v>0.76037552604794689</v>
      </c>
      <c r="G19" s="319">
        <f>G18*Norms!$B$53</f>
        <v>0.76037552604794689</v>
      </c>
      <c r="H19" s="319">
        <f>H18*Norms!$B$53</f>
        <v>0.76037552604794689</v>
      </c>
      <c r="I19" s="319">
        <f>I18*Norms!$B$53</f>
        <v>0.76037552604794689</v>
      </c>
      <c r="J19" s="319">
        <f>J18*Norms!$B$53</f>
        <v>0.76037552604794689</v>
      </c>
      <c r="K19" s="319">
        <f>K18*Norms!$B$53</f>
        <v>0.76037552604794689</v>
      </c>
      <c r="L19" s="319">
        <f>L18*Norms!$B$53</f>
        <v>0.76037552604794689</v>
      </c>
      <c r="M19" s="319">
        <f>M18*Norms!$B$53</f>
        <v>0.76037552604794689</v>
      </c>
      <c r="N19" s="319">
        <f>N18*Norms!$B$53</f>
        <v>0.76037552604794689</v>
      </c>
      <c r="O19" s="319">
        <f>O18*Norms!$B$53</f>
        <v>0.76037552604794689</v>
      </c>
      <c r="P19" s="319">
        <f>P18*Norms!$B$53</f>
        <v>0.76037552604794689</v>
      </c>
      <c r="Q19" s="319">
        <f>Q18*Norms!$B$53</f>
        <v>0.76037552604794689</v>
      </c>
      <c r="R19" s="319">
        <f>R18*Norms!$B$53</f>
        <v>0.76037552604794689</v>
      </c>
    </row>
    <row r="20" spans="1:18" ht="20.100000000000001" customHeight="1" x14ac:dyDescent="0.25">
      <c r="A20" s="298">
        <v>5</v>
      </c>
      <c r="B20" s="299" t="s">
        <v>481</v>
      </c>
      <c r="C20" s="298" t="s">
        <v>536</v>
      </c>
      <c r="D20" s="319">
        <f>D18</f>
        <v>7.244541574280956</v>
      </c>
      <c r="E20" s="319">
        <f>E18-D18</f>
        <v>0.90406100052735194</v>
      </c>
      <c r="F20" s="319">
        <f>F18-E18</f>
        <v>1.3560915007910275</v>
      </c>
      <c r="G20" s="319">
        <f t="shared" ref="G20:R20" si="5">G18-F18</f>
        <v>0</v>
      </c>
      <c r="H20" s="319">
        <f t="shared" si="5"/>
        <v>0</v>
      </c>
      <c r="I20" s="319">
        <f t="shared" si="5"/>
        <v>0</v>
      </c>
      <c r="J20" s="319">
        <f t="shared" si="5"/>
        <v>0</v>
      </c>
      <c r="K20" s="319">
        <f t="shared" si="5"/>
        <v>0</v>
      </c>
      <c r="L20" s="319">
        <f t="shared" si="5"/>
        <v>0</v>
      </c>
      <c r="M20" s="319">
        <f t="shared" si="5"/>
        <v>0</v>
      </c>
      <c r="N20" s="319">
        <f t="shared" si="5"/>
        <v>0</v>
      </c>
      <c r="O20" s="319">
        <f t="shared" si="5"/>
        <v>0</v>
      </c>
      <c r="P20" s="319">
        <f t="shared" si="5"/>
        <v>0</v>
      </c>
      <c r="Q20" s="319">
        <f t="shared" si="5"/>
        <v>0</v>
      </c>
      <c r="R20" s="319">
        <f t="shared" si="5"/>
        <v>0</v>
      </c>
    </row>
    <row r="23" spans="1:18" ht="15" customHeight="1" x14ac:dyDescent="0.25">
      <c r="D23" s="302"/>
      <c r="E23" s="302"/>
      <c r="F23" s="302"/>
      <c r="G23" s="302"/>
      <c r="H23" s="303"/>
      <c r="I23" s="302"/>
      <c r="J23" s="302"/>
      <c r="K23" s="302"/>
      <c r="L23" s="302"/>
      <c r="M23" s="302"/>
      <c r="N23" s="302"/>
      <c r="O23" s="302"/>
    </row>
    <row r="24" spans="1:18" ht="15" customHeight="1" x14ac:dyDescent="0.25">
      <c r="D24" s="302"/>
      <c r="E24" s="302"/>
      <c r="F24" s="302"/>
      <c r="G24" s="302"/>
      <c r="H24" s="303"/>
      <c r="I24" s="302"/>
      <c r="J24" s="302"/>
      <c r="K24" s="302"/>
      <c r="L24" s="302"/>
      <c r="M24" s="302"/>
      <c r="N24" s="302"/>
      <c r="O24" s="302"/>
      <c r="P24" s="302"/>
      <c r="Q24" s="302"/>
      <c r="R24" s="302"/>
    </row>
  </sheetData>
  <mergeCells count="1">
    <mergeCell ref="A2: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65"/>
  <sheetViews>
    <sheetView showGridLines="0" tabSelected="1" topLeftCell="A27" workbookViewId="0">
      <selection activeCell="G32" sqref="G32"/>
    </sheetView>
  </sheetViews>
  <sheetFormatPr defaultColWidth="9.140625" defaultRowHeight="12.75" x14ac:dyDescent="0.2"/>
  <cols>
    <col min="1" max="1" width="9.140625" style="320"/>
    <col min="2" max="2" width="36.28515625" style="322" customWidth="1"/>
    <col min="3" max="20" width="12.7109375" style="322" customWidth="1"/>
    <col min="21" max="21" width="12" style="322" customWidth="1"/>
    <col min="22" max="22" width="11.85546875" style="322" customWidth="1"/>
    <col min="23" max="49" width="9.140625" style="347"/>
    <col min="50" max="16384" width="9.140625" style="322"/>
  </cols>
  <sheetData>
    <row r="1" spans="1:35" ht="15" customHeight="1" x14ac:dyDescent="0.2">
      <c r="B1" s="321" t="s">
        <v>535</v>
      </c>
      <c r="J1" s="323"/>
    </row>
    <row r="2" spans="1:35" ht="15" customHeight="1" x14ac:dyDescent="0.25">
      <c r="B2" s="580" t="s">
        <v>420</v>
      </c>
      <c r="D2" s="324"/>
      <c r="E2" s="324"/>
      <c r="J2" s="323"/>
    </row>
    <row r="3" spans="1:35" s="345" customFormat="1" ht="15" customHeight="1" x14ac:dyDescent="0.2">
      <c r="A3" s="460" t="s">
        <v>402</v>
      </c>
      <c r="B3" s="357" t="s">
        <v>6</v>
      </c>
      <c r="C3" s="460" t="s">
        <v>436</v>
      </c>
      <c r="D3" s="460">
        <v>-2</v>
      </c>
      <c r="E3" s="460">
        <v>-1</v>
      </c>
      <c r="F3" s="379">
        <v>1</v>
      </c>
      <c r="G3" s="379">
        <v>2</v>
      </c>
      <c r="H3" s="379">
        <v>3</v>
      </c>
      <c r="I3" s="379">
        <v>4</v>
      </c>
      <c r="J3" s="379">
        <v>5</v>
      </c>
      <c r="K3" s="379">
        <v>6</v>
      </c>
      <c r="L3" s="379">
        <v>7</v>
      </c>
      <c r="M3" s="379">
        <v>8</v>
      </c>
      <c r="N3" s="379">
        <v>9</v>
      </c>
      <c r="O3" s="379">
        <v>10</v>
      </c>
      <c r="P3" s="379">
        <v>11</v>
      </c>
      <c r="Q3" s="379">
        <v>12</v>
      </c>
      <c r="R3" s="379">
        <v>13</v>
      </c>
      <c r="S3" s="379">
        <v>14</v>
      </c>
      <c r="T3" s="379">
        <v>15</v>
      </c>
      <c r="U3" s="347"/>
      <c r="V3" s="347"/>
      <c r="W3" s="347"/>
      <c r="X3" s="347"/>
      <c r="Y3" s="347"/>
      <c r="Z3" s="347"/>
      <c r="AA3" s="347"/>
      <c r="AB3" s="347"/>
      <c r="AC3" s="347"/>
      <c r="AD3" s="347"/>
      <c r="AE3" s="347"/>
      <c r="AF3" s="347"/>
      <c r="AG3" s="347"/>
      <c r="AH3" s="347"/>
      <c r="AI3" s="348"/>
    </row>
    <row r="4" spans="1:35" s="347" customFormat="1" ht="15" customHeight="1" x14ac:dyDescent="0.2">
      <c r="A4" s="349">
        <v>1</v>
      </c>
      <c r="B4" s="362" t="s">
        <v>72</v>
      </c>
      <c r="C4" s="349" t="s">
        <v>536</v>
      </c>
      <c r="D4" s="349"/>
      <c r="E4" s="349"/>
      <c r="F4" s="353">
        <f>'Cashflow '!F30</f>
        <v>8.0397002498344001</v>
      </c>
      <c r="G4" s="353">
        <f>'Cashflow '!G30</f>
        <v>34.536108028232384</v>
      </c>
      <c r="H4" s="353">
        <f>'Cashflow '!H30</f>
        <v>38.731758761184309</v>
      </c>
      <c r="I4" s="353">
        <f>'Cashflow '!I30</f>
        <v>40.429923196300422</v>
      </c>
      <c r="J4" s="353">
        <f>'Cashflow '!J30</f>
        <v>42.529126775585858</v>
      </c>
      <c r="K4" s="353">
        <f>'Cashflow '!K30</f>
        <v>44.969298541335185</v>
      </c>
      <c r="L4" s="353">
        <f>'Cashflow '!L30</f>
        <v>47.699369688106835</v>
      </c>
      <c r="M4" s="353">
        <f>'Cashflow '!M30</f>
        <v>50.675924089022637</v>
      </c>
      <c r="N4" s="353">
        <f>'Cashflow '!N30</f>
        <v>53.862051158208708</v>
      </c>
      <c r="O4" s="353">
        <f>'Cashflow '!O30</f>
        <v>52.848951049869235</v>
      </c>
      <c r="P4" s="353">
        <f>'Cashflow '!P30</f>
        <v>51.98736469039509</v>
      </c>
      <c r="Q4" s="353">
        <f>'Cashflow '!Q30</f>
        <v>51.254610144195048</v>
      </c>
      <c r="R4" s="353">
        <f>'Cashflow '!R30</f>
        <v>50.631403253342675</v>
      </c>
      <c r="S4" s="353">
        <f>'Cashflow '!S30</f>
        <v>50.101348422194071</v>
      </c>
      <c r="T4" s="353">
        <f>'Cashflow '!T30</f>
        <v>49.65050573918608</v>
      </c>
    </row>
    <row r="5" spans="1:35" s="347" customFormat="1" ht="15" customHeight="1" x14ac:dyDescent="0.2">
      <c r="A5" s="349">
        <v>2</v>
      </c>
      <c r="B5" s="362" t="s">
        <v>500</v>
      </c>
      <c r="C5" s="349" t="s">
        <v>536</v>
      </c>
      <c r="D5" s="349"/>
      <c r="E5" s="349"/>
      <c r="F5" s="353">
        <f>'Cashflow '!F27</f>
        <v>29.856488775000003</v>
      </c>
      <c r="G5" s="353">
        <f>'Cashflow '!G27</f>
        <v>29.856488775000003</v>
      </c>
      <c r="H5" s="353">
        <f>'Cashflow '!H27</f>
        <v>29.856488775000003</v>
      </c>
      <c r="I5" s="353">
        <f>'Cashflow '!I27</f>
        <v>29.856488775000003</v>
      </c>
      <c r="J5" s="353">
        <f>'Cashflow '!J27</f>
        <v>29.856488775000003</v>
      </c>
      <c r="K5" s="353">
        <f>'Cashflow '!K27</f>
        <v>29.856488775000003</v>
      </c>
      <c r="L5" s="353">
        <f>'Cashflow '!L27</f>
        <v>29.856488775000003</v>
      </c>
      <c r="M5" s="353">
        <f>'Cashflow '!M27</f>
        <v>29.856488775000003</v>
      </c>
      <c r="N5" s="353">
        <f>'Cashflow '!N27</f>
        <v>29.856488775000003</v>
      </c>
      <c r="O5" s="353">
        <f>'Cashflow '!O27</f>
        <v>29.856488775000003</v>
      </c>
      <c r="P5" s="353">
        <f>'Cashflow '!P27</f>
        <v>29.856488775000003</v>
      </c>
      <c r="Q5" s="353">
        <f>'Cashflow '!Q27</f>
        <v>29.856488775000003</v>
      </c>
      <c r="R5" s="353">
        <f>'Cashflow '!R27</f>
        <v>29.856488775000003</v>
      </c>
      <c r="S5" s="353">
        <f>'Cashflow '!S27</f>
        <v>29.856488775000003</v>
      </c>
      <c r="T5" s="353">
        <f>'Cashflow '!T27</f>
        <v>29.856488775000003</v>
      </c>
    </row>
    <row r="6" spans="1:35" s="347" customFormat="1" ht="15" customHeight="1" x14ac:dyDescent="0.2">
      <c r="A6" s="349">
        <v>3</v>
      </c>
      <c r="B6" s="362" t="s">
        <v>501</v>
      </c>
      <c r="C6" s="349" t="s">
        <v>536</v>
      </c>
      <c r="D6" s="349"/>
      <c r="E6" s="349"/>
      <c r="F6" s="353">
        <f>'Cashflow '!F26</f>
        <v>35.019357260625007</v>
      </c>
      <c r="G6" s="353">
        <f>'Cashflow '!G26</f>
        <v>30.64193760304688</v>
      </c>
      <c r="H6" s="353">
        <f>'Cashflow '!H26</f>
        <v>26.264517945468757</v>
      </c>
      <c r="I6" s="353">
        <f>'Cashflow '!I26</f>
        <v>21.887098287890634</v>
      </c>
      <c r="J6" s="353">
        <f>'Cashflow '!J26</f>
        <v>17.509678630312507</v>
      </c>
      <c r="K6" s="353">
        <f>'Cashflow '!K26</f>
        <v>13.132258972734384</v>
      </c>
      <c r="L6" s="353">
        <f>'Cashflow '!L26</f>
        <v>8.7548393151562571</v>
      </c>
      <c r="M6" s="353">
        <f>'Cashflow '!M26</f>
        <v>4.3774196575781321</v>
      </c>
      <c r="N6" s="353">
        <f>'Cashflow '!N26</f>
        <v>6.394884621840901E-15</v>
      </c>
      <c r="O6" s="353">
        <f>'Cashflow '!O26</f>
        <v>6.394884621840901E-15</v>
      </c>
      <c r="P6" s="353">
        <f>'Cashflow '!P26</f>
        <v>6.394884621840901E-15</v>
      </c>
      <c r="Q6" s="353">
        <f>'Cashflow '!Q26</f>
        <v>6.394884621840901E-15</v>
      </c>
      <c r="R6" s="353">
        <f>'Cashflow '!R26</f>
        <v>6.394884621840901E-15</v>
      </c>
      <c r="S6" s="353">
        <f>'Cashflow '!S26</f>
        <v>6.394884621840901E-15</v>
      </c>
      <c r="T6" s="353">
        <f>'Cashflow '!T26</f>
        <v>6.394884621840901E-15</v>
      </c>
    </row>
    <row r="7" spans="1:35" s="347" customFormat="1" ht="15" customHeight="1" x14ac:dyDescent="0.2">
      <c r="A7" s="349">
        <v>4</v>
      </c>
      <c r="B7" s="362" t="s">
        <v>512</v>
      </c>
      <c r="C7" s="349" t="s">
        <v>536</v>
      </c>
      <c r="D7" s="349"/>
      <c r="E7" s="349"/>
      <c r="F7" s="354">
        <f>-'Working Capital'!D17</f>
        <v>-2.4148471914269853</v>
      </c>
      <c r="G7" s="354">
        <f>-'Working Capital'!E17</f>
        <v>-0.30135366684245035</v>
      </c>
      <c r="H7" s="354">
        <f>-'Working Capital'!F17</f>
        <v>-0.45203050026367597</v>
      </c>
      <c r="I7" s="352">
        <f>-'Working Capital'!G17</f>
        <v>0</v>
      </c>
      <c r="J7" s="352">
        <f>-'Working Capital'!H17</f>
        <v>0</v>
      </c>
      <c r="K7" s="352">
        <f>-'Working Capital'!I17</f>
        <v>0</v>
      </c>
      <c r="L7" s="352">
        <f>-'Working Capital'!J17</f>
        <v>0</v>
      </c>
      <c r="M7" s="352">
        <f>-'Working Capital'!K17</f>
        <v>0</v>
      </c>
      <c r="N7" s="354">
        <f>-'Working Capital'!L17</f>
        <v>0</v>
      </c>
      <c r="O7" s="352">
        <f>-'Working Capital'!M17</f>
        <v>0</v>
      </c>
      <c r="P7" s="352">
        <f>-'Working Capital'!N17</f>
        <v>0</v>
      </c>
      <c r="Q7" s="352">
        <f>-'Working Capital'!O17</f>
        <v>0</v>
      </c>
      <c r="R7" s="352">
        <f>-'Working Capital'!P17</f>
        <v>0</v>
      </c>
      <c r="S7" s="354">
        <f>-'Working Capital'!Q17</f>
        <v>0</v>
      </c>
      <c r="T7" s="352">
        <f>-'Working Capital'!R17</f>
        <v>0</v>
      </c>
    </row>
    <row r="8" spans="1:35" s="347" customFormat="1" ht="15" customHeight="1" x14ac:dyDescent="0.2">
      <c r="A8" s="349">
        <v>5</v>
      </c>
      <c r="B8" s="362" t="s">
        <v>499</v>
      </c>
      <c r="C8" s="349" t="s">
        <v>536</v>
      </c>
      <c r="D8" s="349"/>
      <c r="E8" s="349"/>
      <c r="F8" s="352">
        <v>0</v>
      </c>
      <c r="G8" s="352">
        <v>0</v>
      </c>
      <c r="H8" s="352">
        <v>0</v>
      </c>
      <c r="I8" s="352">
        <v>0</v>
      </c>
      <c r="J8" s="352">
        <v>0</v>
      </c>
      <c r="K8" s="352">
        <v>0</v>
      </c>
      <c r="L8" s="352">
        <v>0</v>
      </c>
      <c r="M8" s="352">
        <v>0</v>
      </c>
      <c r="N8" s="352">
        <v>0</v>
      </c>
      <c r="O8" s="352">
        <v>0</v>
      </c>
      <c r="P8" s="352">
        <v>0</v>
      </c>
      <c r="Q8" s="352">
        <v>0</v>
      </c>
      <c r="R8" s="352">
        <v>0</v>
      </c>
      <c r="S8" s="352">
        <v>0</v>
      </c>
      <c r="T8" s="354">
        <f>-SUM(F7:T7)</f>
        <v>3.1682313585331117</v>
      </c>
    </row>
    <row r="9" spans="1:35" s="347" customFormat="1" ht="15" customHeight="1" x14ac:dyDescent="0.2">
      <c r="A9" s="349">
        <v>6</v>
      </c>
      <c r="B9" s="362" t="s">
        <v>513</v>
      </c>
      <c r="C9" s="349" t="s">
        <v>536</v>
      </c>
      <c r="D9" s="349"/>
      <c r="E9" s="349"/>
      <c r="F9" s="352">
        <v>0</v>
      </c>
      <c r="G9" s="352">
        <v>0</v>
      </c>
      <c r="H9" s="352">
        <v>0</v>
      </c>
      <c r="I9" s="352">
        <v>0</v>
      </c>
      <c r="J9" s="352">
        <v>0</v>
      </c>
      <c r="K9" s="352">
        <v>0</v>
      </c>
      <c r="L9" s="352">
        <v>0</v>
      </c>
      <c r="M9" s="352">
        <v>0</v>
      </c>
      <c r="N9" s="352">
        <v>0</v>
      </c>
      <c r="O9" s="352">
        <v>0</v>
      </c>
      <c r="P9" s="352">
        <v>0</v>
      </c>
      <c r="Q9" s="352">
        <v>0</v>
      </c>
      <c r="R9" s="352">
        <v>0</v>
      </c>
      <c r="S9" s="352">
        <v>0</v>
      </c>
      <c r="T9" s="355">
        <f>-'Working Capital'!R18</f>
        <v>-9.5046940755993354</v>
      </c>
    </row>
    <row r="10" spans="1:35" s="347" customFormat="1" ht="15" customHeight="1" x14ac:dyDescent="0.2">
      <c r="A10" s="349">
        <v>7</v>
      </c>
      <c r="B10" s="362" t="s">
        <v>537</v>
      </c>
      <c r="C10" s="349" t="s">
        <v>536</v>
      </c>
      <c r="D10" s="349"/>
      <c r="E10" s="349"/>
      <c r="F10" s="352">
        <v>0</v>
      </c>
      <c r="G10" s="352">
        <v>0</v>
      </c>
      <c r="H10" s="352">
        <v>0</v>
      </c>
      <c r="I10" s="352">
        <v>0</v>
      </c>
      <c r="J10" s="352">
        <v>0</v>
      </c>
      <c r="K10" s="352">
        <v>0</v>
      </c>
      <c r="L10" s="352">
        <v>0</v>
      </c>
      <c r="M10" s="352">
        <v>0</v>
      </c>
      <c r="N10" s="352">
        <v>0</v>
      </c>
      <c r="O10" s="352">
        <v>0</v>
      </c>
      <c r="P10" s="352">
        <v>0</v>
      </c>
      <c r="Q10" s="352">
        <v>0</v>
      </c>
      <c r="R10" s="352">
        <v>0</v>
      </c>
      <c r="S10" s="352">
        <v>0</v>
      </c>
      <c r="T10" s="353">
        <f>(Capex!B11-Capex!B8-Capex!B9-Capex!B10)*0.05</f>
        <v>21.027500000000003</v>
      </c>
    </row>
    <row r="11" spans="1:35" s="347" customFormat="1" ht="15" customHeight="1" x14ac:dyDescent="0.2">
      <c r="A11" s="349">
        <v>8</v>
      </c>
      <c r="B11" s="458" t="s">
        <v>539</v>
      </c>
      <c r="C11" s="349" t="s">
        <v>536</v>
      </c>
      <c r="D11" s="325">
        <f>-(Capex!B72/100-Capex!B10)/2</f>
        <v>-252.25970353125001</v>
      </c>
      <c r="E11" s="325">
        <f>D11</f>
        <v>-252.25970353125001</v>
      </c>
      <c r="F11" s="353">
        <f>SUM(F4:F10)</f>
        <v>70.500699094032427</v>
      </c>
      <c r="G11" s="353">
        <f t="shared" ref="G11:T11" si="0">SUM(G4:G10)</f>
        <v>94.733180739436818</v>
      </c>
      <c r="H11" s="353">
        <f t="shared" si="0"/>
        <v>94.400734981389391</v>
      </c>
      <c r="I11" s="353">
        <f t="shared" si="0"/>
        <v>92.173510259191062</v>
      </c>
      <c r="J11" s="353">
        <f t="shared" si="0"/>
        <v>89.895294180898375</v>
      </c>
      <c r="K11" s="353">
        <f t="shared" si="0"/>
        <v>87.958046289069557</v>
      </c>
      <c r="L11" s="353">
        <f t="shared" si="0"/>
        <v>86.310697778263091</v>
      </c>
      <c r="M11" s="353">
        <f t="shared" si="0"/>
        <v>84.909832521600762</v>
      </c>
      <c r="N11" s="353">
        <f t="shared" si="0"/>
        <v>83.718539933208717</v>
      </c>
      <c r="O11" s="353">
        <f t="shared" si="0"/>
        <v>82.705439824869245</v>
      </c>
      <c r="P11" s="353">
        <f t="shared" si="0"/>
        <v>81.843853465395085</v>
      </c>
      <c r="Q11" s="353">
        <f t="shared" si="0"/>
        <v>81.111098919195058</v>
      </c>
      <c r="R11" s="353">
        <f t="shared" si="0"/>
        <v>80.487892028342685</v>
      </c>
      <c r="S11" s="353">
        <f t="shared" si="0"/>
        <v>79.957837197194067</v>
      </c>
      <c r="T11" s="353">
        <f t="shared" si="0"/>
        <v>94.198031797119867</v>
      </c>
    </row>
    <row r="12" spans="1:35" s="347" customFormat="1" ht="15" customHeight="1" x14ac:dyDescent="0.2">
      <c r="A12" s="344">
        <v>9</v>
      </c>
      <c r="B12" s="327" t="s">
        <v>538</v>
      </c>
      <c r="C12" s="344" t="s">
        <v>536</v>
      </c>
      <c r="D12" s="459">
        <f>D11</f>
        <v>-252.25970353125001</v>
      </c>
      <c r="E12" s="459">
        <f t="shared" ref="E12:T12" si="1">E11</f>
        <v>-252.25970353125001</v>
      </c>
      <c r="F12" s="459">
        <f t="shared" si="1"/>
        <v>70.500699094032427</v>
      </c>
      <c r="G12" s="459">
        <f t="shared" si="1"/>
        <v>94.733180739436818</v>
      </c>
      <c r="H12" s="459">
        <f t="shared" si="1"/>
        <v>94.400734981389391</v>
      </c>
      <c r="I12" s="459">
        <f t="shared" si="1"/>
        <v>92.173510259191062</v>
      </c>
      <c r="J12" s="459">
        <f t="shared" si="1"/>
        <v>89.895294180898375</v>
      </c>
      <c r="K12" s="459">
        <f t="shared" si="1"/>
        <v>87.958046289069557</v>
      </c>
      <c r="L12" s="459">
        <f t="shared" si="1"/>
        <v>86.310697778263091</v>
      </c>
      <c r="M12" s="459">
        <f t="shared" si="1"/>
        <v>84.909832521600762</v>
      </c>
      <c r="N12" s="459">
        <f t="shared" si="1"/>
        <v>83.718539933208717</v>
      </c>
      <c r="O12" s="459">
        <f t="shared" si="1"/>
        <v>82.705439824869245</v>
      </c>
      <c r="P12" s="459">
        <f t="shared" si="1"/>
        <v>81.843853465395085</v>
      </c>
      <c r="Q12" s="459">
        <f t="shared" si="1"/>
        <v>81.111098919195058</v>
      </c>
      <c r="R12" s="459">
        <f t="shared" si="1"/>
        <v>80.487892028342685</v>
      </c>
      <c r="S12" s="459">
        <f t="shared" si="1"/>
        <v>79.957837197194067</v>
      </c>
      <c r="T12" s="459">
        <f t="shared" si="1"/>
        <v>94.198031797119867</v>
      </c>
    </row>
    <row r="13" spans="1:35" ht="15" customHeight="1" x14ac:dyDescent="0.2">
      <c r="A13" s="344">
        <v>10</v>
      </c>
      <c r="B13" s="327" t="s">
        <v>502</v>
      </c>
      <c r="C13" s="326" t="s">
        <v>422</v>
      </c>
      <c r="D13" s="666">
        <f>IRR(D12:T12)</f>
        <v>0.1362775998403456</v>
      </c>
      <c r="E13" s="469">
        <f>-(E11+E12)</f>
        <v>504.51940706250002</v>
      </c>
      <c r="F13" s="500"/>
      <c r="G13" s="500"/>
      <c r="H13" s="500"/>
      <c r="I13" s="500"/>
      <c r="J13" s="500"/>
      <c r="K13" s="500"/>
      <c r="L13" s="500"/>
      <c r="M13" s="500"/>
      <c r="N13" s="500"/>
      <c r="O13" s="500"/>
      <c r="P13" s="500"/>
      <c r="Q13" s="500"/>
      <c r="R13" s="500"/>
      <c r="S13" s="500"/>
      <c r="T13" s="500"/>
    </row>
    <row r="14" spans="1:35" ht="15" customHeight="1" x14ac:dyDescent="0.2">
      <c r="A14" s="205"/>
      <c r="C14" s="320"/>
      <c r="D14" s="505"/>
      <c r="E14" s="504"/>
      <c r="F14" s="500"/>
      <c r="G14" s="500"/>
      <c r="H14" s="500"/>
      <c r="I14" s="500"/>
      <c r="J14" s="500"/>
      <c r="K14" s="500"/>
      <c r="L14" s="500"/>
      <c r="M14" s="500"/>
      <c r="N14" s="500"/>
      <c r="O14" s="500"/>
      <c r="P14" s="500"/>
      <c r="Q14" s="500"/>
      <c r="R14" s="500"/>
      <c r="S14" s="500"/>
      <c r="T14" s="500"/>
    </row>
    <row r="15" spans="1:35" ht="15" customHeight="1" x14ac:dyDescent="0.2">
      <c r="A15" s="460" t="s">
        <v>402</v>
      </c>
      <c r="B15" s="336" t="s">
        <v>566</v>
      </c>
      <c r="C15" s="320"/>
      <c r="D15" s="505"/>
      <c r="E15" s="504"/>
      <c r="F15" s="500"/>
      <c r="G15" s="500"/>
      <c r="H15" s="500"/>
      <c r="I15" s="500"/>
      <c r="J15" s="500"/>
      <c r="K15" s="500"/>
      <c r="L15" s="500"/>
      <c r="M15" s="500"/>
      <c r="N15" s="500"/>
      <c r="O15" s="500"/>
      <c r="P15" s="500"/>
      <c r="Q15" s="500"/>
      <c r="R15" s="500"/>
      <c r="S15" s="500"/>
      <c r="T15" s="500"/>
    </row>
    <row r="16" spans="1:35" ht="15" customHeight="1" x14ac:dyDescent="0.2">
      <c r="A16" s="460">
        <v>1</v>
      </c>
      <c r="B16" s="327" t="s">
        <v>567</v>
      </c>
      <c r="C16" s="326" t="s">
        <v>547</v>
      </c>
      <c r="D16" s="506"/>
      <c r="E16" s="469">
        <f>E13</f>
        <v>504.51940706250002</v>
      </c>
      <c r="F16" s="507">
        <f>F11</f>
        <v>70.500699094032427</v>
      </c>
      <c r="G16" s="507">
        <f>G12+F12</f>
        <v>165.23387983346925</v>
      </c>
      <c r="H16" s="507">
        <f>H12+G16</f>
        <v>259.63461481485865</v>
      </c>
      <c r="I16" s="507">
        <f>I12+H16</f>
        <v>351.80812507404971</v>
      </c>
      <c r="J16" s="507">
        <f t="shared" ref="J16:T16" si="2">J12+I16</f>
        <v>441.70341925494807</v>
      </c>
      <c r="K16" s="507">
        <f t="shared" si="2"/>
        <v>529.66146554401757</v>
      </c>
      <c r="L16" s="507">
        <f t="shared" si="2"/>
        <v>615.97216332228072</v>
      </c>
      <c r="M16" s="507">
        <f t="shared" si="2"/>
        <v>700.88199584388144</v>
      </c>
      <c r="N16" s="507">
        <f t="shared" si="2"/>
        <v>784.60053577709016</v>
      </c>
      <c r="O16" s="507">
        <f t="shared" si="2"/>
        <v>867.3059756019594</v>
      </c>
      <c r="P16" s="507">
        <f t="shared" si="2"/>
        <v>949.14982906735452</v>
      </c>
      <c r="Q16" s="507">
        <f t="shared" si="2"/>
        <v>1030.2609279865496</v>
      </c>
      <c r="R16" s="507">
        <f t="shared" si="2"/>
        <v>1110.7488200148923</v>
      </c>
      <c r="S16" s="507">
        <f t="shared" si="2"/>
        <v>1190.7066572120864</v>
      </c>
      <c r="T16" s="507">
        <f t="shared" si="2"/>
        <v>1284.9046890092063</v>
      </c>
    </row>
    <row r="17" spans="1:35" ht="15" customHeight="1" x14ac:dyDescent="0.2">
      <c r="A17" s="344">
        <v>2</v>
      </c>
      <c r="B17" s="327" t="s">
        <v>503</v>
      </c>
      <c r="C17" s="326"/>
      <c r="D17" s="506"/>
      <c r="E17" s="469"/>
      <c r="F17" s="329" t="b">
        <f>IF(F16&lt;$E$16,TRUE,FALSE)</f>
        <v>1</v>
      </c>
      <c r="G17" s="329" t="b">
        <f t="shared" ref="G17:L17" si="3">IF(G16&lt;$E$16,TRUE,FALSE)</f>
        <v>1</v>
      </c>
      <c r="H17" s="329" t="b">
        <f t="shared" si="3"/>
        <v>1</v>
      </c>
      <c r="I17" s="329" t="b">
        <f t="shared" si="3"/>
        <v>1</v>
      </c>
      <c r="J17" s="329" t="b">
        <f t="shared" si="3"/>
        <v>1</v>
      </c>
      <c r="K17" s="329" t="b">
        <f t="shared" si="3"/>
        <v>0</v>
      </c>
      <c r="L17" s="329" t="b">
        <f t="shared" si="3"/>
        <v>0</v>
      </c>
      <c r="M17" s="329" t="b">
        <f t="shared" ref="M17" si="4">IF(M16&lt;$E$16,TRUE,FALSE)</f>
        <v>0</v>
      </c>
      <c r="N17" s="329" t="b">
        <f t="shared" ref="N17" si="5">IF(N16&lt;$E$16,TRUE,FALSE)</f>
        <v>0</v>
      </c>
      <c r="O17" s="329" t="b">
        <f t="shared" ref="O17" si="6">IF(O16&lt;$E$16,TRUE,FALSE)</f>
        <v>0</v>
      </c>
      <c r="P17" s="329" t="b">
        <f t="shared" ref="P17" si="7">IF(P16&lt;$E$16,TRUE,FALSE)</f>
        <v>0</v>
      </c>
      <c r="Q17" s="329" t="b">
        <f t="shared" ref="Q17:R17" si="8">IF(Q16&lt;$E$16,TRUE,FALSE)</f>
        <v>0</v>
      </c>
      <c r="R17" s="329" t="b">
        <f t="shared" si="8"/>
        <v>0</v>
      </c>
      <c r="S17" s="329" t="b">
        <f t="shared" ref="S17" si="9">IF(S16&lt;$E$16,TRUE,FALSE)</f>
        <v>0</v>
      </c>
      <c r="T17" s="329" t="b">
        <f t="shared" ref="T17" si="10">IF(T16&lt;$E$16,TRUE,FALSE)</f>
        <v>0</v>
      </c>
    </row>
    <row r="18" spans="1:35" ht="15" customHeight="1" x14ac:dyDescent="0.2">
      <c r="A18" s="344">
        <v>3</v>
      </c>
      <c r="B18" s="327"/>
      <c r="C18" s="326"/>
      <c r="D18" s="506"/>
      <c r="E18" s="469"/>
      <c r="F18" s="329">
        <f>IF(F17=TRUE,1,$E$16/F16)</f>
        <v>1</v>
      </c>
      <c r="G18" s="329">
        <f>IF(G17=TRUE,1,($E$16-F16)/G12)</f>
        <v>1</v>
      </c>
      <c r="H18" s="329">
        <f>IF(H17=TRUE,1,($E$16-G16)/H12)</f>
        <v>1</v>
      </c>
      <c r="I18" s="329">
        <f t="shared" ref="I18:K18" si="11">IF(I17=TRUE,1,($E$16-H16)/I12)</f>
        <v>1</v>
      </c>
      <c r="J18" s="329">
        <f t="shared" si="11"/>
        <v>1</v>
      </c>
      <c r="K18" s="329">
        <f t="shared" si="11"/>
        <v>0.7141585159942101</v>
      </c>
      <c r="L18" s="329">
        <f t="shared" ref="L18" si="12">IF(L17=TRUE,1,($E$16-K16)/L12)</f>
        <v>-0.29129712919375161</v>
      </c>
      <c r="M18" s="329">
        <f t="shared" ref="M18:N18" si="13">IF(M17=TRUE,1,($E$16-L16)/M12)</f>
        <v>-1.3126012965745459</v>
      </c>
      <c r="N18" s="329">
        <f t="shared" si="13"/>
        <v>-2.345508998819628</v>
      </c>
      <c r="O18" s="329">
        <f t="shared" ref="O18" si="14">IF(O17=TRUE,1,($E$16-N16)/O12)</f>
        <v>-3.3864898041491425</v>
      </c>
      <c r="P18" s="329">
        <f t="shared" ref="P18:Q18" si="15">IF(P17=TRUE,1,($E$16-O16)/P12)</f>
        <v>-4.4326672459630885</v>
      </c>
      <c r="Q18" s="329">
        <f t="shared" si="15"/>
        <v>-5.4817457527952698</v>
      </c>
      <c r="R18" s="329">
        <f t="shared" ref="R18" si="16">IF(R17=TRUE,1,($E$16-Q16)/R12)</f>
        <v>-6.5319330358275138</v>
      </c>
      <c r="S18" s="329">
        <f t="shared" ref="S18:T18" si="17">IF(S17=TRUE,1,($E$16-R16)/S12)</f>
        <v>-7.5818635696372549</v>
      </c>
      <c r="T18" s="329">
        <f t="shared" si="17"/>
        <v>-7.2845179146361607</v>
      </c>
    </row>
    <row r="19" spans="1:35" ht="15" customHeight="1" x14ac:dyDescent="0.2">
      <c r="A19" s="344">
        <v>4</v>
      </c>
      <c r="B19" s="327" t="s">
        <v>568</v>
      </c>
      <c r="C19" s="326" t="s">
        <v>296</v>
      </c>
      <c r="D19" s="483">
        <f>SUM(F18:J18)+K18</f>
        <v>5.7141585159942103</v>
      </c>
      <c r="E19" s="504"/>
      <c r="F19" s="328"/>
      <c r="G19" s="328"/>
      <c r="H19" s="328"/>
      <c r="I19" s="328"/>
      <c r="J19" s="328"/>
      <c r="K19" s="328"/>
      <c r="L19" s="328"/>
      <c r="M19" s="328"/>
      <c r="N19" s="328"/>
      <c r="O19" s="328"/>
      <c r="P19" s="328"/>
      <c r="Q19" s="328"/>
      <c r="R19" s="328"/>
      <c r="S19" s="328"/>
      <c r="T19" s="328"/>
    </row>
    <row r="20" spans="1:35" ht="15" customHeight="1" x14ac:dyDescent="0.2">
      <c r="A20" s="205"/>
      <c r="C20" s="320"/>
      <c r="D20" s="505"/>
      <c r="E20" s="504"/>
      <c r="F20" s="328"/>
      <c r="G20" s="328"/>
      <c r="H20" s="328"/>
      <c r="I20" s="328"/>
      <c r="J20" s="328"/>
      <c r="K20" s="328"/>
      <c r="L20" s="328"/>
      <c r="M20" s="328"/>
      <c r="N20" s="328"/>
      <c r="O20" s="328"/>
      <c r="P20" s="328"/>
      <c r="Q20" s="328"/>
      <c r="R20" s="328"/>
      <c r="S20" s="328"/>
      <c r="T20" s="328"/>
    </row>
    <row r="21" spans="1:35" s="347" customFormat="1" ht="15" hidden="1" customHeight="1" x14ac:dyDescent="0.2">
      <c r="A21" s="344" t="s">
        <v>402</v>
      </c>
      <c r="B21" s="357" t="s">
        <v>504</v>
      </c>
      <c r="C21" s="344" t="s">
        <v>536</v>
      </c>
      <c r="D21" s="344" t="s">
        <v>541</v>
      </c>
      <c r="E21" s="205"/>
      <c r="F21" s="350"/>
      <c r="J21" s="350"/>
      <c r="K21" s="350"/>
      <c r="L21" s="350"/>
      <c r="M21" s="350"/>
      <c r="N21" s="350"/>
      <c r="O21" s="350"/>
      <c r="P21" s="350"/>
      <c r="U21" s="344"/>
      <c r="V21" s="366" t="e">
        <f>#REF!-1*#REF!/#REF!</f>
        <v>#REF!</v>
      </c>
    </row>
    <row r="22" spans="1:35" ht="15" hidden="1" customHeight="1" x14ac:dyDescent="0.2">
      <c r="A22" s="326">
        <v>1</v>
      </c>
      <c r="B22" s="327" t="s">
        <v>418</v>
      </c>
      <c r="C22" s="462">
        <f>Capex!B76/100</f>
        <v>118.66543750000001</v>
      </c>
      <c r="D22" s="463">
        <v>0.1</v>
      </c>
      <c r="E22" s="351"/>
      <c r="F22" s="328"/>
      <c r="L22" s="328"/>
      <c r="M22" s="328"/>
      <c r="N22" s="328"/>
      <c r="O22" s="328"/>
      <c r="P22" s="328"/>
    </row>
    <row r="23" spans="1:35" ht="15" hidden="1" customHeight="1" x14ac:dyDescent="0.2">
      <c r="A23" s="326">
        <v>2</v>
      </c>
      <c r="B23" s="327" t="s">
        <v>87</v>
      </c>
      <c r="C23" s="462">
        <f>Capex!B75/100</f>
        <v>389.10396956250008</v>
      </c>
      <c r="D23" s="463">
        <f>Norms!B52</f>
        <v>0.09</v>
      </c>
      <c r="E23" s="351"/>
      <c r="F23" s="328"/>
      <c r="J23" s="328"/>
      <c r="K23" s="328"/>
      <c r="L23" s="328"/>
      <c r="M23" s="328"/>
      <c r="N23" s="328"/>
      <c r="O23" s="328"/>
      <c r="P23" s="328"/>
    </row>
    <row r="24" spans="1:35" ht="15" hidden="1" customHeight="1" x14ac:dyDescent="0.2">
      <c r="A24" s="326">
        <v>3</v>
      </c>
      <c r="B24" s="327" t="s">
        <v>514</v>
      </c>
      <c r="C24" s="462">
        <f>C22+C23</f>
        <v>507.76940706250008</v>
      </c>
      <c r="D24" s="463">
        <f>(C22*D22+C23*D23)/SUM(C22:C23)</f>
        <v>9.2336994624912364E-2</v>
      </c>
      <c r="E24" s="351"/>
      <c r="F24" s="328"/>
      <c r="G24" s="328"/>
      <c r="H24" s="328"/>
      <c r="I24" s="328"/>
      <c r="J24" s="328"/>
      <c r="K24" s="328"/>
      <c r="L24" s="328"/>
      <c r="M24" s="328"/>
      <c r="N24" s="328"/>
      <c r="O24" s="328"/>
      <c r="P24" s="328"/>
    </row>
    <row r="25" spans="1:35" ht="15" hidden="1" customHeight="1" x14ac:dyDescent="0.2">
      <c r="A25" s="326">
        <v>4</v>
      </c>
      <c r="B25" s="498" t="s">
        <v>11</v>
      </c>
      <c r="C25" s="359">
        <f>NPV(D24,D12:T12)</f>
        <v>130.87566437865667</v>
      </c>
      <c r="D25" s="320"/>
      <c r="E25" s="320"/>
      <c r="F25" s="328" t="s">
        <v>249</v>
      </c>
      <c r="G25" s="328"/>
      <c r="H25" s="320"/>
      <c r="I25" s="328"/>
      <c r="J25" s="320"/>
      <c r="K25" s="331"/>
      <c r="L25" s="328"/>
      <c r="M25" s="328"/>
      <c r="N25" s="328"/>
      <c r="O25" s="328"/>
      <c r="P25" s="328"/>
    </row>
    <row r="26" spans="1:35" ht="15" hidden="1" customHeight="1" x14ac:dyDescent="0.2">
      <c r="B26" s="324"/>
      <c r="C26" s="358"/>
      <c r="D26" s="320"/>
      <c r="E26" s="320"/>
      <c r="F26" s="328"/>
      <c r="G26" s="328"/>
      <c r="H26" s="320"/>
      <c r="I26" s="328"/>
      <c r="J26" s="320"/>
      <c r="K26" s="331"/>
      <c r="L26" s="328"/>
      <c r="M26" s="328"/>
      <c r="N26" s="328"/>
      <c r="O26" s="328"/>
      <c r="P26" s="328"/>
    </row>
    <row r="27" spans="1:35" ht="15" customHeight="1" x14ac:dyDescent="0.25">
      <c r="B27" s="580" t="s">
        <v>419</v>
      </c>
      <c r="C27" s="358"/>
      <c r="D27" s="320"/>
      <c r="E27" s="320"/>
      <c r="F27" s="328"/>
      <c r="G27" s="328"/>
      <c r="H27" s="320"/>
      <c r="I27" s="328"/>
      <c r="J27" s="320"/>
      <c r="K27" s="331"/>
      <c r="L27" s="328"/>
      <c r="M27" s="328"/>
      <c r="N27" s="328"/>
      <c r="O27" s="328"/>
      <c r="P27" s="328"/>
    </row>
    <row r="28" spans="1:35" s="345" customFormat="1" ht="15" customHeight="1" x14ac:dyDescent="0.2">
      <c r="A28" s="460" t="s">
        <v>402</v>
      </c>
      <c r="B28" s="357" t="s">
        <v>6</v>
      </c>
      <c r="C28" s="460" t="s">
        <v>436</v>
      </c>
      <c r="D28" s="460">
        <v>-2</v>
      </c>
      <c r="E28" s="460">
        <v>-1</v>
      </c>
      <c r="F28" s="379">
        <v>1</v>
      </c>
      <c r="G28" s="379">
        <v>2</v>
      </c>
      <c r="H28" s="379">
        <v>3</v>
      </c>
      <c r="I28" s="379">
        <v>4</v>
      </c>
      <c r="J28" s="379">
        <v>5</v>
      </c>
      <c r="K28" s="379">
        <v>6</v>
      </c>
      <c r="L28" s="379">
        <v>7</v>
      </c>
      <c r="M28" s="379">
        <v>8</v>
      </c>
      <c r="N28" s="379">
        <v>9</v>
      </c>
      <c r="O28" s="379">
        <v>10</v>
      </c>
      <c r="P28" s="379">
        <v>11</v>
      </c>
      <c r="Q28" s="379">
        <v>12</v>
      </c>
      <c r="R28" s="379">
        <v>13</v>
      </c>
      <c r="S28" s="379">
        <v>14</v>
      </c>
      <c r="T28" s="379">
        <v>15</v>
      </c>
      <c r="U28" s="347"/>
      <c r="V28" s="347"/>
      <c r="W28" s="347"/>
      <c r="X28" s="347"/>
      <c r="Y28" s="347"/>
      <c r="Z28" s="347"/>
      <c r="AA28" s="347"/>
      <c r="AB28" s="347"/>
      <c r="AC28" s="347"/>
      <c r="AD28" s="347"/>
      <c r="AE28" s="347"/>
      <c r="AF28" s="347"/>
      <c r="AG28" s="347"/>
      <c r="AH28" s="347"/>
      <c r="AI28" s="348"/>
    </row>
    <row r="29" spans="1:35" s="347" customFormat="1" ht="15" customHeight="1" x14ac:dyDescent="0.2">
      <c r="A29" s="349">
        <v>1</v>
      </c>
      <c r="B29" s="327" t="s">
        <v>72</v>
      </c>
      <c r="C29" s="349" t="s">
        <v>536</v>
      </c>
      <c r="D29" s="349"/>
      <c r="E29" s="349"/>
      <c r="F29" s="353">
        <f t="shared" ref="F29:T29" si="18">F4</f>
        <v>8.0397002498344001</v>
      </c>
      <c r="G29" s="353">
        <f t="shared" si="18"/>
        <v>34.536108028232384</v>
      </c>
      <c r="H29" s="353">
        <f t="shared" si="18"/>
        <v>38.731758761184309</v>
      </c>
      <c r="I29" s="353">
        <f t="shared" si="18"/>
        <v>40.429923196300422</v>
      </c>
      <c r="J29" s="353">
        <f t="shared" si="18"/>
        <v>42.529126775585858</v>
      </c>
      <c r="K29" s="353">
        <f t="shared" si="18"/>
        <v>44.969298541335185</v>
      </c>
      <c r="L29" s="353">
        <f t="shared" si="18"/>
        <v>47.699369688106835</v>
      </c>
      <c r="M29" s="353">
        <f t="shared" si="18"/>
        <v>50.675924089022637</v>
      </c>
      <c r="N29" s="353">
        <f t="shared" si="18"/>
        <v>53.862051158208708</v>
      </c>
      <c r="O29" s="353">
        <f t="shared" si="18"/>
        <v>52.848951049869235</v>
      </c>
      <c r="P29" s="353">
        <f t="shared" si="18"/>
        <v>51.98736469039509</v>
      </c>
      <c r="Q29" s="353">
        <f t="shared" si="18"/>
        <v>51.254610144195048</v>
      </c>
      <c r="R29" s="353">
        <f t="shared" si="18"/>
        <v>50.631403253342675</v>
      </c>
      <c r="S29" s="353">
        <f t="shared" si="18"/>
        <v>50.101348422194071</v>
      </c>
      <c r="T29" s="353">
        <f t="shared" si="18"/>
        <v>49.65050573918608</v>
      </c>
    </row>
    <row r="30" spans="1:35" s="347" customFormat="1" ht="15" customHeight="1" x14ac:dyDescent="0.2">
      <c r="A30" s="349">
        <v>2</v>
      </c>
      <c r="B30" s="327" t="s">
        <v>500</v>
      </c>
      <c r="C30" s="349" t="s">
        <v>536</v>
      </c>
      <c r="D30" s="349"/>
      <c r="E30" s="349"/>
      <c r="F30" s="353">
        <f t="shared" ref="F30:T30" si="19">F5</f>
        <v>29.856488775000003</v>
      </c>
      <c r="G30" s="353">
        <f t="shared" si="19"/>
        <v>29.856488775000003</v>
      </c>
      <c r="H30" s="353">
        <f t="shared" si="19"/>
        <v>29.856488775000003</v>
      </c>
      <c r="I30" s="353">
        <f t="shared" si="19"/>
        <v>29.856488775000003</v>
      </c>
      <c r="J30" s="353">
        <f t="shared" si="19"/>
        <v>29.856488775000003</v>
      </c>
      <c r="K30" s="353">
        <f t="shared" si="19"/>
        <v>29.856488775000003</v>
      </c>
      <c r="L30" s="353">
        <f t="shared" si="19"/>
        <v>29.856488775000003</v>
      </c>
      <c r="M30" s="353">
        <f t="shared" si="19"/>
        <v>29.856488775000003</v>
      </c>
      <c r="N30" s="353">
        <f t="shared" si="19"/>
        <v>29.856488775000003</v>
      </c>
      <c r="O30" s="353">
        <f t="shared" si="19"/>
        <v>29.856488775000003</v>
      </c>
      <c r="P30" s="353">
        <f t="shared" si="19"/>
        <v>29.856488775000003</v>
      </c>
      <c r="Q30" s="353">
        <f t="shared" si="19"/>
        <v>29.856488775000003</v>
      </c>
      <c r="R30" s="353">
        <f t="shared" si="19"/>
        <v>29.856488775000003</v>
      </c>
      <c r="S30" s="353">
        <f t="shared" si="19"/>
        <v>29.856488775000003</v>
      </c>
      <c r="T30" s="353">
        <f t="shared" si="19"/>
        <v>29.856488775000003</v>
      </c>
    </row>
    <row r="31" spans="1:35" s="347" customFormat="1" ht="15" customHeight="1" x14ac:dyDescent="0.2">
      <c r="A31" s="349">
        <v>3</v>
      </c>
      <c r="B31" s="327" t="s">
        <v>515</v>
      </c>
      <c r="C31" s="349" t="s">
        <v>536</v>
      </c>
      <c r="D31" s="349"/>
      <c r="E31" s="349"/>
      <c r="F31" s="353">
        <f>-'Cashflow '!E89</f>
        <v>-48.63799619531251</v>
      </c>
      <c r="G31" s="353">
        <f>-'Cashflow '!F89</f>
        <v>-48.63799619531251</v>
      </c>
      <c r="H31" s="353">
        <f>-'Cashflow '!G89</f>
        <v>-48.63799619531251</v>
      </c>
      <c r="I31" s="353">
        <f>-'Cashflow '!H89</f>
        <v>-48.63799619531251</v>
      </c>
      <c r="J31" s="353">
        <f>-'Cashflow '!I89</f>
        <v>-48.63799619531251</v>
      </c>
      <c r="K31" s="353">
        <f>-'Cashflow '!J89</f>
        <v>-48.63799619531251</v>
      </c>
      <c r="L31" s="353">
        <f>-'Cashflow '!K89</f>
        <v>-48.63799619531251</v>
      </c>
      <c r="M31" s="353">
        <f>-'Cashflow '!L89</f>
        <v>-48.63799619531251</v>
      </c>
      <c r="N31" s="353">
        <f>-'Cashflow '!M89</f>
        <v>0</v>
      </c>
      <c r="O31" s="353">
        <f>-'Cashflow '!N89</f>
        <v>0</v>
      </c>
      <c r="P31" s="353">
        <f>-'Cashflow '!O89</f>
        <v>0</v>
      </c>
      <c r="Q31" s="353">
        <f>-'Cashflow '!P89</f>
        <v>0</v>
      </c>
      <c r="R31" s="353">
        <f>-'Cashflow '!Q89</f>
        <v>0</v>
      </c>
      <c r="S31" s="353">
        <f>-'Cashflow '!R89</f>
        <v>0</v>
      </c>
      <c r="T31" s="353">
        <f>-'Cashflow '!S89</f>
        <v>0</v>
      </c>
    </row>
    <row r="32" spans="1:35" s="347" customFormat="1" ht="15" customHeight="1" x14ac:dyDescent="0.2">
      <c r="A32" s="349">
        <v>4</v>
      </c>
      <c r="B32" s="327" t="s">
        <v>499</v>
      </c>
      <c r="C32" s="349" t="s">
        <v>536</v>
      </c>
      <c r="D32" s="349"/>
      <c r="E32" s="349"/>
      <c r="F32" s="355">
        <f t="shared" ref="F32:T32" si="20">F8</f>
        <v>0</v>
      </c>
      <c r="G32" s="355">
        <f t="shared" si="20"/>
        <v>0</v>
      </c>
      <c r="H32" s="355">
        <f t="shared" si="20"/>
        <v>0</v>
      </c>
      <c r="I32" s="355">
        <f t="shared" si="20"/>
        <v>0</v>
      </c>
      <c r="J32" s="355">
        <f t="shared" si="20"/>
        <v>0</v>
      </c>
      <c r="K32" s="355">
        <f t="shared" si="20"/>
        <v>0</v>
      </c>
      <c r="L32" s="355">
        <f t="shared" si="20"/>
        <v>0</v>
      </c>
      <c r="M32" s="355">
        <f t="shared" si="20"/>
        <v>0</v>
      </c>
      <c r="N32" s="355">
        <f t="shared" si="20"/>
        <v>0</v>
      </c>
      <c r="O32" s="355">
        <f t="shared" si="20"/>
        <v>0</v>
      </c>
      <c r="P32" s="355">
        <f t="shared" si="20"/>
        <v>0</v>
      </c>
      <c r="Q32" s="355">
        <f t="shared" si="20"/>
        <v>0</v>
      </c>
      <c r="R32" s="355">
        <f t="shared" si="20"/>
        <v>0</v>
      </c>
      <c r="S32" s="355">
        <f t="shared" si="20"/>
        <v>0</v>
      </c>
      <c r="T32" s="355">
        <f t="shared" si="20"/>
        <v>3.1682313585331117</v>
      </c>
    </row>
    <row r="33" spans="1:35" s="347" customFormat="1" ht="15" customHeight="1" x14ac:dyDescent="0.2">
      <c r="A33" s="349">
        <v>5</v>
      </c>
      <c r="B33" s="327" t="s">
        <v>513</v>
      </c>
      <c r="C33" s="349" t="s">
        <v>536</v>
      </c>
      <c r="D33" s="349"/>
      <c r="E33" s="349"/>
      <c r="F33" s="355">
        <f t="shared" ref="F33:T33" si="21">F9</f>
        <v>0</v>
      </c>
      <c r="G33" s="355">
        <f t="shared" si="21"/>
        <v>0</v>
      </c>
      <c r="H33" s="355">
        <f t="shared" si="21"/>
        <v>0</v>
      </c>
      <c r="I33" s="355">
        <f t="shared" si="21"/>
        <v>0</v>
      </c>
      <c r="J33" s="355">
        <f t="shared" si="21"/>
        <v>0</v>
      </c>
      <c r="K33" s="355">
        <f t="shared" si="21"/>
        <v>0</v>
      </c>
      <c r="L33" s="355">
        <f t="shared" si="21"/>
        <v>0</v>
      </c>
      <c r="M33" s="355">
        <f t="shared" si="21"/>
        <v>0</v>
      </c>
      <c r="N33" s="355">
        <f t="shared" si="21"/>
        <v>0</v>
      </c>
      <c r="O33" s="355">
        <f t="shared" si="21"/>
        <v>0</v>
      </c>
      <c r="P33" s="355">
        <f t="shared" si="21"/>
        <v>0</v>
      </c>
      <c r="Q33" s="355">
        <f t="shared" si="21"/>
        <v>0</v>
      </c>
      <c r="R33" s="355">
        <f t="shared" si="21"/>
        <v>0</v>
      </c>
      <c r="S33" s="355">
        <f t="shared" si="21"/>
        <v>0</v>
      </c>
      <c r="T33" s="355">
        <f t="shared" si="21"/>
        <v>-9.5046940755993354</v>
      </c>
    </row>
    <row r="34" spans="1:35" s="347" customFormat="1" ht="15" customHeight="1" x14ac:dyDescent="0.2">
      <c r="A34" s="349">
        <v>6</v>
      </c>
      <c r="B34" s="330" t="s">
        <v>542</v>
      </c>
      <c r="C34" s="349" t="s">
        <v>536</v>
      </c>
      <c r="D34" s="349"/>
      <c r="E34" s="349"/>
      <c r="F34" s="352">
        <f t="shared" ref="F34:T34" si="22">F10</f>
        <v>0</v>
      </c>
      <c r="G34" s="352">
        <f t="shared" si="22"/>
        <v>0</v>
      </c>
      <c r="H34" s="352">
        <f t="shared" si="22"/>
        <v>0</v>
      </c>
      <c r="I34" s="352">
        <f t="shared" si="22"/>
        <v>0</v>
      </c>
      <c r="J34" s="352">
        <f t="shared" si="22"/>
        <v>0</v>
      </c>
      <c r="K34" s="352">
        <f t="shared" si="22"/>
        <v>0</v>
      </c>
      <c r="L34" s="352">
        <f t="shared" si="22"/>
        <v>0</v>
      </c>
      <c r="M34" s="352">
        <f t="shared" si="22"/>
        <v>0</v>
      </c>
      <c r="N34" s="352">
        <f t="shared" si="22"/>
        <v>0</v>
      </c>
      <c r="O34" s="352">
        <f t="shared" si="22"/>
        <v>0</v>
      </c>
      <c r="P34" s="352">
        <f t="shared" si="22"/>
        <v>0</v>
      </c>
      <c r="Q34" s="352">
        <f t="shared" si="22"/>
        <v>0</v>
      </c>
      <c r="R34" s="352">
        <f t="shared" si="22"/>
        <v>0</v>
      </c>
      <c r="S34" s="352">
        <f t="shared" si="22"/>
        <v>0</v>
      </c>
      <c r="T34" s="355">
        <f t="shared" si="22"/>
        <v>21.027500000000003</v>
      </c>
    </row>
    <row r="35" spans="1:35" s="347" customFormat="1" ht="15" customHeight="1" x14ac:dyDescent="0.2">
      <c r="A35" s="349">
        <v>7</v>
      </c>
      <c r="B35" s="458" t="s">
        <v>539</v>
      </c>
      <c r="C35" s="349" t="s">
        <v>536</v>
      </c>
      <c r="D35" s="461"/>
      <c r="E35" s="461"/>
      <c r="F35" s="386">
        <f>SUM(F29:F34)</f>
        <v>-10.741807170478111</v>
      </c>
      <c r="G35" s="386">
        <f t="shared" ref="G35:J35" si="23">SUM(G29:G34)</f>
        <v>15.754600607919869</v>
      </c>
      <c r="H35" s="386">
        <f t="shared" si="23"/>
        <v>19.950251340871802</v>
      </c>
      <c r="I35" s="386">
        <f t="shared" si="23"/>
        <v>21.648415775987914</v>
      </c>
      <c r="J35" s="386">
        <f t="shared" si="23"/>
        <v>23.747619355273358</v>
      </c>
      <c r="K35" s="386">
        <f t="shared" ref="K35" si="24">SUM(K29:K34)</f>
        <v>26.18779112102267</v>
      </c>
      <c r="L35" s="386">
        <f t="shared" ref="L35" si="25">SUM(L29:L34)</f>
        <v>28.91786226779432</v>
      </c>
      <c r="M35" s="386">
        <f t="shared" ref="M35:N35" si="26">SUM(M29:M34)</f>
        <v>31.894416668710122</v>
      </c>
      <c r="N35" s="386">
        <f t="shared" si="26"/>
        <v>83.718539933208717</v>
      </c>
      <c r="O35" s="386">
        <f t="shared" ref="O35" si="27">SUM(O29:O34)</f>
        <v>82.705439824869245</v>
      </c>
      <c r="P35" s="386">
        <f t="shared" ref="P35" si="28">SUM(P29:P34)</f>
        <v>81.843853465395085</v>
      </c>
      <c r="Q35" s="386">
        <f t="shared" ref="Q35:R35" si="29">SUM(Q29:Q34)</f>
        <v>81.111098919195058</v>
      </c>
      <c r="R35" s="386">
        <f t="shared" si="29"/>
        <v>80.487892028342685</v>
      </c>
      <c r="S35" s="386">
        <f t="shared" ref="S35" si="30">SUM(S29:S34)</f>
        <v>79.957837197194067</v>
      </c>
      <c r="T35" s="386">
        <f t="shared" ref="T35" si="31">SUM(T29:T34)</f>
        <v>94.198031797119867</v>
      </c>
    </row>
    <row r="36" spans="1:35" s="347" customFormat="1" ht="15" customHeight="1" x14ac:dyDescent="0.2">
      <c r="A36" s="349">
        <v>8</v>
      </c>
      <c r="B36" s="327" t="s">
        <v>505</v>
      </c>
      <c r="C36" s="349" t="s">
        <v>536</v>
      </c>
      <c r="D36" s="459">
        <f>-C22</f>
        <v>-118.66543750000001</v>
      </c>
      <c r="E36" s="459">
        <f t="shared" ref="E36:T36" si="32">E35</f>
        <v>0</v>
      </c>
      <c r="F36" s="459">
        <f t="shared" si="32"/>
        <v>-10.741807170478111</v>
      </c>
      <c r="G36" s="459">
        <f t="shared" si="32"/>
        <v>15.754600607919869</v>
      </c>
      <c r="H36" s="459">
        <f t="shared" si="32"/>
        <v>19.950251340871802</v>
      </c>
      <c r="I36" s="459">
        <f t="shared" si="32"/>
        <v>21.648415775987914</v>
      </c>
      <c r="J36" s="459">
        <f t="shared" si="32"/>
        <v>23.747619355273358</v>
      </c>
      <c r="K36" s="459">
        <f t="shared" si="32"/>
        <v>26.18779112102267</v>
      </c>
      <c r="L36" s="459">
        <f t="shared" si="32"/>
        <v>28.91786226779432</v>
      </c>
      <c r="M36" s="459">
        <f t="shared" si="32"/>
        <v>31.894416668710122</v>
      </c>
      <c r="N36" s="459">
        <f t="shared" si="32"/>
        <v>83.718539933208717</v>
      </c>
      <c r="O36" s="459">
        <f t="shared" si="32"/>
        <v>82.705439824869245</v>
      </c>
      <c r="P36" s="459">
        <f t="shared" si="32"/>
        <v>81.843853465395085</v>
      </c>
      <c r="Q36" s="459">
        <f t="shared" si="32"/>
        <v>81.111098919195058</v>
      </c>
      <c r="R36" s="459">
        <f t="shared" si="32"/>
        <v>80.487892028342685</v>
      </c>
      <c r="S36" s="459">
        <f t="shared" si="32"/>
        <v>79.957837197194067</v>
      </c>
      <c r="T36" s="459">
        <f t="shared" si="32"/>
        <v>94.198031797119867</v>
      </c>
    </row>
    <row r="37" spans="1:35" s="347" customFormat="1" ht="15" customHeight="1" x14ac:dyDescent="0.2">
      <c r="A37" s="349">
        <v>9</v>
      </c>
      <c r="B37" s="327" t="s">
        <v>540</v>
      </c>
      <c r="C37" s="344" t="s">
        <v>536</v>
      </c>
      <c r="D37" s="667">
        <f>IRR(D36:T36)</f>
        <v>0.18617195318703272</v>
      </c>
      <c r="E37" s="459"/>
      <c r="F37" s="459"/>
      <c r="G37" s="459"/>
      <c r="H37" s="459"/>
      <c r="I37" s="459"/>
      <c r="J37" s="459"/>
      <c r="K37" s="459"/>
      <c r="L37" s="459"/>
      <c r="M37" s="459"/>
      <c r="N37" s="459"/>
      <c r="O37" s="459"/>
      <c r="P37" s="459"/>
      <c r="Q37" s="459"/>
      <c r="R37" s="459"/>
      <c r="S37" s="459"/>
      <c r="T37" s="459"/>
    </row>
    <row r="38" spans="1:35" s="347" customFormat="1" ht="15" customHeight="1" x14ac:dyDescent="0.2">
      <c r="A38" s="205"/>
      <c r="B38" s="322"/>
      <c r="C38" s="205"/>
      <c r="D38" s="420"/>
      <c r="E38" s="508"/>
      <c r="F38" s="508"/>
      <c r="G38" s="508"/>
      <c r="H38" s="508"/>
      <c r="I38" s="508"/>
      <c r="J38" s="508"/>
      <c r="K38" s="508"/>
      <c r="L38" s="508"/>
      <c r="M38" s="508"/>
      <c r="N38" s="508"/>
      <c r="O38" s="508"/>
      <c r="P38" s="508"/>
      <c r="Q38" s="508"/>
      <c r="R38" s="508"/>
      <c r="S38" s="508"/>
      <c r="T38" s="508"/>
    </row>
    <row r="39" spans="1:35" s="347" customFormat="1" ht="15" customHeight="1" x14ac:dyDescent="0.2">
      <c r="A39" s="460" t="s">
        <v>402</v>
      </c>
      <c r="B39" s="336" t="s">
        <v>569</v>
      </c>
      <c r="C39" s="320"/>
      <c r="D39" s="505"/>
      <c r="E39" s="504"/>
      <c r="F39" s="500"/>
      <c r="G39" s="500"/>
      <c r="H39" s="500"/>
      <c r="I39" s="500"/>
      <c r="J39" s="500"/>
      <c r="K39" s="500"/>
      <c r="L39" s="500"/>
      <c r="M39" s="500"/>
      <c r="N39" s="500"/>
      <c r="O39" s="500"/>
      <c r="P39" s="500"/>
      <c r="Q39" s="500"/>
      <c r="R39" s="500"/>
      <c r="S39" s="500"/>
      <c r="T39" s="500"/>
    </row>
    <row r="40" spans="1:35" s="347" customFormat="1" ht="15" customHeight="1" x14ac:dyDescent="0.2">
      <c r="A40" s="460">
        <v>1</v>
      </c>
      <c r="B40" s="327" t="s">
        <v>570</v>
      </c>
      <c r="C40" s="326" t="s">
        <v>547</v>
      </c>
      <c r="D40" s="506"/>
      <c r="E40" s="469">
        <f>-D36</f>
        <v>118.66543750000001</v>
      </c>
      <c r="F40" s="507">
        <f>F36</f>
        <v>-10.741807170478111</v>
      </c>
      <c r="G40" s="507">
        <f>G36+F36</f>
        <v>5.0127934374417578</v>
      </c>
      <c r="H40" s="507">
        <f>H36+G40</f>
        <v>24.963044778313559</v>
      </c>
      <c r="I40" s="507">
        <f>I36+H40</f>
        <v>46.611460554301473</v>
      </c>
      <c r="J40" s="507">
        <f t="shared" ref="J40:T40" si="33">J36+I40</f>
        <v>70.359079909574831</v>
      </c>
      <c r="K40" s="507">
        <f t="shared" si="33"/>
        <v>96.546871030597501</v>
      </c>
      <c r="L40" s="507">
        <f t="shared" si="33"/>
        <v>125.46473329839182</v>
      </c>
      <c r="M40" s="507">
        <f t="shared" si="33"/>
        <v>157.35914996710193</v>
      </c>
      <c r="N40" s="507">
        <f t="shared" si="33"/>
        <v>241.07768990031065</v>
      </c>
      <c r="O40" s="507">
        <f t="shared" si="33"/>
        <v>323.78312972517989</v>
      </c>
      <c r="P40" s="507">
        <f t="shared" si="33"/>
        <v>405.62698319057495</v>
      </c>
      <c r="Q40" s="507">
        <f t="shared" si="33"/>
        <v>486.73808210977</v>
      </c>
      <c r="R40" s="507">
        <f t="shared" si="33"/>
        <v>567.22597413811263</v>
      </c>
      <c r="S40" s="507">
        <f t="shared" si="33"/>
        <v>647.1838113353067</v>
      </c>
      <c r="T40" s="507">
        <f t="shared" si="33"/>
        <v>741.38184313242652</v>
      </c>
    </row>
    <row r="41" spans="1:35" s="347" customFormat="1" ht="15" customHeight="1" x14ac:dyDescent="0.2">
      <c r="A41" s="344">
        <v>2</v>
      </c>
      <c r="B41" s="327" t="s">
        <v>503</v>
      </c>
      <c r="C41" s="326"/>
      <c r="D41" s="506"/>
      <c r="E41" s="469"/>
      <c r="F41" s="329" t="b">
        <f>IF(F40&lt;$E$40,TRUE,FALSE)</f>
        <v>1</v>
      </c>
      <c r="G41" s="329" t="b">
        <f t="shared" ref="G41:T41" si="34">IF(G40&lt;$E$40,TRUE,FALSE)</f>
        <v>1</v>
      </c>
      <c r="H41" s="329" t="b">
        <f t="shared" si="34"/>
        <v>1</v>
      </c>
      <c r="I41" s="329" t="b">
        <f t="shared" si="34"/>
        <v>1</v>
      </c>
      <c r="J41" s="329" t="b">
        <f t="shared" si="34"/>
        <v>1</v>
      </c>
      <c r="K41" s="329" t="b">
        <f t="shared" si="34"/>
        <v>1</v>
      </c>
      <c r="L41" s="329" t="b">
        <f t="shared" si="34"/>
        <v>0</v>
      </c>
      <c r="M41" s="329" t="b">
        <f t="shared" si="34"/>
        <v>0</v>
      </c>
      <c r="N41" s="329" t="b">
        <f t="shared" si="34"/>
        <v>0</v>
      </c>
      <c r="O41" s="329" t="b">
        <f t="shared" si="34"/>
        <v>0</v>
      </c>
      <c r="P41" s="329" t="b">
        <f t="shared" si="34"/>
        <v>0</v>
      </c>
      <c r="Q41" s="329" t="b">
        <f t="shared" si="34"/>
        <v>0</v>
      </c>
      <c r="R41" s="329" t="b">
        <f t="shared" si="34"/>
        <v>0</v>
      </c>
      <c r="S41" s="329" t="b">
        <f t="shared" si="34"/>
        <v>0</v>
      </c>
      <c r="T41" s="329" t="b">
        <f t="shared" si="34"/>
        <v>0</v>
      </c>
    </row>
    <row r="42" spans="1:35" s="347" customFormat="1" ht="15" customHeight="1" x14ac:dyDescent="0.2">
      <c r="A42" s="344">
        <v>3</v>
      </c>
      <c r="B42" s="327"/>
      <c r="C42" s="326"/>
      <c r="D42" s="506"/>
      <c r="E42" s="469"/>
      <c r="F42" s="329">
        <f>IF(F41=TRUE,1,$E$40/F40)</f>
        <v>1</v>
      </c>
      <c r="G42" s="329">
        <f>IF(G41=TRUE,1,($E$40-F40)/G36)</f>
        <v>1</v>
      </c>
      <c r="H42" s="329">
        <f t="shared" ref="H42:T42" si="35">IF(H41=TRUE,1,($E$40-G40)/H36)</f>
        <v>1</v>
      </c>
      <c r="I42" s="329">
        <f t="shared" si="35"/>
        <v>1</v>
      </c>
      <c r="J42" s="329">
        <f t="shared" si="35"/>
        <v>1</v>
      </c>
      <c r="K42" s="329">
        <f t="shared" si="35"/>
        <v>1</v>
      </c>
      <c r="L42" s="329">
        <f t="shared" si="35"/>
        <v>0.76487557290968389</v>
      </c>
      <c r="M42" s="329">
        <f t="shared" si="35"/>
        <v>-0.21318138121216149</v>
      </c>
      <c r="N42" s="329">
        <f t="shared" si="35"/>
        <v>-0.46218809475143802</v>
      </c>
      <c r="O42" s="329">
        <f t="shared" si="35"/>
        <v>-1.4800991646924497</v>
      </c>
      <c r="P42" s="329">
        <f t="shared" si="35"/>
        <v>-2.5062076569000626</v>
      </c>
      <c r="Q42" s="329">
        <f t="shared" si="35"/>
        <v>-3.5378826019414844</v>
      </c>
      <c r="R42" s="329">
        <f t="shared" si="35"/>
        <v>-4.5730188148070567</v>
      </c>
      <c r="S42" s="329">
        <f t="shared" si="35"/>
        <v>-5.6099633552100858</v>
      </c>
      <c r="T42" s="329">
        <f t="shared" si="35"/>
        <v>-5.6107156779412266</v>
      </c>
    </row>
    <row r="43" spans="1:35" s="347" customFormat="1" ht="15" customHeight="1" x14ac:dyDescent="0.2">
      <c r="A43" s="344">
        <v>4</v>
      </c>
      <c r="B43" s="327" t="s">
        <v>571</v>
      </c>
      <c r="C43" s="326" t="s">
        <v>296</v>
      </c>
      <c r="D43" s="483">
        <f>SUM(F42:K42)+L42</f>
        <v>6.7648755729096841</v>
      </c>
      <c r="E43" s="504"/>
      <c r="F43" s="328"/>
      <c r="G43" s="328"/>
      <c r="H43" s="328"/>
      <c r="I43" s="328"/>
      <c r="J43" s="328"/>
      <c r="K43" s="328"/>
      <c r="L43" s="328"/>
      <c r="M43" s="328"/>
      <c r="N43" s="328"/>
      <c r="O43" s="328"/>
      <c r="P43" s="328"/>
      <c r="Q43" s="328"/>
      <c r="R43" s="328"/>
      <c r="S43" s="328"/>
      <c r="T43" s="328"/>
    </row>
    <row r="44" spans="1:35" s="347" customFormat="1" ht="15" customHeight="1" x14ac:dyDescent="0.2">
      <c r="A44" s="205"/>
      <c r="B44" s="322"/>
      <c r="C44" s="205"/>
      <c r="D44" s="420"/>
      <c r="E44" s="508"/>
      <c r="F44" s="508"/>
      <c r="G44" s="508"/>
      <c r="H44" s="508"/>
      <c r="I44" s="508"/>
      <c r="J44" s="508"/>
      <c r="K44" s="508"/>
      <c r="L44" s="508"/>
      <c r="M44" s="508"/>
      <c r="N44" s="508"/>
      <c r="O44" s="508"/>
      <c r="P44" s="508"/>
      <c r="Q44" s="508"/>
      <c r="R44" s="508"/>
      <c r="S44" s="508"/>
      <c r="T44" s="508"/>
    </row>
    <row r="45" spans="1:35" ht="15" customHeight="1" x14ac:dyDescent="0.2">
      <c r="D45" s="324"/>
      <c r="E45" s="324"/>
      <c r="J45" s="323"/>
    </row>
    <row r="46" spans="1:35" s="347" customFormat="1" ht="15" customHeight="1" x14ac:dyDescent="0.2">
      <c r="A46" s="205"/>
      <c r="D46" s="361"/>
      <c r="E46" s="361"/>
      <c r="J46" s="360"/>
      <c r="U46" s="344"/>
      <c r="V46" s="367"/>
    </row>
    <row r="47" spans="1:35" s="365" customFormat="1" ht="15" customHeight="1" x14ac:dyDescent="0.25">
      <c r="A47" s="460" t="s">
        <v>402</v>
      </c>
      <c r="B47" s="665" t="s">
        <v>120</v>
      </c>
      <c r="C47" s="460" t="s">
        <v>436</v>
      </c>
      <c r="D47" s="460">
        <f t="shared" ref="D47:T47" si="36">D3</f>
        <v>-2</v>
      </c>
      <c r="E47" s="460">
        <f t="shared" si="36"/>
        <v>-1</v>
      </c>
      <c r="F47" s="460">
        <f t="shared" si="36"/>
        <v>1</v>
      </c>
      <c r="G47" s="460">
        <f t="shared" si="36"/>
        <v>2</v>
      </c>
      <c r="H47" s="460">
        <f t="shared" si="36"/>
        <v>3</v>
      </c>
      <c r="I47" s="460">
        <f t="shared" si="36"/>
        <v>4</v>
      </c>
      <c r="J47" s="460">
        <f t="shared" si="36"/>
        <v>5</v>
      </c>
      <c r="K47" s="460">
        <f t="shared" si="36"/>
        <v>6</v>
      </c>
      <c r="L47" s="460">
        <f t="shared" si="36"/>
        <v>7</v>
      </c>
      <c r="M47" s="460">
        <f t="shared" si="36"/>
        <v>8</v>
      </c>
      <c r="N47" s="460">
        <f t="shared" si="36"/>
        <v>9</v>
      </c>
      <c r="O47" s="460">
        <f t="shared" si="36"/>
        <v>10</v>
      </c>
      <c r="P47" s="460">
        <f t="shared" si="36"/>
        <v>11</v>
      </c>
      <c r="Q47" s="460">
        <f t="shared" si="36"/>
        <v>12</v>
      </c>
      <c r="R47" s="460">
        <f t="shared" si="36"/>
        <v>13</v>
      </c>
      <c r="S47" s="460">
        <f t="shared" si="36"/>
        <v>14</v>
      </c>
      <c r="T47" s="460">
        <f t="shared" si="36"/>
        <v>15</v>
      </c>
      <c r="U47" s="363"/>
      <c r="V47" s="368"/>
      <c r="W47" s="369"/>
      <c r="X47" s="369"/>
      <c r="Y47" s="369"/>
      <c r="Z47" s="369"/>
      <c r="AA47" s="369"/>
      <c r="AB47" s="369"/>
      <c r="AC47" s="369"/>
      <c r="AD47" s="369"/>
      <c r="AE47" s="369"/>
      <c r="AF47" s="369"/>
      <c r="AG47" s="369"/>
      <c r="AH47" s="369"/>
      <c r="AI47" s="364"/>
    </row>
    <row r="48" spans="1:35" s="347" customFormat="1" ht="15" customHeight="1" x14ac:dyDescent="0.2">
      <c r="A48" s="344">
        <v>1</v>
      </c>
      <c r="B48" s="458" t="s">
        <v>506</v>
      </c>
      <c r="C48" s="349" t="s">
        <v>536</v>
      </c>
      <c r="D48" s="464" t="s">
        <v>498</v>
      </c>
      <c r="E48" s="464"/>
      <c r="F48" s="465">
        <f t="shared" ref="F48:T48" si="37">F6</f>
        <v>35.019357260625007</v>
      </c>
      <c r="G48" s="465">
        <f t="shared" si="37"/>
        <v>30.64193760304688</v>
      </c>
      <c r="H48" s="465">
        <f t="shared" si="37"/>
        <v>26.264517945468757</v>
      </c>
      <c r="I48" s="465">
        <f t="shared" si="37"/>
        <v>21.887098287890634</v>
      </c>
      <c r="J48" s="465">
        <f t="shared" si="37"/>
        <v>17.509678630312507</v>
      </c>
      <c r="K48" s="465">
        <f t="shared" si="37"/>
        <v>13.132258972734384</v>
      </c>
      <c r="L48" s="465">
        <f t="shared" si="37"/>
        <v>8.7548393151562571</v>
      </c>
      <c r="M48" s="465">
        <f t="shared" si="37"/>
        <v>4.3774196575781321</v>
      </c>
      <c r="N48" s="465">
        <f t="shared" si="37"/>
        <v>6.394884621840901E-15</v>
      </c>
      <c r="O48" s="465">
        <f t="shared" si="37"/>
        <v>6.394884621840901E-15</v>
      </c>
      <c r="P48" s="465">
        <f t="shared" si="37"/>
        <v>6.394884621840901E-15</v>
      </c>
      <c r="Q48" s="465">
        <f t="shared" si="37"/>
        <v>6.394884621840901E-15</v>
      </c>
      <c r="R48" s="465">
        <f t="shared" si="37"/>
        <v>6.394884621840901E-15</v>
      </c>
      <c r="S48" s="465">
        <f t="shared" si="37"/>
        <v>6.394884621840901E-15</v>
      </c>
      <c r="T48" s="465">
        <f t="shared" si="37"/>
        <v>6.394884621840901E-15</v>
      </c>
    </row>
    <row r="49" spans="1:49" ht="15" customHeight="1" x14ac:dyDescent="0.2">
      <c r="A49" s="326">
        <v>2</v>
      </c>
      <c r="B49" s="330" t="s">
        <v>507</v>
      </c>
      <c r="C49" s="349" t="s">
        <v>536</v>
      </c>
      <c r="D49" s="329" t="s">
        <v>498</v>
      </c>
      <c r="E49" s="329"/>
      <c r="F49" s="466">
        <f t="shared" ref="F49:T49" si="38">-F31</f>
        <v>48.63799619531251</v>
      </c>
      <c r="G49" s="466">
        <f t="shared" si="38"/>
        <v>48.63799619531251</v>
      </c>
      <c r="H49" s="466">
        <f t="shared" si="38"/>
        <v>48.63799619531251</v>
      </c>
      <c r="I49" s="466">
        <f t="shared" si="38"/>
        <v>48.63799619531251</v>
      </c>
      <c r="J49" s="466">
        <f t="shared" si="38"/>
        <v>48.63799619531251</v>
      </c>
      <c r="K49" s="466">
        <f t="shared" si="38"/>
        <v>48.63799619531251</v>
      </c>
      <c r="L49" s="466">
        <f t="shared" si="38"/>
        <v>48.63799619531251</v>
      </c>
      <c r="M49" s="466">
        <f t="shared" si="38"/>
        <v>48.63799619531251</v>
      </c>
      <c r="N49" s="466">
        <f t="shared" si="38"/>
        <v>0</v>
      </c>
      <c r="O49" s="466">
        <f t="shared" si="38"/>
        <v>0</v>
      </c>
      <c r="P49" s="466">
        <f t="shared" si="38"/>
        <v>0</v>
      </c>
      <c r="Q49" s="466">
        <f t="shared" si="38"/>
        <v>0</v>
      </c>
      <c r="R49" s="466">
        <f t="shared" si="38"/>
        <v>0</v>
      </c>
      <c r="S49" s="466">
        <f t="shared" si="38"/>
        <v>0</v>
      </c>
      <c r="T49" s="466">
        <f t="shared" si="38"/>
        <v>0</v>
      </c>
      <c r="U49" s="333"/>
    </row>
    <row r="50" spans="1:49" ht="15" customHeight="1" x14ac:dyDescent="0.2">
      <c r="A50" s="326">
        <v>3</v>
      </c>
      <c r="B50" s="327" t="s">
        <v>508</v>
      </c>
      <c r="C50" s="349" t="s">
        <v>536</v>
      </c>
      <c r="D50" s="329"/>
      <c r="E50" s="329"/>
      <c r="F50" s="466">
        <f>F48+F49</f>
        <v>83.65735345593751</v>
      </c>
      <c r="G50" s="466">
        <f t="shared" ref="G50:T50" si="39">G48+G49</f>
        <v>79.279933798359394</v>
      </c>
      <c r="H50" s="466">
        <f t="shared" si="39"/>
        <v>74.902514140781264</v>
      </c>
      <c r="I50" s="466">
        <f t="shared" si="39"/>
        <v>70.525094483203148</v>
      </c>
      <c r="J50" s="466">
        <f t="shared" si="39"/>
        <v>66.147674825625018</v>
      </c>
      <c r="K50" s="466">
        <f t="shared" si="39"/>
        <v>61.770255168046894</v>
      </c>
      <c r="L50" s="466">
        <f t="shared" si="39"/>
        <v>57.392835510468771</v>
      </c>
      <c r="M50" s="466">
        <f t="shared" si="39"/>
        <v>53.015415852890641</v>
      </c>
      <c r="N50" s="466">
        <f t="shared" si="39"/>
        <v>6.394884621840901E-15</v>
      </c>
      <c r="O50" s="466">
        <f t="shared" si="39"/>
        <v>6.394884621840901E-15</v>
      </c>
      <c r="P50" s="466">
        <f t="shared" si="39"/>
        <v>6.394884621840901E-15</v>
      </c>
      <c r="Q50" s="467">
        <f t="shared" si="39"/>
        <v>6.394884621840901E-15</v>
      </c>
      <c r="R50" s="466">
        <f t="shared" si="39"/>
        <v>6.394884621840901E-15</v>
      </c>
      <c r="S50" s="466">
        <f t="shared" si="39"/>
        <v>6.394884621840901E-15</v>
      </c>
      <c r="T50" s="466">
        <f t="shared" si="39"/>
        <v>6.394884621840901E-15</v>
      </c>
    </row>
    <row r="51" spans="1:49" ht="15" customHeight="1" x14ac:dyDescent="0.2">
      <c r="A51" s="326">
        <v>4</v>
      </c>
      <c r="B51" s="327" t="s">
        <v>509</v>
      </c>
      <c r="C51" s="349" t="s">
        <v>536</v>
      </c>
      <c r="D51" s="329"/>
      <c r="E51" s="329"/>
      <c r="F51" s="466">
        <f t="shared" ref="F51:T51" si="40">F4+F5+F6</f>
        <v>72.915546285459413</v>
      </c>
      <c r="G51" s="466">
        <f t="shared" si="40"/>
        <v>95.034534406279263</v>
      </c>
      <c r="H51" s="466">
        <f t="shared" si="40"/>
        <v>94.852765481653066</v>
      </c>
      <c r="I51" s="466">
        <f t="shared" si="40"/>
        <v>92.173510259191062</v>
      </c>
      <c r="J51" s="466">
        <f t="shared" si="40"/>
        <v>89.895294180898375</v>
      </c>
      <c r="K51" s="466">
        <f t="shared" si="40"/>
        <v>87.958046289069557</v>
      </c>
      <c r="L51" s="466">
        <f t="shared" si="40"/>
        <v>86.310697778263091</v>
      </c>
      <c r="M51" s="466">
        <f t="shared" si="40"/>
        <v>84.909832521600762</v>
      </c>
      <c r="N51" s="466">
        <f t="shared" si="40"/>
        <v>83.718539933208717</v>
      </c>
      <c r="O51" s="466">
        <f t="shared" si="40"/>
        <v>82.705439824869245</v>
      </c>
      <c r="P51" s="466">
        <f t="shared" si="40"/>
        <v>81.843853465395085</v>
      </c>
      <c r="Q51" s="466">
        <f t="shared" si="40"/>
        <v>81.111098919195058</v>
      </c>
      <c r="R51" s="466">
        <f t="shared" si="40"/>
        <v>80.487892028342685</v>
      </c>
      <c r="S51" s="466">
        <f t="shared" si="40"/>
        <v>79.957837197194067</v>
      </c>
      <c r="T51" s="466">
        <f t="shared" si="40"/>
        <v>79.50699451418609</v>
      </c>
    </row>
    <row r="52" spans="1:49" s="327" customFormat="1" ht="15" customHeight="1" x14ac:dyDescent="0.2">
      <c r="A52" s="326">
        <v>5</v>
      </c>
      <c r="B52" s="330" t="s">
        <v>120</v>
      </c>
      <c r="C52" s="326" t="s">
        <v>510</v>
      </c>
      <c r="D52" s="329"/>
      <c r="E52" s="329"/>
      <c r="F52" s="329">
        <f>IF(F50&gt;10,F51/F50,0)</f>
        <v>0.87159757359362522</v>
      </c>
      <c r="G52" s="329">
        <f t="shared" ref="G52:T52" si="41">IF(G50&gt;10,G51/G50,0)</f>
        <v>1.1987211625074023</v>
      </c>
      <c r="H52" s="329">
        <f t="shared" si="41"/>
        <v>1.2663495554151196</v>
      </c>
      <c r="I52" s="329">
        <f t="shared" si="41"/>
        <v>1.3069604647058486</v>
      </c>
      <c r="J52" s="329">
        <f t="shared" si="41"/>
        <v>1.3590091324884144</v>
      </c>
      <c r="K52" s="329">
        <f t="shared" si="41"/>
        <v>1.423954718169423</v>
      </c>
      <c r="L52" s="329">
        <f t="shared" si="41"/>
        <v>1.5038583999307638</v>
      </c>
      <c r="M52" s="329">
        <f t="shared" si="41"/>
        <v>1.6016064602268152</v>
      </c>
      <c r="N52" s="329">
        <f t="shared" si="41"/>
        <v>0</v>
      </c>
      <c r="O52" s="329">
        <f t="shared" si="41"/>
        <v>0</v>
      </c>
      <c r="P52" s="329">
        <f t="shared" si="41"/>
        <v>0</v>
      </c>
      <c r="Q52" s="329">
        <f t="shared" si="41"/>
        <v>0</v>
      </c>
      <c r="R52" s="329">
        <f t="shared" si="41"/>
        <v>0</v>
      </c>
      <c r="S52" s="329">
        <f t="shared" si="41"/>
        <v>0</v>
      </c>
      <c r="T52" s="329">
        <f t="shared" si="41"/>
        <v>0</v>
      </c>
      <c r="U52" s="322"/>
      <c r="V52" s="322"/>
      <c r="W52" s="347"/>
      <c r="X52" s="347"/>
      <c r="Y52" s="347"/>
      <c r="Z52" s="347"/>
      <c r="AA52" s="347"/>
      <c r="AB52" s="347"/>
      <c r="AC52" s="347"/>
      <c r="AD52" s="347"/>
      <c r="AE52" s="347"/>
      <c r="AF52" s="347"/>
      <c r="AG52" s="347"/>
      <c r="AH52" s="347"/>
      <c r="AI52" s="348"/>
      <c r="AJ52" s="345"/>
      <c r="AK52" s="345"/>
      <c r="AL52" s="345"/>
      <c r="AM52" s="345"/>
      <c r="AN52" s="345"/>
      <c r="AO52" s="345"/>
      <c r="AP52" s="345"/>
      <c r="AQ52" s="345"/>
      <c r="AR52" s="345"/>
      <c r="AS52" s="345"/>
      <c r="AT52" s="345"/>
      <c r="AU52" s="345"/>
      <c r="AV52" s="345"/>
      <c r="AW52" s="345"/>
    </row>
    <row r="53" spans="1:49" ht="15" customHeight="1" x14ac:dyDescent="0.2">
      <c r="A53" s="326">
        <v>6</v>
      </c>
      <c r="B53" s="334" t="s">
        <v>511</v>
      </c>
      <c r="C53" s="326" t="s">
        <v>510</v>
      </c>
      <c r="D53" s="335">
        <f>AVERAGE(F52:T52)</f>
        <v>0.70213716446916075</v>
      </c>
      <c r="E53" s="342"/>
      <c r="F53" s="320"/>
      <c r="G53" s="320"/>
      <c r="H53" s="320"/>
      <c r="I53" s="320"/>
      <c r="J53" s="320"/>
      <c r="K53" s="320"/>
      <c r="L53" s="320"/>
      <c r="M53" s="320"/>
      <c r="N53" s="320"/>
      <c r="O53" s="320"/>
    </row>
    <row r="54" spans="1:49" ht="15" customHeight="1" x14ac:dyDescent="0.2">
      <c r="B54" s="336"/>
      <c r="D54" s="320"/>
      <c r="E54" s="320"/>
      <c r="F54" s="320"/>
      <c r="G54" s="320"/>
      <c r="H54" s="320"/>
      <c r="I54" s="320"/>
      <c r="J54" s="320"/>
      <c r="K54" s="320"/>
      <c r="L54" s="320"/>
      <c r="M54" s="320"/>
      <c r="N54" s="320"/>
      <c r="O54" s="320"/>
    </row>
    <row r="55" spans="1:49" ht="15" customHeight="1" x14ac:dyDescent="0.2">
      <c r="B55" s="324"/>
      <c r="D55" s="328"/>
      <c r="E55" s="328"/>
      <c r="F55" s="328"/>
      <c r="G55" s="328"/>
      <c r="H55" s="328"/>
      <c r="I55" s="328"/>
      <c r="J55" s="328"/>
      <c r="K55" s="328"/>
      <c r="L55" s="328"/>
      <c r="M55" s="328"/>
      <c r="N55" s="328"/>
      <c r="O55" s="328"/>
      <c r="P55" s="328"/>
      <c r="Q55" s="328"/>
      <c r="R55" s="328"/>
      <c r="S55" s="328"/>
      <c r="T55" s="328"/>
      <c r="U55" s="333"/>
    </row>
    <row r="56" spans="1:49" ht="15" customHeight="1" x14ac:dyDescent="0.2">
      <c r="D56" s="328"/>
      <c r="E56" s="328"/>
      <c r="F56" s="328"/>
      <c r="G56" s="328"/>
      <c r="H56" s="328"/>
      <c r="I56" s="328"/>
      <c r="J56" s="328"/>
      <c r="K56" s="328"/>
      <c r="L56" s="328"/>
      <c r="M56" s="328"/>
      <c r="N56" s="328"/>
      <c r="O56" s="328"/>
      <c r="P56" s="333"/>
    </row>
    <row r="57" spans="1:49" ht="15" customHeight="1" x14ac:dyDescent="0.2">
      <c r="B57" s="324"/>
      <c r="D57" s="332"/>
      <c r="E57" s="332"/>
      <c r="F57" s="320"/>
      <c r="G57" s="328"/>
      <c r="H57" s="328"/>
      <c r="I57" s="328"/>
      <c r="J57" s="328"/>
      <c r="K57" s="328"/>
      <c r="L57" s="328"/>
      <c r="M57" s="328"/>
      <c r="N57" s="328"/>
      <c r="O57" s="328"/>
      <c r="P57" s="333"/>
    </row>
    <row r="58" spans="1:49" ht="15" customHeight="1" x14ac:dyDescent="0.2">
      <c r="B58" s="324"/>
      <c r="D58" s="328"/>
      <c r="E58" s="328"/>
      <c r="F58" s="328"/>
      <c r="G58" s="328"/>
      <c r="H58" s="328"/>
      <c r="I58" s="328"/>
      <c r="J58" s="328"/>
      <c r="K58" s="328"/>
      <c r="L58" s="328"/>
      <c r="M58" s="328"/>
      <c r="N58" s="328"/>
      <c r="O58" s="328"/>
      <c r="P58" s="333"/>
    </row>
    <row r="59" spans="1:49" ht="15" customHeight="1" x14ac:dyDescent="0.2">
      <c r="D59" s="328"/>
      <c r="E59" s="328"/>
      <c r="F59" s="332"/>
      <c r="G59" s="328"/>
      <c r="H59" s="328"/>
      <c r="I59" s="328"/>
      <c r="J59" s="328"/>
      <c r="K59" s="328"/>
      <c r="L59" s="328"/>
      <c r="M59" s="328"/>
      <c r="N59" s="328"/>
      <c r="O59" s="328"/>
      <c r="P59" s="333"/>
    </row>
    <row r="60" spans="1:49" ht="15" customHeight="1" x14ac:dyDescent="0.2">
      <c r="B60" s="324"/>
      <c r="D60" s="328"/>
      <c r="E60" s="328"/>
      <c r="F60" s="332"/>
      <c r="G60" s="332"/>
      <c r="H60" s="332"/>
      <c r="I60" s="332"/>
      <c r="J60" s="332"/>
      <c r="K60" s="332"/>
      <c r="L60" s="332"/>
      <c r="M60" s="332"/>
      <c r="N60" s="332"/>
      <c r="O60" s="332"/>
      <c r="P60" s="332"/>
      <c r="Q60" s="332"/>
      <c r="R60" s="332"/>
      <c r="S60" s="337"/>
      <c r="T60" s="337"/>
      <c r="U60" s="333"/>
      <c r="V60" s="333"/>
    </row>
    <row r="61" spans="1:49" ht="15" customHeight="1" x14ac:dyDescent="0.2">
      <c r="B61" s="338"/>
      <c r="C61" s="338"/>
      <c r="D61" s="339"/>
      <c r="E61" s="339"/>
      <c r="F61" s="320"/>
      <c r="G61" s="320"/>
      <c r="H61" s="320"/>
      <c r="I61" s="320"/>
      <c r="J61" s="320"/>
      <c r="K61" s="320"/>
      <c r="L61" s="320"/>
      <c r="M61" s="320"/>
      <c r="N61" s="320"/>
      <c r="O61" s="320"/>
      <c r="P61" s="333"/>
    </row>
    <row r="62" spans="1:49" ht="15" customHeight="1" x14ac:dyDescent="0.2">
      <c r="B62" s="340"/>
      <c r="D62" s="328"/>
      <c r="E62" s="328"/>
      <c r="F62" s="328"/>
      <c r="G62" s="328"/>
      <c r="H62" s="328"/>
      <c r="I62" s="328"/>
      <c r="J62" s="328"/>
      <c r="K62" s="328"/>
      <c r="L62" s="328"/>
      <c r="M62" s="328"/>
      <c r="N62" s="328"/>
      <c r="O62" s="328"/>
      <c r="P62" s="328"/>
      <c r="Q62" s="328"/>
      <c r="R62" s="328"/>
      <c r="S62" s="328"/>
      <c r="T62" s="328"/>
    </row>
    <row r="63" spans="1:49" ht="15" customHeight="1" x14ac:dyDescent="0.2">
      <c r="B63" s="321"/>
      <c r="D63" s="341"/>
      <c r="E63" s="341"/>
      <c r="F63" s="342"/>
      <c r="G63" s="328"/>
      <c r="H63" s="328"/>
      <c r="I63" s="328"/>
      <c r="J63" s="328"/>
      <c r="K63" s="328"/>
      <c r="L63" s="328"/>
      <c r="M63" s="328"/>
      <c r="N63" s="328"/>
      <c r="O63" s="328"/>
      <c r="P63" s="333"/>
    </row>
    <row r="64" spans="1:49" ht="15" customHeight="1" x14ac:dyDescent="0.2">
      <c r="D64" s="320"/>
      <c r="E64" s="320"/>
      <c r="F64" s="320"/>
      <c r="G64" s="320"/>
      <c r="H64" s="320"/>
      <c r="I64" s="320"/>
      <c r="J64" s="320"/>
      <c r="K64" s="320"/>
      <c r="L64" s="320"/>
      <c r="M64" s="320"/>
      <c r="N64" s="320"/>
      <c r="O64" s="320"/>
    </row>
    <row r="65" spans="4:10" ht="15" customHeight="1" x14ac:dyDescent="0.2">
      <c r="D65" s="343"/>
      <c r="E65" s="343"/>
      <c r="F65" s="343"/>
      <c r="J65" s="323"/>
    </row>
  </sheetData>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9DA9-AAAC-45E6-B097-95A3D8A24821}">
  <dimension ref="A2:M33"/>
  <sheetViews>
    <sheetView showGridLines="0" topLeftCell="A16" workbookViewId="0">
      <selection activeCell="E38" sqref="E38"/>
    </sheetView>
  </sheetViews>
  <sheetFormatPr defaultRowHeight="12.75" x14ac:dyDescent="0.2"/>
  <cols>
    <col min="1" max="1" width="9.140625" style="1"/>
    <col min="2" max="2" width="27.85546875" style="1" bestFit="1" customWidth="1"/>
    <col min="3" max="4" width="9.140625" style="1"/>
    <col min="5" max="5" width="23.28515625" style="1" customWidth="1"/>
    <col min="6" max="8" width="9.140625" style="1"/>
    <col min="9" max="9" width="27" style="1" bestFit="1" customWidth="1"/>
    <col min="10" max="11" width="9.140625" style="1"/>
    <col min="12" max="12" width="21.5703125" style="1" bestFit="1" customWidth="1"/>
    <col min="13" max="16384" width="9.140625" style="1"/>
  </cols>
  <sheetData>
    <row r="2" spans="1:13" ht="15" x14ac:dyDescent="0.25">
      <c r="A2" s="620" t="s">
        <v>574</v>
      </c>
      <c r="B2" s="753" t="s">
        <v>578</v>
      </c>
      <c r="C2" s="753"/>
      <c r="D2" s="753"/>
      <c r="E2" s="753"/>
      <c r="F2" s="753"/>
      <c r="H2" s="620" t="s">
        <v>582</v>
      </c>
      <c r="I2" s="753" t="s">
        <v>583</v>
      </c>
      <c r="J2" s="753"/>
      <c r="K2" s="753"/>
      <c r="L2" s="753"/>
      <c r="M2" s="753"/>
    </row>
    <row r="4" spans="1:13" x14ac:dyDescent="0.2">
      <c r="B4" s="263" t="s">
        <v>575</v>
      </c>
      <c r="C4" s="621">
        <v>0.125</v>
      </c>
      <c r="D4" s="622"/>
      <c r="E4" s="621" t="s">
        <v>576</v>
      </c>
      <c r="F4" s="623">
        <v>6.07</v>
      </c>
      <c r="I4" s="263" t="s">
        <v>575</v>
      </c>
      <c r="J4" s="621">
        <v>0.14549999999999999</v>
      </c>
      <c r="K4" s="622"/>
      <c r="L4" s="621" t="s">
        <v>576</v>
      </c>
      <c r="M4" s="623">
        <v>5.44</v>
      </c>
    </row>
    <row r="5" spans="1:13" x14ac:dyDescent="0.2">
      <c r="B5" s="263" t="s">
        <v>419</v>
      </c>
      <c r="C5" s="621">
        <v>0.1636</v>
      </c>
      <c r="D5" s="622"/>
      <c r="E5" s="621" t="s">
        <v>577</v>
      </c>
      <c r="F5" s="623">
        <v>8.0500000000000007</v>
      </c>
      <c r="I5" s="263" t="s">
        <v>419</v>
      </c>
      <c r="J5" s="621">
        <v>0.2049</v>
      </c>
      <c r="K5" s="622"/>
      <c r="L5" s="621" t="s">
        <v>577</v>
      </c>
      <c r="M5" s="623">
        <v>5.86</v>
      </c>
    </row>
    <row r="8" spans="1:13" x14ac:dyDescent="0.2">
      <c r="B8" s="326" t="s">
        <v>80</v>
      </c>
      <c r="C8" s="326">
        <v>2025</v>
      </c>
      <c r="D8" s="326">
        <v>2030</v>
      </c>
      <c r="E8" s="326">
        <v>2035</v>
      </c>
      <c r="F8" s="326">
        <v>2037</v>
      </c>
      <c r="I8" s="326" t="s">
        <v>80</v>
      </c>
      <c r="J8" s="326">
        <v>2025</v>
      </c>
      <c r="K8" s="326">
        <v>2030</v>
      </c>
      <c r="L8" s="326">
        <v>2035</v>
      </c>
      <c r="M8" s="326">
        <v>2037</v>
      </c>
    </row>
    <row r="9" spans="1:13" x14ac:dyDescent="0.2">
      <c r="B9" s="269" t="s">
        <v>8</v>
      </c>
      <c r="C9" s="270">
        <v>201.53651519763997</v>
      </c>
      <c r="D9" s="270">
        <v>273.51384205393998</v>
      </c>
      <c r="E9" s="270">
        <v>273.51384205393998</v>
      </c>
      <c r="F9" s="270">
        <v>273.51384205393998</v>
      </c>
      <c r="I9" s="269" t="s">
        <v>8</v>
      </c>
      <c r="J9" s="270">
        <v>201.53651519763997</v>
      </c>
      <c r="K9" s="270">
        <v>273.51384205393998</v>
      </c>
      <c r="L9" s="270">
        <v>273.51384205393998</v>
      </c>
      <c r="M9" s="270">
        <v>273.51384205393998</v>
      </c>
    </row>
    <row r="10" spans="1:13" x14ac:dyDescent="0.2">
      <c r="B10" s="269" t="s">
        <v>9</v>
      </c>
      <c r="C10" s="270">
        <v>117.36510734292513</v>
      </c>
      <c r="D10" s="270">
        <v>146.75839565157597</v>
      </c>
      <c r="E10" s="270">
        <v>146.75839565157597</v>
      </c>
      <c r="F10" s="270">
        <v>146.75839565157597</v>
      </c>
      <c r="I10" s="269" t="s">
        <v>9</v>
      </c>
      <c r="J10" s="270">
        <v>110.48310524728561</v>
      </c>
      <c r="K10" s="270">
        <v>137.92859839047554</v>
      </c>
      <c r="L10" s="270">
        <v>137.92859839047554</v>
      </c>
      <c r="M10" s="270">
        <v>137.92859839047554</v>
      </c>
    </row>
    <row r="11" spans="1:13" x14ac:dyDescent="0.2">
      <c r="B11" s="269" t="s">
        <v>353</v>
      </c>
      <c r="C11" s="270">
        <v>84.171407854714843</v>
      </c>
      <c r="D11" s="270">
        <v>126.75544640236402</v>
      </c>
      <c r="E11" s="270">
        <v>126.75544640236402</v>
      </c>
      <c r="F11" s="270">
        <v>126.75544640236402</v>
      </c>
      <c r="I11" s="269" t="s">
        <v>353</v>
      </c>
      <c r="J11" s="270">
        <v>91.053409950354364</v>
      </c>
      <c r="K11" s="270">
        <v>135.58524366346444</v>
      </c>
      <c r="L11" s="270">
        <v>135.58524366346444</v>
      </c>
      <c r="M11" s="270">
        <v>135.58524366346444</v>
      </c>
    </row>
    <row r="12" spans="1:13" x14ac:dyDescent="0.2">
      <c r="B12" s="263" t="s">
        <v>579</v>
      </c>
      <c r="C12" s="624">
        <f>C11/C9</f>
        <v>0.41764842352350301</v>
      </c>
      <c r="D12" s="624">
        <f>D11/D9</f>
        <v>0.46343338768707154</v>
      </c>
      <c r="E12" s="624">
        <f>E11/E9</f>
        <v>0.46343338768707154</v>
      </c>
      <c r="F12" s="624">
        <f>F11/F9</f>
        <v>0.46343338768707154</v>
      </c>
      <c r="I12" s="263" t="s">
        <v>579</v>
      </c>
      <c r="J12" s="624">
        <f>J11/J9</f>
        <v>0.45179609194423848</v>
      </c>
      <c r="K12" s="624">
        <f>K11/K9</f>
        <v>0.49571620450830972</v>
      </c>
      <c r="L12" s="624">
        <f>L11/L9</f>
        <v>0.49571620450830972</v>
      </c>
      <c r="M12" s="624">
        <f>M11/M9</f>
        <v>0.49571620450830972</v>
      </c>
    </row>
    <row r="13" spans="1:13" x14ac:dyDescent="0.2">
      <c r="B13" s="263" t="s">
        <v>130</v>
      </c>
      <c r="C13" s="270">
        <v>18.720911263870171</v>
      </c>
      <c r="D13" s="270">
        <v>83.012990460276939</v>
      </c>
      <c r="E13" s="270">
        <v>96.145249433011315</v>
      </c>
      <c r="F13" s="270">
        <v>96.145249433011315</v>
      </c>
      <c r="I13" s="263" t="s">
        <v>130</v>
      </c>
      <c r="J13" s="270">
        <v>28.851965303395943</v>
      </c>
      <c r="K13" s="270">
        <v>93.995730189896662</v>
      </c>
      <c r="L13" s="270">
        <v>106.47137621399432</v>
      </c>
      <c r="M13" s="270">
        <v>106.47137621399432</v>
      </c>
    </row>
    <row r="14" spans="1:13" x14ac:dyDescent="0.2">
      <c r="B14" s="263" t="s">
        <v>580</v>
      </c>
      <c r="C14" s="624">
        <f>C13/C9</f>
        <v>9.2890914807727099E-2</v>
      </c>
      <c r="D14" s="624">
        <f>D13/D9</f>
        <v>0.30350562822303467</v>
      </c>
      <c r="E14" s="624">
        <f>E13/E9</f>
        <v>0.35151877035185081</v>
      </c>
      <c r="F14" s="624">
        <f>F13/F9</f>
        <v>0.35151877035185081</v>
      </c>
      <c r="I14" s="263" t="s">
        <v>580</v>
      </c>
      <c r="J14" s="624">
        <f>J13/J9</f>
        <v>0.14315998902284188</v>
      </c>
      <c r="K14" s="624">
        <f>K13/K9</f>
        <v>0.34365986556307326</v>
      </c>
      <c r="L14" s="624">
        <f>L13/L9</f>
        <v>0.38927235058544851</v>
      </c>
      <c r="M14" s="624">
        <f>M13/M9</f>
        <v>0.38927235058544851</v>
      </c>
    </row>
    <row r="15" spans="1:13" x14ac:dyDescent="0.2">
      <c r="B15" s="263" t="s">
        <v>357</v>
      </c>
      <c r="C15" s="270">
        <v>3.6500413535826155</v>
      </c>
      <c r="D15" s="270">
        <v>39.31010740239536</v>
      </c>
      <c r="E15" s="270">
        <v>46.328173551455265</v>
      </c>
      <c r="F15" s="270">
        <v>44.972212114402843</v>
      </c>
      <c r="I15" s="263" t="s">
        <v>357</v>
      </c>
      <c r="J15" s="550">
        <v>10.657220329484915</v>
      </c>
      <c r="K15" s="270">
        <v>47.180361509118121</v>
      </c>
      <c r="L15" s="270">
        <v>53.848870758444917</v>
      </c>
      <c r="M15" s="270">
        <v>52.560871980189461</v>
      </c>
    </row>
    <row r="16" spans="1:13" x14ac:dyDescent="0.2">
      <c r="B16" s="263" t="s">
        <v>581</v>
      </c>
      <c r="C16" s="624">
        <f>C15/C9</f>
        <v>1.8111067118547448E-2</v>
      </c>
      <c r="D16" s="624">
        <f>D15/D9</f>
        <v>0.14372255205512768</v>
      </c>
      <c r="E16" s="624">
        <f>E15/E9</f>
        <v>0.1693814587355284</v>
      </c>
      <c r="F16" s="624">
        <f>F15/F9</f>
        <v>0.16442389817160999</v>
      </c>
      <c r="I16" s="263" t="s">
        <v>581</v>
      </c>
      <c r="J16" s="624">
        <f>J15/J9</f>
        <v>5.2879848195418792E-2</v>
      </c>
      <c r="K16" s="624">
        <f>K15/K9</f>
        <v>0.17249716195282588</v>
      </c>
      <c r="L16" s="624">
        <f>L15/L9</f>
        <v>0.1968780459302141</v>
      </c>
      <c r="M16" s="624">
        <f>M15/M9</f>
        <v>0.19216896514445464</v>
      </c>
    </row>
    <row r="19" spans="1:13" ht="15" x14ac:dyDescent="0.25">
      <c r="A19" s="620" t="s">
        <v>584</v>
      </c>
      <c r="B19" s="753" t="s">
        <v>585</v>
      </c>
      <c r="C19" s="753"/>
      <c r="D19" s="753"/>
      <c r="E19" s="753"/>
      <c r="F19" s="753"/>
      <c r="H19" s="620" t="s">
        <v>592</v>
      </c>
      <c r="I19" s="753" t="s">
        <v>593</v>
      </c>
      <c r="J19" s="753"/>
      <c r="K19" s="753"/>
      <c r="L19" s="753"/>
      <c r="M19" s="753"/>
    </row>
    <row r="21" spans="1:13" x14ac:dyDescent="0.2">
      <c r="B21" s="263" t="s">
        <v>575</v>
      </c>
      <c r="C21" s="621">
        <v>0.16930000000000001</v>
      </c>
      <c r="D21" s="622"/>
      <c r="E21" s="621" t="s">
        <v>576</v>
      </c>
      <c r="F21" s="623">
        <v>4.83</v>
      </c>
      <c r="I21" s="263" t="s">
        <v>575</v>
      </c>
      <c r="J21" s="621">
        <v>0.38540000000000002</v>
      </c>
      <c r="K21" s="622"/>
      <c r="L21" s="621" t="s">
        <v>576</v>
      </c>
      <c r="M21" s="623">
        <v>2.2799999999999998</v>
      </c>
    </row>
    <row r="22" spans="1:13" x14ac:dyDescent="0.2">
      <c r="B22" s="263" t="s">
        <v>419</v>
      </c>
      <c r="C22" s="621">
        <v>0.255</v>
      </c>
      <c r="D22" s="622"/>
      <c r="E22" s="621" t="s">
        <v>577</v>
      </c>
      <c r="F22" s="623">
        <v>4.21</v>
      </c>
      <c r="I22" s="263" t="s">
        <v>419</v>
      </c>
      <c r="J22" s="621">
        <v>0.73129999999999995</v>
      </c>
      <c r="K22" s="622"/>
      <c r="L22" s="621" t="s">
        <v>577</v>
      </c>
      <c r="M22" s="623">
        <v>1.05</v>
      </c>
    </row>
    <row r="25" spans="1:13" x14ac:dyDescent="0.2">
      <c r="B25" s="326" t="s">
        <v>80</v>
      </c>
      <c r="C25" s="326">
        <v>2025</v>
      </c>
      <c r="D25" s="326">
        <v>2030</v>
      </c>
      <c r="E25" s="326">
        <v>2035</v>
      </c>
      <c r="F25" s="326">
        <v>2037</v>
      </c>
      <c r="I25" s="326" t="s">
        <v>80</v>
      </c>
      <c r="J25" s="326">
        <v>2025</v>
      </c>
      <c r="K25" s="326">
        <v>2030</v>
      </c>
      <c r="L25" s="326">
        <v>2035</v>
      </c>
      <c r="M25" s="326">
        <v>2037</v>
      </c>
    </row>
    <row r="26" spans="1:13" x14ac:dyDescent="0.2">
      <c r="B26" s="269" t="s">
        <v>8</v>
      </c>
      <c r="C26" s="270">
        <v>221.69015934463999</v>
      </c>
      <c r="D26" s="270">
        <v>300.86521625344</v>
      </c>
      <c r="E26" s="270">
        <v>300.86521625344</v>
      </c>
      <c r="F26" s="270">
        <v>294.32189619940078</v>
      </c>
      <c r="I26" s="269" t="s">
        <v>8</v>
      </c>
      <c r="J26" s="270">
        <v>461.11008055106436</v>
      </c>
      <c r="K26" s="270">
        <v>612.12674195637237</v>
      </c>
      <c r="L26" s="270">
        <v>612.12674195637237</v>
      </c>
      <c r="M26" s="270">
        <v>612.12674195637237</v>
      </c>
    </row>
    <row r="27" spans="1:13" x14ac:dyDescent="0.2">
      <c r="B27" s="269" t="s">
        <v>9</v>
      </c>
      <c r="C27" s="270">
        <v>110.61004759905124</v>
      </c>
      <c r="D27" s="270">
        <v>138.0491936246529</v>
      </c>
      <c r="E27" s="270">
        <v>138.0491936246529</v>
      </c>
      <c r="F27" s="270">
        <v>138.0491936246529</v>
      </c>
      <c r="I27" s="269" t="s">
        <v>9</v>
      </c>
      <c r="J27" s="270">
        <v>183.12144347155248</v>
      </c>
      <c r="K27" s="270">
        <v>231.53710044598486</v>
      </c>
      <c r="L27" s="270">
        <v>231.53710044598486</v>
      </c>
      <c r="M27" s="270">
        <v>231.53710044598486</v>
      </c>
    </row>
    <row r="28" spans="1:13" x14ac:dyDescent="0.2">
      <c r="B28" s="269" t="s">
        <v>353</v>
      </c>
      <c r="C28" s="270">
        <v>111.08011174558875</v>
      </c>
      <c r="D28" s="270">
        <v>162.8160226287871</v>
      </c>
      <c r="E28" s="270">
        <v>162.8160226287871</v>
      </c>
      <c r="F28" s="270">
        <v>156.27270257474788</v>
      </c>
      <c r="I28" s="269" t="s">
        <v>353</v>
      </c>
      <c r="J28" s="270">
        <v>277.98863707951188</v>
      </c>
      <c r="K28" s="270">
        <v>380.58964151038754</v>
      </c>
      <c r="L28" s="270">
        <v>380.58964151038754</v>
      </c>
      <c r="M28" s="270">
        <v>380.58964151038754</v>
      </c>
    </row>
    <row r="29" spans="1:13" x14ac:dyDescent="0.2">
      <c r="B29" s="263" t="s">
        <v>579</v>
      </c>
      <c r="C29" s="624">
        <f>C28/C26</f>
        <v>0.50106018270708796</v>
      </c>
      <c r="D29" s="624">
        <f>D28/D26</f>
        <v>0.54115934256632603</v>
      </c>
      <c r="E29" s="624">
        <f>E28/E26</f>
        <v>0.54115934256632603</v>
      </c>
      <c r="F29" s="624">
        <f>F28/F26</f>
        <v>0.53095846619877152</v>
      </c>
      <c r="I29" s="263" t="s">
        <v>579</v>
      </c>
      <c r="J29" s="624">
        <f>J28/J26</f>
        <v>0.60286827116703379</v>
      </c>
      <c r="K29" s="624">
        <f>K28/K26</f>
        <v>0.62174973812451573</v>
      </c>
      <c r="L29" s="624">
        <f>L28/L26</f>
        <v>0.62174973812451573</v>
      </c>
      <c r="M29" s="624">
        <f>M28/M26</f>
        <v>0.62174973812451573</v>
      </c>
    </row>
    <row r="30" spans="1:13" x14ac:dyDescent="0.2">
      <c r="B30" s="263" t="s">
        <v>130</v>
      </c>
      <c r="C30" s="270">
        <v>45.569737899984005</v>
      </c>
      <c r="D30" s="270">
        <v>118.99230469809703</v>
      </c>
      <c r="E30" s="270">
        <v>132.12456367083141</v>
      </c>
      <c r="F30" s="270">
        <v>125.59908903512141</v>
      </c>
      <c r="I30" s="263" t="s">
        <v>130</v>
      </c>
      <c r="J30" s="270">
        <v>211.87803533531482</v>
      </c>
      <c r="K30" s="270">
        <v>335.98859814779252</v>
      </c>
      <c r="L30" s="270">
        <v>349.12085712052692</v>
      </c>
      <c r="M30" s="270">
        <v>349.12085712052692</v>
      </c>
    </row>
    <row r="31" spans="1:13" x14ac:dyDescent="0.2">
      <c r="B31" s="263" t="s">
        <v>580</v>
      </c>
      <c r="C31" s="624">
        <f>C30/C26</f>
        <v>0.20555597972727871</v>
      </c>
      <c r="D31" s="624">
        <f>D30/D26</f>
        <v>0.39550037116241915</v>
      </c>
      <c r="E31" s="624">
        <f>E30/E26</f>
        <v>0.43914868364023035</v>
      </c>
      <c r="F31" s="624">
        <f>F30/F26</f>
        <v>0.42674055398864719</v>
      </c>
      <c r="I31" s="263" t="s">
        <v>580</v>
      </c>
      <c r="J31" s="624">
        <f>J30/J26</f>
        <v>0.45949556141150327</v>
      </c>
      <c r="K31" s="624">
        <f>K30/K26</f>
        <v>0.54888730571378819</v>
      </c>
      <c r="L31" s="624">
        <f>L30/L26</f>
        <v>0.57034080230628048</v>
      </c>
      <c r="M31" s="624">
        <f>M30/M26</f>
        <v>0.57034080230628048</v>
      </c>
    </row>
    <row r="32" spans="1:13" x14ac:dyDescent="0.2">
      <c r="B32" s="263" t="s">
        <v>357</v>
      </c>
      <c r="C32" s="270">
        <v>21.095890502069476</v>
      </c>
      <c r="D32" s="270">
        <v>62.688413883654164</v>
      </c>
      <c r="E32" s="270">
        <v>69.706480032714069</v>
      </c>
      <c r="F32" s="270">
        <v>64.111541719635113</v>
      </c>
      <c r="I32" s="263" t="s">
        <v>357</v>
      </c>
      <c r="J32" s="270">
        <v>129.0796728447142</v>
      </c>
      <c r="K32" s="270">
        <v>203.58589395136318</v>
      </c>
      <c r="L32" s="270">
        <v>210.60396010042314</v>
      </c>
      <c r="M32" s="270">
        <v>209.24799866337071</v>
      </c>
    </row>
    <row r="33" spans="2:13" x14ac:dyDescent="0.2">
      <c r="B33" s="263" t="s">
        <v>581</v>
      </c>
      <c r="C33" s="624">
        <f>C32/C26</f>
        <v>9.5159345658071187E-2</v>
      </c>
      <c r="D33" s="624">
        <f>D32/D26</f>
        <v>0.20836045676628598</v>
      </c>
      <c r="E33" s="624">
        <f>E32/E26</f>
        <v>0.23168673634241382</v>
      </c>
      <c r="F33" s="624">
        <f>F32/F26</f>
        <v>0.21782797184821087</v>
      </c>
      <c r="I33" s="263" t="s">
        <v>581</v>
      </c>
      <c r="J33" s="624">
        <f>J32/J26</f>
        <v>0.27993244626197156</v>
      </c>
      <c r="K33" s="624">
        <f>K32/K26</f>
        <v>0.33258781228981693</v>
      </c>
      <c r="L33" s="624">
        <f>L32/L26</f>
        <v>0.34405286628603682</v>
      </c>
      <c r="M33" s="624">
        <f>M32/M26</f>
        <v>0.34183770177170969</v>
      </c>
    </row>
  </sheetData>
  <mergeCells count="4">
    <mergeCell ref="B2:F2"/>
    <mergeCell ref="I2:M2"/>
    <mergeCell ref="B19:F19"/>
    <mergeCell ref="I19:M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U56"/>
  <sheetViews>
    <sheetView showGridLines="0" zoomScale="90" zoomScaleNormal="90" workbookViewId="0">
      <selection activeCell="I57" sqref="I57"/>
    </sheetView>
  </sheetViews>
  <sheetFormatPr defaultRowHeight="15" x14ac:dyDescent="0.25"/>
  <cols>
    <col min="21" max="22" width="0" hidden="1" customWidth="1"/>
  </cols>
  <sheetData>
    <row r="1" spans="7:21" x14ac:dyDescent="0.25">
      <c r="G1" t="s">
        <v>249</v>
      </c>
    </row>
    <row r="5" spans="7:21" x14ac:dyDescent="0.25">
      <c r="U5" s="207" t="s">
        <v>250</v>
      </c>
    </row>
    <row r="16" spans="7:21" x14ac:dyDescent="0.25">
      <c r="U16" s="207" t="s">
        <v>251</v>
      </c>
    </row>
    <row r="31" spans="21:21" x14ac:dyDescent="0.25">
      <c r="U31" s="207" t="s">
        <v>252</v>
      </c>
    </row>
    <row r="32" spans="21:21" x14ac:dyDescent="0.25">
      <c r="U32" t="s">
        <v>253</v>
      </c>
    </row>
    <row r="33" spans="21:21" x14ac:dyDescent="0.25">
      <c r="U33" t="s">
        <v>254</v>
      </c>
    </row>
    <row r="34" spans="21:21" x14ac:dyDescent="0.25">
      <c r="U34" t="s">
        <v>255</v>
      </c>
    </row>
    <row r="36" spans="21:21" x14ac:dyDescent="0.25">
      <c r="U36" t="s">
        <v>256</v>
      </c>
    </row>
    <row r="39" spans="21:21" x14ac:dyDescent="0.25">
      <c r="U39" t="s">
        <v>257</v>
      </c>
    </row>
    <row r="43" spans="21:21" x14ac:dyDescent="0.25">
      <c r="U43" t="s">
        <v>258</v>
      </c>
    </row>
    <row r="47" spans="21:21" x14ac:dyDescent="0.25">
      <c r="U47" t="s">
        <v>259</v>
      </c>
    </row>
    <row r="48" spans="21:21" x14ac:dyDescent="0.25">
      <c r="U48" t="s">
        <v>260</v>
      </c>
    </row>
    <row r="49" spans="21:21" x14ac:dyDescent="0.25">
      <c r="U49" t="s">
        <v>261</v>
      </c>
    </row>
    <row r="52" spans="21:21" x14ac:dyDescent="0.25">
      <c r="U52" t="s">
        <v>262</v>
      </c>
    </row>
    <row r="53" spans="21:21" x14ac:dyDescent="0.25">
      <c r="U53" t="s">
        <v>263</v>
      </c>
    </row>
    <row r="56" spans="21:21" x14ac:dyDescent="0.25">
      <c r="U56" t="s">
        <v>264</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3"/>
  <sheetViews>
    <sheetView showGridLines="0" topLeftCell="B1" zoomScaleNormal="100" workbookViewId="0">
      <selection activeCell="D5" sqref="D5"/>
    </sheetView>
  </sheetViews>
  <sheetFormatPr defaultColWidth="9.140625" defaultRowHeight="12.75" x14ac:dyDescent="0.2"/>
  <cols>
    <col min="1" max="1" width="34.85546875" style="184" bestFit="1" customWidth="1"/>
    <col min="2" max="2" width="50.85546875" style="184" customWidth="1"/>
    <col min="3" max="3" width="43.42578125" style="184" bestFit="1" customWidth="1"/>
    <col min="4" max="4" width="26.85546875" style="184" bestFit="1" customWidth="1"/>
    <col min="5" max="5" width="20" style="184" bestFit="1" customWidth="1"/>
    <col min="6" max="6" width="25.7109375" style="184" customWidth="1"/>
    <col min="7" max="7" width="30.7109375" style="185" bestFit="1" customWidth="1"/>
    <col min="8" max="8" width="17.42578125" style="185" bestFit="1" customWidth="1"/>
    <col min="9" max="16384" width="9.140625" style="185"/>
  </cols>
  <sheetData>
    <row r="1" spans="1:44" x14ac:dyDescent="0.2">
      <c r="A1" s="689" t="s">
        <v>197</v>
      </c>
      <c r="B1" s="689"/>
      <c r="C1" s="689"/>
      <c r="D1" s="689"/>
      <c r="E1" s="689"/>
      <c r="F1" s="689"/>
    </row>
    <row r="2" spans="1:44" ht="38.25" customHeight="1" x14ac:dyDescent="0.2">
      <c r="A2" s="151" t="s">
        <v>206</v>
      </c>
      <c r="B2" s="151" t="s">
        <v>204</v>
      </c>
      <c r="C2" s="151" t="s">
        <v>198</v>
      </c>
      <c r="D2" s="151" t="s">
        <v>203</v>
      </c>
      <c r="E2" s="151" t="s">
        <v>45</v>
      </c>
      <c r="F2" s="151" t="s">
        <v>207</v>
      </c>
    </row>
    <row r="3" spans="1:44" ht="38.25" customHeight="1" x14ac:dyDescent="0.2">
      <c r="A3" s="690" t="s">
        <v>134</v>
      </c>
      <c r="B3" s="692">
        <v>59125</v>
      </c>
      <c r="C3" s="263" t="s">
        <v>136</v>
      </c>
      <c r="D3" s="263">
        <v>0.28749999999999998</v>
      </c>
      <c r="E3" s="263" t="s">
        <v>46</v>
      </c>
      <c r="F3" s="603">
        <f>D3*B3</f>
        <v>16998.4375</v>
      </c>
      <c r="G3" s="668"/>
    </row>
    <row r="4" spans="1:44" ht="38.25" customHeight="1" x14ac:dyDescent="0.2">
      <c r="A4" s="690"/>
      <c r="B4" s="692"/>
      <c r="C4" s="263" t="s">
        <v>205</v>
      </c>
      <c r="D4" s="263">
        <v>8.5000000000000006E-5</v>
      </c>
      <c r="E4" s="263" t="s">
        <v>199</v>
      </c>
      <c r="F4" s="603">
        <f>D4*B3</f>
        <v>5.0256250000000007</v>
      </c>
    </row>
    <row r="5" spans="1:44" ht="38.25" customHeight="1" x14ac:dyDescent="0.2">
      <c r="A5" s="690" t="s">
        <v>177</v>
      </c>
      <c r="B5" s="692">
        <v>75127</v>
      </c>
      <c r="C5" s="263" t="s">
        <v>187</v>
      </c>
      <c r="D5" s="263">
        <v>0.78700000000000003</v>
      </c>
      <c r="E5" s="263" t="s">
        <v>46</v>
      </c>
      <c r="F5" s="603">
        <f>D5*B5</f>
        <v>59124.949000000001</v>
      </c>
    </row>
    <row r="6" spans="1:44" ht="38.25" customHeight="1" x14ac:dyDescent="0.2">
      <c r="A6" s="690"/>
      <c r="B6" s="692"/>
      <c r="C6" s="263" t="s">
        <v>136</v>
      </c>
      <c r="D6" s="263">
        <v>0.21299999999999999</v>
      </c>
      <c r="E6" s="263" t="s">
        <v>46</v>
      </c>
      <c r="F6" s="603">
        <f>D6*B5</f>
        <v>16002.050999999999</v>
      </c>
    </row>
    <row r="7" spans="1:44" x14ac:dyDescent="0.2">
      <c r="A7" s="689" t="s">
        <v>329</v>
      </c>
      <c r="B7" s="689"/>
      <c r="C7" s="689"/>
      <c r="D7" s="689"/>
      <c r="E7" s="689"/>
      <c r="F7" s="689"/>
      <c r="G7" s="169"/>
      <c r="J7" s="617">
        <v>29242.25</v>
      </c>
    </row>
    <row r="8" spans="1:44" s="187" customFormat="1" x14ac:dyDescent="0.2">
      <c r="A8" s="151" t="s">
        <v>97</v>
      </c>
      <c r="B8" s="151" t="s">
        <v>98</v>
      </c>
      <c r="C8" s="151" t="s">
        <v>45</v>
      </c>
      <c r="D8" s="151" t="s">
        <v>248</v>
      </c>
      <c r="E8" s="151" t="s">
        <v>99</v>
      </c>
      <c r="F8" s="605" t="s">
        <v>1</v>
      </c>
      <c r="G8" s="604" t="s">
        <v>216</v>
      </c>
      <c r="H8" s="186"/>
      <c r="I8" s="186"/>
      <c r="J8" s="186">
        <f>J7*1.1</f>
        <v>32166.475000000002</v>
      </c>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row>
    <row r="9" spans="1:44" s="187" customFormat="1" x14ac:dyDescent="0.2">
      <c r="A9" s="690" t="s">
        <v>102</v>
      </c>
      <c r="B9" s="263" t="s">
        <v>101</v>
      </c>
      <c r="C9" s="606" t="s">
        <v>219</v>
      </c>
      <c r="D9" s="269"/>
      <c r="E9" s="263" t="s">
        <v>218</v>
      </c>
      <c r="F9" s="607" t="s">
        <v>136</v>
      </c>
      <c r="G9" s="616">
        <v>26536.75</v>
      </c>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row>
    <row r="10" spans="1:44" s="187" customFormat="1" x14ac:dyDescent="0.2">
      <c r="A10" s="690"/>
      <c r="B10" s="263" t="s">
        <v>101</v>
      </c>
      <c r="C10" s="606" t="s">
        <v>219</v>
      </c>
      <c r="D10" s="269"/>
      <c r="E10" s="263" t="s">
        <v>220</v>
      </c>
      <c r="F10" s="607" t="s">
        <v>136</v>
      </c>
      <c r="G10" s="617">
        <v>29242.25</v>
      </c>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row>
    <row r="11" spans="1:44" s="187" customFormat="1" x14ac:dyDescent="0.2">
      <c r="A11" s="608" t="s">
        <v>137</v>
      </c>
      <c r="B11" s="269" t="s">
        <v>103</v>
      </c>
      <c r="C11" s="269" t="s">
        <v>104</v>
      </c>
      <c r="D11" s="269"/>
      <c r="E11" s="263" t="s">
        <v>138</v>
      </c>
      <c r="F11" s="607" t="s">
        <v>134</v>
      </c>
      <c r="G11" s="285">
        <f t="shared" ref="G11" si="0">100000</f>
        <v>100000</v>
      </c>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row>
    <row r="12" spans="1:44" s="187" customFormat="1" ht="15" customHeight="1" x14ac:dyDescent="0.2">
      <c r="A12" s="690" t="s">
        <v>140</v>
      </c>
      <c r="B12" s="269"/>
      <c r="C12" s="269"/>
      <c r="D12" s="609"/>
      <c r="E12" s="691" t="s">
        <v>245</v>
      </c>
      <c r="F12" s="610"/>
      <c r="G12" s="286"/>
      <c r="H12" s="186"/>
      <c r="J12" s="186"/>
      <c r="K12" s="186"/>
    </row>
    <row r="13" spans="1:44" s="187" customFormat="1" x14ac:dyDescent="0.2">
      <c r="A13" s="690"/>
      <c r="B13" s="269" t="s">
        <v>101</v>
      </c>
      <c r="C13" s="269" t="s">
        <v>104</v>
      </c>
      <c r="D13" s="326">
        <v>132.69999999999999</v>
      </c>
      <c r="E13" s="691"/>
      <c r="F13" s="610" t="s">
        <v>41</v>
      </c>
      <c r="G13" s="176"/>
      <c r="H13" s="186"/>
      <c r="J13" s="186"/>
      <c r="K13" s="186"/>
    </row>
    <row r="14" spans="1:44" s="187" customFormat="1" x14ac:dyDescent="0.2">
      <c r="A14" s="690"/>
      <c r="B14" s="269"/>
      <c r="C14" s="269"/>
      <c r="D14" s="611"/>
      <c r="E14" s="691"/>
      <c r="F14" s="610"/>
      <c r="G14" s="176"/>
      <c r="H14" s="186"/>
      <c r="J14" s="186"/>
      <c r="K14" s="186"/>
    </row>
    <row r="15" spans="1:44" s="187" customFormat="1" ht="24.75" customHeight="1" x14ac:dyDescent="0.2">
      <c r="A15" s="690"/>
      <c r="B15" s="263"/>
      <c r="C15" s="263"/>
      <c r="D15" s="612"/>
      <c r="E15" s="691"/>
      <c r="F15" s="610"/>
      <c r="G15" s="176"/>
      <c r="H15" s="186"/>
      <c r="J15" s="186"/>
      <c r="K15" s="186"/>
    </row>
    <row r="16" spans="1:44" s="187" customFormat="1" x14ac:dyDescent="0.2">
      <c r="A16" s="690"/>
      <c r="B16" s="344" t="s">
        <v>101</v>
      </c>
      <c r="C16" s="344" t="s">
        <v>441</v>
      </c>
      <c r="D16" s="344">
        <v>8.5000000000000006E-2</v>
      </c>
      <c r="E16" s="691"/>
      <c r="F16" s="610" t="s">
        <v>442</v>
      </c>
      <c r="G16" s="176"/>
      <c r="H16" s="186"/>
      <c r="J16" s="615">
        <v>50</v>
      </c>
      <c r="K16" s="615" t="s">
        <v>437</v>
      </c>
    </row>
    <row r="17" spans="1:45" s="187" customFormat="1" ht="12" customHeight="1" x14ac:dyDescent="0.2">
      <c r="A17" s="690"/>
      <c r="B17" s="269"/>
      <c r="C17" s="269"/>
      <c r="D17" s="269"/>
      <c r="E17" s="691"/>
      <c r="F17" s="610"/>
      <c r="G17" s="176"/>
      <c r="H17" s="186"/>
      <c r="J17" s="615"/>
      <c r="K17" s="615"/>
    </row>
    <row r="18" spans="1:45" s="187" customFormat="1" x14ac:dyDescent="0.2">
      <c r="A18" s="690"/>
      <c r="B18" s="269" t="s">
        <v>101</v>
      </c>
      <c r="C18" s="269" t="s">
        <v>46</v>
      </c>
      <c r="D18" s="344">
        <v>1.07</v>
      </c>
      <c r="E18" s="691"/>
      <c r="F18" s="613" t="s">
        <v>105</v>
      </c>
      <c r="G18" s="176"/>
      <c r="H18" s="186"/>
      <c r="J18" s="615">
        <v>250</v>
      </c>
      <c r="K18" s="615" t="s">
        <v>437</v>
      </c>
    </row>
    <row r="19" spans="1:45" s="187" customFormat="1" x14ac:dyDescent="0.2">
      <c r="A19" s="690"/>
      <c r="B19" s="602"/>
      <c r="C19" s="269"/>
      <c r="D19" s="611"/>
      <c r="E19" s="691"/>
      <c r="F19" s="614"/>
      <c r="G19" s="175"/>
      <c r="H19" s="600"/>
      <c r="I19" s="186"/>
      <c r="J19" s="186"/>
      <c r="K19" s="186"/>
    </row>
    <row r="20" spans="1:45" s="187" customFormat="1" ht="29.45" customHeight="1" x14ac:dyDescent="0.2">
      <c r="A20" s="690" t="s">
        <v>231</v>
      </c>
      <c r="B20" s="269"/>
      <c r="C20" s="269"/>
      <c r="D20" s="611"/>
      <c r="E20" s="692" t="s">
        <v>245</v>
      </c>
      <c r="F20" s="610"/>
      <c r="G20" s="286"/>
      <c r="H20" s="186"/>
      <c r="I20" s="186"/>
      <c r="J20" s="186"/>
      <c r="K20" s="186"/>
    </row>
    <row r="21" spans="1:45" s="187" customFormat="1" x14ac:dyDescent="0.2">
      <c r="A21" s="690"/>
      <c r="B21" s="269" t="s">
        <v>101</v>
      </c>
      <c r="C21" s="269" t="s">
        <v>104</v>
      </c>
      <c r="D21" s="344">
        <v>15</v>
      </c>
      <c r="E21" s="692"/>
      <c r="F21" s="610" t="s">
        <v>41</v>
      </c>
      <c r="G21" s="176"/>
      <c r="H21" s="186"/>
    </row>
    <row r="22" spans="1:45" s="187" customFormat="1" x14ac:dyDescent="0.2">
      <c r="A22" s="690"/>
      <c r="B22" s="269"/>
      <c r="C22" s="269"/>
      <c r="D22" s="611"/>
      <c r="E22" s="692"/>
      <c r="F22" s="610"/>
      <c r="G22" s="176"/>
      <c r="H22" s="186"/>
    </row>
    <row r="23" spans="1:45" s="187" customFormat="1" x14ac:dyDescent="0.2">
      <c r="A23" s="690"/>
      <c r="B23" s="263"/>
      <c r="C23" s="263"/>
      <c r="D23" s="612"/>
      <c r="E23" s="692"/>
      <c r="F23" s="610"/>
      <c r="G23" s="176"/>
      <c r="H23" s="186"/>
    </row>
    <row r="24" spans="1:45" s="187" customFormat="1" x14ac:dyDescent="0.2">
      <c r="A24" s="690"/>
      <c r="B24" s="269"/>
      <c r="C24" s="269"/>
      <c r="D24" s="611"/>
      <c r="E24" s="692"/>
      <c r="F24" s="610"/>
      <c r="G24" s="176"/>
    </row>
    <row r="25" spans="1:45" s="187" customFormat="1" x14ac:dyDescent="0.2">
      <c r="A25" s="690"/>
      <c r="B25" s="269"/>
      <c r="C25" s="269"/>
      <c r="D25" s="269"/>
      <c r="E25" s="692"/>
      <c r="F25" s="610"/>
      <c r="G25" s="176"/>
      <c r="H25" s="186"/>
    </row>
    <row r="26" spans="1:45" x14ac:dyDescent="0.2">
      <c r="A26" s="690"/>
      <c r="B26" s="269"/>
      <c r="C26" s="269"/>
      <c r="D26" s="344"/>
      <c r="E26" s="692"/>
      <c r="F26" s="613"/>
      <c r="G26" s="176"/>
      <c r="H26" s="186"/>
    </row>
    <row r="27" spans="1:45" s="187" customFormat="1" x14ac:dyDescent="0.2">
      <c r="A27" s="690"/>
      <c r="B27" s="269"/>
      <c r="C27" s="269"/>
      <c r="D27" s="269"/>
      <c r="E27" s="692"/>
      <c r="F27" s="614"/>
      <c r="G27" s="287"/>
      <c r="H27" s="186"/>
    </row>
    <row r="28" spans="1:45" s="187" customFormat="1" ht="32.25" customHeight="1" x14ac:dyDescent="0.2">
      <c r="A28" s="379" t="s">
        <v>443</v>
      </c>
      <c r="B28" s="346" t="s">
        <v>101</v>
      </c>
      <c r="C28" s="346" t="s">
        <v>444</v>
      </c>
      <c r="D28" s="386">
        <v>3000</v>
      </c>
      <c r="E28" s="345"/>
      <c r="F28" s="607" t="s">
        <v>236</v>
      </c>
      <c r="G28" s="192">
        <f>$D$28*B3</f>
        <v>177375000</v>
      </c>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8"/>
    </row>
    <row r="29" spans="1:45" s="187" customFormat="1" ht="32.25" customHeight="1" x14ac:dyDescent="0.2">
      <c r="A29" s="379" t="s">
        <v>445</v>
      </c>
      <c r="B29" s="346" t="s">
        <v>101</v>
      </c>
      <c r="C29" s="346" t="s">
        <v>446</v>
      </c>
      <c r="D29" s="386">
        <v>4</v>
      </c>
      <c r="E29" s="345"/>
      <c r="F29" s="607" t="s">
        <v>47</v>
      </c>
      <c r="G29" s="192">
        <v>400000</v>
      </c>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8"/>
    </row>
    <row r="30" spans="1:45" s="187" customFormat="1" x14ac:dyDescent="0.2">
      <c r="A30" s="1"/>
      <c r="B30" s="1"/>
      <c r="C30" s="1"/>
      <c r="D30" s="1"/>
      <c r="E30" s="1"/>
      <c r="F30" s="29"/>
      <c r="H30" s="186"/>
    </row>
    <row r="31" spans="1:45" s="187" customFormat="1" x14ac:dyDescent="0.2">
      <c r="A31" s="90"/>
      <c r="B31" s="90"/>
      <c r="C31" s="90"/>
      <c r="D31" s="90"/>
      <c r="E31" s="90"/>
      <c r="F31" s="90"/>
      <c r="H31" s="186"/>
    </row>
    <row r="32" spans="1:45" ht="22.5" customHeight="1" x14ac:dyDescent="0.2">
      <c r="A32" s="693" t="s">
        <v>224</v>
      </c>
      <c r="B32" s="693"/>
      <c r="C32" s="693"/>
      <c r="D32" s="693"/>
      <c r="E32" s="693"/>
    </row>
    <row r="33" spans="1:8" x14ac:dyDescent="0.2">
      <c r="A33" s="686" t="s">
        <v>212</v>
      </c>
      <c r="B33" s="687"/>
      <c r="C33" s="687"/>
      <c r="D33" s="687"/>
      <c r="E33" s="687"/>
    </row>
    <row r="34" spans="1:8" x14ac:dyDescent="0.2">
      <c r="A34" s="151" t="s">
        <v>38</v>
      </c>
      <c r="B34" s="151" t="s">
        <v>52</v>
      </c>
      <c r="C34" s="151" t="s">
        <v>49</v>
      </c>
      <c r="D34" s="106" t="s">
        <v>50</v>
      </c>
      <c r="E34" s="151" t="s">
        <v>51</v>
      </c>
      <c r="F34" s="185"/>
      <c r="H34" s="668">
        <v>24529.709929649995</v>
      </c>
    </row>
    <row r="35" spans="1:8" x14ac:dyDescent="0.2">
      <c r="A35" s="8">
        <v>1</v>
      </c>
      <c r="B35" s="36" t="s">
        <v>139</v>
      </c>
      <c r="C35" s="601">
        <v>20652</v>
      </c>
      <c r="D35" s="289">
        <f>B3-(D5*B5)</f>
        <v>5.0999999999476131E-2</v>
      </c>
      <c r="E35" s="289">
        <f>(D35*C35)/10^7</f>
        <v>1.053251999989181E-4</v>
      </c>
      <c r="F35" s="185"/>
      <c r="G35" s="680">
        <v>38323</v>
      </c>
    </row>
    <row r="36" spans="1:8" ht="15" customHeight="1" x14ac:dyDescent="0.2">
      <c r="A36" s="693" t="s">
        <v>268</v>
      </c>
      <c r="B36" s="693"/>
      <c r="C36" s="693"/>
      <c r="D36" s="693"/>
      <c r="E36" s="693"/>
      <c r="F36" s="185"/>
      <c r="G36" s="680">
        <f>G35*1.1</f>
        <v>42155.3</v>
      </c>
      <c r="H36" s="680">
        <v>87682</v>
      </c>
    </row>
    <row r="37" spans="1:8" x14ac:dyDescent="0.2">
      <c r="A37" s="686" t="s">
        <v>212</v>
      </c>
      <c r="B37" s="687"/>
      <c r="C37" s="687"/>
      <c r="D37" s="687"/>
      <c r="E37" s="687"/>
      <c r="F37" s="185"/>
    </row>
    <row r="38" spans="1:8" x14ac:dyDescent="0.2">
      <c r="A38" s="151" t="s">
        <v>38</v>
      </c>
      <c r="B38" s="151" t="s">
        <v>52</v>
      </c>
      <c r="C38" s="151" t="s">
        <v>49</v>
      </c>
      <c r="D38" s="106" t="s">
        <v>50</v>
      </c>
      <c r="E38" s="151" t="s">
        <v>51</v>
      </c>
      <c r="F38" s="185"/>
    </row>
    <row r="39" spans="1:8" x14ac:dyDescent="0.2">
      <c r="A39" s="8">
        <v>1</v>
      </c>
      <c r="B39" s="36" t="s">
        <v>226</v>
      </c>
      <c r="C39" s="288">
        <v>38323</v>
      </c>
      <c r="D39" s="289">
        <f>B5</f>
        <v>75127</v>
      </c>
      <c r="E39" s="289">
        <f>(C39*D39)/10^7</f>
        <v>287.90920210000002</v>
      </c>
      <c r="F39" s="185"/>
    </row>
    <row r="40" spans="1:8" ht="18" customHeight="1" x14ac:dyDescent="0.2">
      <c r="A40" s="143"/>
      <c r="B40" s="143"/>
      <c r="C40" s="143"/>
      <c r="D40" s="143"/>
      <c r="E40" s="143"/>
    </row>
    <row r="41" spans="1:8" x14ac:dyDescent="0.2">
      <c r="A41" s="688" t="s">
        <v>225</v>
      </c>
      <c r="B41" s="688"/>
      <c r="C41" s="688"/>
      <c r="D41" s="688"/>
    </row>
    <row r="42" spans="1:8" x14ac:dyDescent="0.2">
      <c r="A42" s="98" t="s">
        <v>26</v>
      </c>
      <c r="B42" s="99" t="s">
        <v>27</v>
      </c>
      <c r="C42" s="99" t="s">
        <v>36</v>
      </c>
      <c r="D42" s="100" t="s">
        <v>28</v>
      </c>
    </row>
    <row r="43" spans="1:8" x14ac:dyDescent="0.2">
      <c r="A43" s="7" t="s">
        <v>29</v>
      </c>
      <c r="B43" s="13">
        <v>1</v>
      </c>
      <c r="C43" s="13">
        <v>35</v>
      </c>
      <c r="D43" s="13">
        <f t="shared" ref="D43:D48" si="1">C43*B43</f>
        <v>35</v>
      </c>
    </row>
    <row r="44" spans="1:8" x14ac:dyDescent="0.2">
      <c r="A44" s="7" t="s">
        <v>30</v>
      </c>
      <c r="B44" s="13">
        <v>2</v>
      </c>
      <c r="C44" s="13">
        <v>25</v>
      </c>
      <c r="D44" s="13">
        <f t="shared" si="1"/>
        <v>50</v>
      </c>
    </row>
    <row r="45" spans="1:8" x14ac:dyDescent="0.2">
      <c r="A45" s="7" t="s">
        <v>31</v>
      </c>
      <c r="B45" s="13">
        <v>3</v>
      </c>
      <c r="C45" s="13">
        <v>20</v>
      </c>
      <c r="D45" s="13">
        <f t="shared" si="1"/>
        <v>60</v>
      </c>
    </row>
    <row r="46" spans="1:8" x14ac:dyDescent="0.2">
      <c r="A46" s="7" t="s">
        <v>32</v>
      </c>
      <c r="B46" s="13">
        <v>4</v>
      </c>
      <c r="C46" s="13">
        <v>8</v>
      </c>
      <c r="D46" s="13">
        <f t="shared" si="1"/>
        <v>32</v>
      </c>
    </row>
    <row r="47" spans="1:8" x14ac:dyDescent="0.2">
      <c r="A47" s="7" t="s">
        <v>33</v>
      </c>
      <c r="B47" s="13">
        <v>7</v>
      </c>
      <c r="C47" s="13">
        <v>6</v>
      </c>
      <c r="D47" s="13">
        <f t="shared" si="1"/>
        <v>42</v>
      </c>
    </row>
    <row r="48" spans="1:8" x14ac:dyDescent="0.2">
      <c r="A48" s="7" t="s">
        <v>34</v>
      </c>
      <c r="B48" s="13">
        <v>20</v>
      </c>
      <c r="C48" s="13">
        <v>3.5</v>
      </c>
      <c r="D48" s="13">
        <f t="shared" si="1"/>
        <v>70</v>
      </c>
    </row>
    <row r="49" spans="1:6" x14ac:dyDescent="0.2">
      <c r="A49" s="101" t="s">
        <v>47</v>
      </c>
      <c r="B49" s="102">
        <f>SUM(B43:B48)</f>
        <v>37</v>
      </c>
      <c r="C49" s="102"/>
      <c r="D49" s="669">
        <f>SUM(D43:D48)/100</f>
        <v>2.89</v>
      </c>
    </row>
    <row r="50" spans="1:6" s="208" customFormat="1" x14ac:dyDescent="0.2">
      <c r="A50" s="361" t="s">
        <v>448</v>
      </c>
      <c r="B50" s="205"/>
      <c r="C50" s="205"/>
      <c r="D50" s="670">
        <f>D49*0.25</f>
        <v>0.72250000000000003</v>
      </c>
    </row>
    <row r="51" spans="1:6" s="356" customFormat="1" x14ac:dyDescent="0.2">
      <c r="A51" s="181"/>
      <c r="B51" s="181"/>
      <c r="C51" s="181"/>
      <c r="D51" s="181"/>
      <c r="E51" s="181"/>
      <c r="F51" s="181"/>
    </row>
    <row r="52" spans="1:6" s="356" customFormat="1" x14ac:dyDescent="0.2">
      <c r="A52" s="618" t="s">
        <v>493</v>
      </c>
      <c r="B52" s="619">
        <v>0.09</v>
      </c>
      <c r="C52" s="181"/>
      <c r="D52" s="181"/>
      <c r="E52" s="181"/>
      <c r="F52" s="181"/>
    </row>
    <row r="53" spans="1:6" s="356" customFormat="1" x14ac:dyDescent="0.2">
      <c r="A53" s="618" t="s">
        <v>494</v>
      </c>
      <c r="B53" s="619">
        <v>0.08</v>
      </c>
      <c r="C53" s="181"/>
      <c r="D53" s="181"/>
      <c r="E53" s="181"/>
      <c r="F53" s="181"/>
    </row>
  </sheetData>
  <mergeCells count="16">
    <mergeCell ref="A1:F1"/>
    <mergeCell ref="A32:E32"/>
    <mergeCell ref="A33:E33"/>
    <mergeCell ref="A36:E36"/>
    <mergeCell ref="B3:B4"/>
    <mergeCell ref="A3:A4"/>
    <mergeCell ref="A5:A6"/>
    <mergeCell ref="B5:B6"/>
    <mergeCell ref="A37:E37"/>
    <mergeCell ref="A41:D41"/>
    <mergeCell ref="A7:F7"/>
    <mergeCell ref="A9:A10"/>
    <mergeCell ref="A12:A19"/>
    <mergeCell ref="E12:E19"/>
    <mergeCell ref="A20:A27"/>
    <mergeCell ref="E20:E2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K92"/>
  <sheetViews>
    <sheetView showGridLines="0" topLeftCell="A11" zoomScaleNormal="100" workbookViewId="0">
      <selection activeCell="H5" sqref="H5"/>
    </sheetView>
  </sheetViews>
  <sheetFormatPr defaultColWidth="9.140625" defaultRowHeight="12.75" x14ac:dyDescent="0.2"/>
  <cols>
    <col min="1" max="1" width="31.85546875" style="94" customWidth="1"/>
    <col min="2" max="2" width="25.7109375" style="94" customWidth="1"/>
    <col min="3" max="3" width="18" style="94" customWidth="1"/>
    <col min="4" max="4" width="14.7109375" style="94" customWidth="1"/>
    <col min="5" max="5" width="35" style="94" bestFit="1" customWidth="1"/>
    <col min="6" max="6" width="16.85546875" style="94" customWidth="1"/>
    <col min="7" max="7" width="13.28515625" style="94" customWidth="1"/>
    <col min="8" max="8" width="12" style="94" bestFit="1" customWidth="1"/>
    <col min="9" max="9" width="12" style="94" hidden="1" customWidth="1"/>
    <col min="10" max="10" width="0" style="94" hidden="1" customWidth="1"/>
    <col min="11" max="16384" width="9.140625" style="94"/>
  </cols>
  <sheetData>
    <row r="1" spans="1:10" x14ac:dyDescent="0.2">
      <c r="A1" s="265"/>
      <c r="B1" s="266"/>
      <c r="C1" s="267"/>
      <c r="D1" s="581" t="s">
        <v>424</v>
      </c>
      <c r="E1" s="582"/>
      <c r="F1" s="582"/>
      <c r="G1" s="581"/>
      <c r="H1" s="581"/>
      <c r="I1" s="267"/>
      <c r="J1" s="267"/>
    </row>
    <row r="2" spans="1:10" x14ac:dyDescent="0.2">
      <c r="A2" s="282" t="s">
        <v>80</v>
      </c>
      <c r="B2" s="282" t="s">
        <v>39</v>
      </c>
      <c r="C2" s="267"/>
      <c r="D2" s="583" t="s">
        <v>430</v>
      </c>
      <c r="E2" s="460" t="s">
        <v>6</v>
      </c>
      <c r="F2" s="584" t="s">
        <v>431</v>
      </c>
      <c r="G2" s="585" t="s">
        <v>436</v>
      </c>
      <c r="H2" s="584" t="s">
        <v>432</v>
      </c>
      <c r="I2" s="267"/>
      <c r="J2" s="267"/>
    </row>
    <row r="3" spans="1:10" x14ac:dyDescent="0.2">
      <c r="A3" s="281" t="s">
        <v>392</v>
      </c>
      <c r="B3" s="269">
        <v>0</v>
      </c>
      <c r="C3" s="267"/>
      <c r="D3" s="586">
        <v>1</v>
      </c>
      <c r="E3" s="587" t="s">
        <v>425</v>
      </c>
      <c r="F3" s="587">
        <v>4000</v>
      </c>
      <c r="G3" s="587" t="s">
        <v>433</v>
      </c>
      <c r="H3" s="459">
        <v>7.5</v>
      </c>
      <c r="I3" s="267"/>
      <c r="J3" s="267" t="s">
        <v>572</v>
      </c>
    </row>
    <row r="4" spans="1:10" x14ac:dyDescent="0.2">
      <c r="A4" s="281" t="s">
        <v>393</v>
      </c>
      <c r="B4" s="270">
        <f>D21</f>
        <v>6</v>
      </c>
      <c r="C4" s="267"/>
      <c r="D4" s="586">
        <v>2</v>
      </c>
      <c r="E4" s="587" t="s">
        <v>426</v>
      </c>
      <c r="F4" s="587">
        <v>2</v>
      </c>
      <c r="G4" s="587" t="s">
        <v>434</v>
      </c>
      <c r="H4" s="459">
        <v>7.5</v>
      </c>
      <c r="I4" s="267">
        <f>65*82</f>
        <v>5330</v>
      </c>
      <c r="J4" s="267">
        <f>I4/10</f>
        <v>533</v>
      </c>
    </row>
    <row r="5" spans="1:10" x14ac:dyDescent="0.2">
      <c r="A5" s="281" t="s">
        <v>394</v>
      </c>
      <c r="B5" s="270">
        <f>B44</f>
        <v>362.25</v>
      </c>
      <c r="C5" s="267"/>
      <c r="D5" s="586">
        <v>3</v>
      </c>
      <c r="E5" s="587" t="s">
        <v>427</v>
      </c>
      <c r="F5" s="587">
        <v>5000</v>
      </c>
      <c r="G5" s="587" t="s">
        <v>46</v>
      </c>
      <c r="H5" s="459">
        <v>3</v>
      </c>
      <c r="I5" s="267"/>
      <c r="J5" s="267"/>
    </row>
    <row r="6" spans="1:10" x14ac:dyDescent="0.2">
      <c r="A6" s="281" t="s">
        <v>314</v>
      </c>
      <c r="B6" s="270">
        <f>B55</f>
        <v>12</v>
      </c>
      <c r="C6" s="267"/>
      <c r="D6" s="586">
        <v>4</v>
      </c>
      <c r="E6" s="587" t="s">
        <v>428</v>
      </c>
      <c r="F6" s="587" t="s">
        <v>587</v>
      </c>
      <c r="G6" s="587" t="s">
        <v>46</v>
      </c>
      <c r="H6" s="459">
        <v>1.4</v>
      </c>
      <c r="I6" s="267"/>
      <c r="J6" s="267"/>
    </row>
    <row r="7" spans="1:10" x14ac:dyDescent="0.2">
      <c r="A7" s="281" t="s">
        <v>327</v>
      </c>
      <c r="B7" s="270">
        <f>B29</f>
        <v>15</v>
      </c>
      <c r="C7" s="267"/>
      <c r="D7" s="586">
        <v>5</v>
      </c>
      <c r="E7" s="587" t="s">
        <v>429</v>
      </c>
      <c r="F7" s="587">
        <v>100</v>
      </c>
      <c r="G7" s="587" t="s">
        <v>435</v>
      </c>
      <c r="H7" s="459">
        <v>0.4</v>
      </c>
      <c r="I7" s="267"/>
      <c r="J7" s="267"/>
    </row>
    <row r="8" spans="1:10" ht="13.5" thickBot="1" x14ac:dyDescent="0.25">
      <c r="A8" s="281" t="s">
        <v>395</v>
      </c>
      <c r="B8" s="270">
        <f>B66</f>
        <v>2</v>
      </c>
      <c r="C8" s="267"/>
      <c r="D8" s="586">
        <v>6</v>
      </c>
      <c r="E8" s="676" t="s">
        <v>588</v>
      </c>
      <c r="F8" s="676">
        <v>15</v>
      </c>
      <c r="G8" s="676" t="s">
        <v>589</v>
      </c>
      <c r="H8" s="675">
        <v>0.5</v>
      </c>
      <c r="I8" s="267"/>
      <c r="J8" s="267"/>
    </row>
    <row r="9" spans="1:10" ht="13.5" thickBot="1" x14ac:dyDescent="0.25">
      <c r="A9" s="281" t="s">
        <v>303</v>
      </c>
      <c r="B9" s="270">
        <f>B33</f>
        <v>48.861750000000001</v>
      </c>
      <c r="D9" s="586">
        <v>7</v>
      </c>
      <c r="E9" s="676" t="s">
        <v>590</v>
      </c>
      <c r="F9" s="676">
        <v>500</v>
      </c>
      <c r="G9" s="676" t="s">
        <v>591</v>
      </c>
      <c r="H9" s="675">
        <v>5</v>
      </c>
      <c r="I9" s="267"/>
      <c r="J9" s="267"/>
    </row>
    <row r="10" spans="1:10" x14ac:dyDescent="0.2">
      <c r="A10" s="281" t="s">
        <v>396</v>
      </c>
      <c r="B10" s="588">
        <v>3.25</v>
      </c>
      <c r="C10" s="267">
        <v>52</v>
      </c>
      <c r="D10" s="584"/>
      <c r="E10" s="460" t="s">
        <v>47</v>
      </c>
      <c r="F10" s="460"/>
      <c r="G10" s="584"/>
      <c r="H10" s="584">
        <f>SUM(H3:H9)</f>
        <v>25.299999999999997</v>
      </c>
      <c r="I10" s="267"/>
      <c r="J10" s="267"/>
    </row>
    <row r="11" spans="1:10" x14ac:dyDescent="0.2">
      <c r="A11" s="283" t="s">
        <v>397</v>
      </c>
      <c r="B11" s="284">
        <f>SUM(B4:B10)+H10</f>
        <v>474.66175000000004</v>
      </c>
      <c r="C11" s="679">
        <f>B11*2%</f>
        <v>9.4932350000000003</v>
      </c>
      <c r="D11" s="677"/>
      <c r="I11" s="267"/>
      <c r="J11" s="267"/>
    </row>
    <row r="12" spans="1:10" x14ac:dyDescent="0.2">
      <c r="A12" s="281" t="s">
        <v>398</v>
      </c>
      <c r="B12" s="270">
        <f>K86/100</f>
        <v>33.107657062500003</v>
      </c>
      <c r="C12" s="273"/>
      <c r="D12" s="677"/>
      <c r="I12" s="267"/>
      <c r="J12" s="267"/>
    </row>
    <row r="13" spans="1:10" x14ac:dyDescent="0.2">
      <c r="A13" s="29"/>
      <c r="B13" s="166">
        <f>B12+B11</f>
        <v>507.76940706250002</v>
      </c>
      <c r="C13" s="589">
        <f>'Working Capital'!F16</f>
        <v>3.1682313585331117</v>
      </c>
      <c r="D13" s="677"/>
      <c r="E13" s="677"/>
      <c r="I13" s="267"/>
      <c r="J13" s="267"/>
    </row>
    <row r="14" spans="1:10" x14ac:dyDescent="0.2">
      <c r="A14" s="281" t="s">
        <v>352</v>
      </c>
      <c r="B14" s="271">
        <v>0.25</v>
      </c>
      <c r="C14" s="267"/>
      <c r="I14" s="267"/>
      <c r="J14" s="267"/>
    </row>
    <row r="15" spans="1:10" x14ac:dyDescent="0.2">
      <c r="A15" s="265"/>
      <c r="B15" s="266"/>
      <c r="C15" s="267"/>
      <c r="I15" s="267"/>
      <c r="J15" s="267"/>
    </row>
    <row r="16" spans="1:10" ht="41.25" customHeight="1" x14ac:dyDescent="0.2">
      <c r="A16" s="697"/>
      <c r="B16" s="697"/>
      <c r="C16" s="697"/>
      <c r="D16" s="697"/>
      <c r="E16" s="697"/>
      <c r="F16" s="501"/>
    </row>
    <row r="17" spans="1:8" x14ac:dyDescent="0.2">
      <c r="A17" s="259" t="s">
        <v>297</v>
      </c>
      <c r="B17" s="259" t="s">
        <v>298</v>
      </c>
      <c r="C17" s="259" t="s">
        <v>328</v>
      </c>
      <c r="D17" s="259" t="s">
        <v>295</v>
      </c>
      <c r="F17" s="94">
        <v>77145</v>
      </c>
      <c r="G17" s="94">
        <v>300</v>
      </c>
    </row>
    <row r="18" spans="1:8" x14ac:dyDescent="0.2">
      <c r="A18" s="259"/>
      <c r="B18" s="259" t="s">
        <v>299</v>
      </c>
      <c r="C18" s="259"/>
      <c r="D18" s="259" t="s">
        <v>39</v>
      </c>
      <c r="G18" s="94">
        <f>G17/F17</f>
        <v>3.8887808671981333E-3</v>
      </c>
      <c r="H18" s="677">
        <f>Norms!B5*G18</f>
        <v>292.15244020999415</v>
      </c>
    </row>
    <row r="19" spans="1:8" x14ac:dyDescent="0.2">
      <c r="A19" s="259" t="s">
        <v>300</v>
      </c>
      <c r="B19" s="259">
        <v>1000</v>
      </c>
      <c r="C19" s="259">
        <v>25000</v>
      </c>
      <c r="D19" s="262">
        <f>(C19*B19)/10^7</f>
        <v>2.5</v>
      </c>
    </row>
    <row r="20" spans="1:8" ht="76.5" x14ac:dyDescent="0.2">
      <c r="A20" s="260" t="s">
        <v>301</v>
      </c>
      <c r="B20" s="263" t="s">
        <v>302</v>
      </c>
      <c r="C20" s="259"/>
      <c r="D20" s="259">
        <v>3.5</v>
      </c>
    </row>
    <row r="21" spans="1:8" x14ac:dyDescent="0.2">
      <c r="A21" s="259" t="s">
        <v>47</v>
      </c>
      <c r="B21" s="259"/>
      <c r="C21" s="259"/>
      <c r="D21" s="262">
        <f>SUM(D19:D20)</f>
        <v>6</v>
      </c>
    </row>
    <row r="22" spans="1:8" x14ac:dyDescent="0.2">
      <c r="A22" s="259"/>
      <c r="B22" s="259"/>
      <c r="C22" s="259"/>
      <c r="D22" s="259"/>
    </row>
    <row r="23" spans="1:8" x14ac:dyDescent="0.2">
      <c r="A23" s="259"/>
      <c r="B23" s="259"/>
      <c r="C23" s="259"/>
      <c r="D23" s="259"/>
    </row>
    <row r="24" spans="1:8" x14ac:dyDescent="0.2">
      <c r="A24" s="259" t="s">
        <v>303</v>
      </c>
      <c r="B24" s="259"/>
      <c r="C24" s="259"/>
      <c r="D24" s="259"/>
    </row>
    <row r="25" spans="1:8" x14ac:dyDescent="0.2">
      <c r="A25" s="259" t="s">
        <v>6</v>
      </c>
      <c r="B25" s="259" t="s">
        <v>39</v>
      </c>
      <c r="C25" s="259"/>
      <c r="D25" s="259"/>
    </row>
    <row r="26" spans="1:8" x14ac:dyDescent="0.2">
      <c r="A26" s="259" t="s">
        <v>304</v>
      </c>
      <c r="B26" s="262">
        <f>D21</f>
        <v>6</v>
      </c>
      <c r="C26" s="259"/>
      <c r="D26" s="259"/>
    </row>
    <row r="27" spans="1:8" x14ac:dyDescent="0.2">
      <c r="A27" s="259" t="s">
        <v>305</v>
      </c>
      <c r="B27" s="264">
        <f>B44</f>
        <v>362.25</v>
      </c>
      <c r="C27" s="259"/>
      <c r="D27" s="259"/>
    </row>
    <row r="28" spans="1:8" x14ac:dyDescent="0.2">
      <c r="A28" s="259" t="s">
        <v>314</v>
      </c>
      <c r="B28" s="259">
        <f>B55</f>
        <v>12</v>
      </c>
      <c r="C28" s="259"/>
      <c r="D28" s="259"/>
    </row>
    <row r="29" spans="1:8" x14ac:dyDescent="0.2">
      <c r="A29" s="259" t="s">
        <v>327</v>
      </c>
      <c r="B29" s="259">
        <v>15</v>
      </c>
      <c r="C29" s="259"/>
      <c r="D29" s="259"/>
    </row>
    <row r="30" spans="1:8" x14ac:dyDescent="0.2">
      <c r="A30" s="259" t="s">
        <v>306</v>
      </c>
      <c r="B30" s="259">
        <v>2</v>
      </c>
      <c r="C30" s="259"/>
      <c r="D30" s="259"/>
      <c r="F30" s="677"/>
    </row>
    <row r="31" spans="1:8" x14ac:dyDescent="0.2">
      <c r="A31" s="259" t="s">
        <v>47</v>
      </c>
      <c r="B31" s="264">
        <f>SUM(B26:B30)</f>
        <v>397.25</v>
      </c>
      <c r="C31" s="259"/>
      <c r="D31" s="259"/>
    </row>
    <row r="32" spans="1:8" x14ac:dyDescent="0.2">
      <c r="A32" s="259"/>
      <c r="B32" s="259"/>
      <c r="C32" s="259"/>
      <c r="D32" s="259"/>
    </row>
    <row r="33" spans="1:4" x14ac:dyDescent="0.2">
      <c r="A33" s="259" t="s">
        <v>307</v>
      </c>
      <c r="B33" s="264">
        <f>B31*0.123</f>
        <v>48.861750000000001</v>
      </c>
      <c r="C33" s="259"/>
      <c r="D33" s="259"/>
    </row>
    <row r="34" spans="1:4" x14ac:dyDescent="0.2">
      <c r="A34" s="259"/>
      <c r="B34" s="259"/>
      <c r="C34" s="259"/>
      <c r="D34" s="259"/>
    </row>
    <row r="35" spans="1:4" x14ac:dyDescent="0.2">
      <c r="A35" s="259"/>
      <c r="B35" s="259"/>
      <c r="C35" s="259"/>
      <c r="D35" s="259"/>
    </row>
    <row r="36" spans="1:4" x14ac:dyDescent="0.2">
      <c r="A36" s="259"/>
      <c r="B36" s="259"/>
      <c r="C36" s="259"/>
      <c r="D36" s="259"/>
    </row>
    <row r="37" spans="1:4" x14ac:dyDescent="0.2">
      <c r="A37" s="259" t="s">
        <v>308</v>
      </c>
      <c r="B37" s="259" t="s">
        <v>39</v>
      </c>
      <c r="C37" s="259"/>
      <c r="D37" s="259"/>
    </row>
    <row r="38" spans="1:4" x14ac:dyDescent="0.2">
      <c r="A38" s="259" t="s">
        <v>309</v>
      </c>
      <c r="B38" s="499">
        <v>300</v>
      </c>
      <c r="C38" s="259"/>
      <c r="D38" s="259"/>
    </row>
    <row r="39" spans="1:4" x14ac:dyDescent="0.2">
      <c r="A39" s="259" t="s">
        <v>310</v>
      </c>
      <c r="B39" s="261">
        <f>5%*B38</f>
        <v>15</v>
      </c>
      <c r="C39" s="259"/>
      <c r="D39" s="259"/>
    </row>
    <row r="40" spans="1:4" x14ac:dyDescent="0.2">
      <c r="A40" s="259" t="s">
        <v>311</v>
      </c>
      <c r="B40" s="261">
        <f>1%*(B38+B39)</f>
        <v>3.15</v>
      </c>
      <c r="C40" s="259"/>
      <c r="D40" s="259"/>
    </row>
    <row r="41" spans="1:4" x14ac:dyDescent="0.2">
      <c r="A41" s="259" t="s">
        <v>312</v>
      </c>
      <c r="B41" s="261">
        <f>2%*(B38+B39)</f>
        <v>6.3</v>
      </c>
      <c r="C41" s="259"/>
      <c r="D41" s="259"/>
    </row>
    <row r="42" spans="1:4" x14ac:dyDescent="0.2">
      <c r="A42" s="259" t="s">
        <v>573</v>
      </c>
      <c r="B42" s="261">
        <f>10%*(B38+B39)</f>
        <v>31.5</v>
      </c>
      <c r="C42" s="259"/>
      <c r="D42" s="259"/>
    </row>
    <row r="43" spans="1:4" x14ac:dyDescent="0.2">
      <c r="A43" s="259" t="s">
        <v>313</v>
      </c>
      <c r="B43" s="261">
        <f>2%*(B38+B39)</f>
        <v>6.3</v>
      </c>
      <c r="C43" s="259"/>
      <c r="D43" s="259"/>
    </row>
    <row r="44" spans="1:4" x14ac:dyDescent="0.2">
      <c r="A44" s="259" t="s">
        <v>47</v>
      </c>
      <c r="B44" s="261">
        <f>SUM(B38:B43)</f>
        <v>362.25</v>
      </c>
      <c r="C44" s="259"/>
      <c r="D44" s="259"/>
    </row>
    <row r="45" spans="1:4" x14ac:dyDescent="0.2">
      <c r="A45" s="259"/>
      <c r="B45" s="259"/>
      <c r="C45" s="259"/>
      <c r="D45" s="259"/>
    </row>
    <row r="46" spans="1:4" x14ac:dyDescent="0.2">
      <c r="A46" s="259" t="s">
        <v>314</v>
      </c>
      <c r="B46" s="259"/>
      <c r="C46" s="259"/>
      <c r="D46" s="259"/>
    </row>
    <row r="47" spans="1:4" x14ac:dyDescent="0.2">
      <c r="A47" s="259"/>
      <c r="B47" s="259"/>
      <c r="C47" s="259"/>
      <c r="D47" s="259"/>
    </row>
    <row r="48" spans="1:4" x14ac:dyDescent="0.2">
      <c r="A48" s="259" t="s">
        <v>315</v>
      </c>
      <c r="B48" s="259"/>
      <c r="C48" s="259"/>
      <c r="D48" s="259"/>
    </row>
    <row r="49" spans="1:4" x14ac:dyDescent="0.2">
      <c r="A49" s="259" t="s">
        <v>316</v>
      </c>
      <c r="B49" s="259"/>
      <c r="C49" s="259"/>
      <c r="D49" s="259"/>
    </row>
    <row r="50" spans="1:4" x14ac:dyDescent="0.2">
      <c r="A50" s="259" t="s">
        <v>317</v>
      </c>
      <c r="B50" s="259"/>
      <c r="C50" s="259"/>
      <c r="D50" s="259"/>
    </row>
    <row r="51" spans="1:4" x14ac:dyDescent="0.2">
      <c r="A51" s="259" t="s">
        <v>318</v>
      </c>
      <c r="B51" s="259"/>
      <c r="C51" s="259"/>
      <c r="D51" s="259"/>
    </row>
    <row r="52" spans="1:4" x14ac:dyDescent="0.2">
      <c r="A52" s="259" t="s">
        <v>319</v>
      </c>
      <c r="B52" s="259"/>
      <c r="C52" s="259"/>
      <c r="D52" s="259"/>
    </row>
    <row r="53" spans="1:4" x14ac:dyDescent="0.2">
      <c r="A53" s="259" t="s">
        <v>320</v>
      </c>
      <c r="B53" s="259"/>
      <c r="C53" s="259"/>
      <c r="D53" s="259"/>
    </row>
    <row r="54" spans="1:4" x14ac:dyDescent="0.2">
      <c r="A54" s="259" t="s">
        <v>330</v>
      </c>
      <c r="B54" s="259"/>
      <c r="C54" s="259"/>
      <c r="D54" s="259"/>
    </row>
    <row r="55" spans="1:4" x14ac:dyDescent="0.2">
      <c r="A55" s="259" t="s">
        <v>47</v>
      </c>
      <c r="B55" s="259">
        <v>12</v>
      </c>
      <c r="C55" s="259"/>
      <c r="D55" s="259"/>
    </row>
    <row r="56" spans="1:4" x14ac:dyDescent="0.2">
      <c r="A56" s="259"/>
      <c r="B56" s="259"/>
      <c r="C56" s="259"/>
      <c r="D56" s="259"/>
    </row>
    <row r="57" spans="1:4" x14ac:dyDescent="0.2">
      <c r="A57" s="259"/>
      <c r="B57" s="259"/>
      <c r="C57" s="259"/>
      <c r="D57" s="259"/>
    </row>
    <row r="58" spans="1:4" x14ac:dyDescent="0.2">
      <c r="A58" s="259" t="s">
        <v>321</v>
      </c>
      <c r="B58" s="259"/>
      <c r="C58" s="259"/>
      <c r="D58" s="259"/>
    </row>
    <row r="59" spans="1:4" x14ac:dyDescent="0.2">
      <c r="A59" s="259"/>
      <c r="B59" s="259"/>
      <c r="C59" s="259"/>
      <c r="D59" s="259"/>
    </row>
    <row r="60" spans="1:4" x14ac:dyDescent="0.2">
      <c r="A60" s="259" t="s">
        <v>6</v>
      </c>
      <c r="B60" s="259"/>
      <c r="C60" s="259"/>
      <c r="D60" s="259"/>
    </row>
    <row r="61" spans="1:4" x14ac:dyDescent="0.2">
      <c r="A61" s="259" t="s">
        <v>322</v>
      </c>
      <c r="B61" s="259"/>
      <c r="C61" s="259"/>
      <c r="D61" s="259"/>
    </row>
    <row r="62" spans="1:4" x14ac:dyDescent="0.2">
      <c r="A62" s="259" t="s">
        <v>323</v>
      </c>
      <c r="B62" s="259"/>
      <c r="C62" s="259"/>
      <c r="D62" s="259"/>
    </row>
    <row r="63" spans="1:4" x14ac:dyDescent="0.2">
      <c r="A63" s="259" t="s">
        <v>324</v>
      </c>
      <c r="B63" s="259"/>
      <c r="C63" s="259"/>
      <c r="D63" s="259"/>
    </row>
    <row r="64" spans="1:4" x14ac:dyDescent="0.2">
      <c r="A64" s="259" t="s">
        <v>325</v>
      </c>
      <c r="B64" s="259"/>
      <c r="C64" s="259"/>
      <c r="D64" s="259"/>
    </row>
    <row r="65" spans="1:11" x14ac:dyDescent="0.2">
      <c r="A65" s="259" t="s">
        <v>326</v>
      </c>
      <c r="B65" s="259"/>
      <c r="C65" s="259"/>
      <c r="D65" s="259"/>
    </row>
    <row r="66" spans="1:11" x14ac:dyDescent="0.2">
      <c r="A66" s="259" t="s">
        <v>47</v>
      </c>
      <c r="B66" s="259">
        <v>2</v>
      </c>
      <c r="C66" s="259"/>
      <c r="D66" s="259"/>
    </row>
    <row r="67" spans="1:11" s="1" customFormat="1" x14ac:dyDescent="0.2">
      <c r="A67" s="347"/>
      <c r="B67" s="347"/>
      <c r="C67" s="347"/>
      <c r="D67" s="347"/>
      <c r="E67" s="347"/>
      <c r="F67" s="347"/>
      <c r="G67" s="347"/>
      <c r="H67" s="347"/>
      <c r="I67" s="347"/>
      <c r="J67" s="347"/>
      <c r="K67" s="347"/>
    </row>
    <row r="68" spans="1:11" s="317" customFormat="1" x14ac:dyDescent="0.2">
      <c r="A68" s="590" t="s">
        <v>398</v>
      </c>
      <c r="B68" s="347"/>
      <c r="C68" s="347"/>
      <c r="D68" s="347"/>
      <c r="E68" s="347"/>
      <c r="F68" s="347"/>
      <c r="G68" s="347"/>
      <c r="H68" s="347"/>
      <c r="I68" s="347"/>
      <c r="J68" s="347"/>
      <c r="K68" s="347"/>
    </row>
    <row r="69" spans="1:11" s="317" customFormat="1" x14ac:dyDescent="0.2">
      <c r="A69" s="347"/>
      <c r="B69" s="347"/>
      <c r="C69" s="347"/>
      <c r="D69" s="347"/>
      <c r="E69" s="347"/>
      <c r="F69" s="347"/>
      <c r="G69" s="347"/>
      <c r="H69" s="347"/>
      <c r="I69" s="347"/>
      <c r="J69" s="347"/>
      <c r="K69" s="347"/>
    </row>
    <row r="70" spans="1:11" s="317" customFormat="1" x14ac:dyDescent="0.2">
      <c r="A70" s="345" t="s">
        <v>463</v>
      </c>
      <c r="B70" s="550">
        <f>B11*100</f>
        <v>47466.175000000003</v>
      </c>
      <c r="C70" s="345" t="s">
        <v>464</v>
      </c>
      <c r="D70" s="347"/>
      <c r="E70" s="347"/>
      <c r="F70" s="347"/>
      <c r="G70" s="347"/>
      <c r="H70" s="347"/>
      <c r="I70" s="347"/>
      <c r="J70" s="347"/>
      <c r="K70" s="347"/>
    </row>
    <row r="71" spans="1:11" s="317" customFormat="1" x14ac:dyDescent="0.2">
      <c r="A71" s="345" t="s">
        <v>410</v>
      </c>
      <c r="B71" s="436">
        <f>K86</f>
        <v>3310.7657062500002</v>
      </c>
      <c r="C71" s="345" t="s">
        <v>464</v>
      </c>
      <c r="D71" s="347"/>
      <c r="E71" s="347"/>
      <c r="F71" s="347"/>
      <c r="G71" s="347"/>
      <c r="H71" s="347"/>
      <c r="I71" s="347"/>
      <c r="J71" s="347"/>
      <c r="K71" s="347"/>
    </row>
    <row r="72" spans="1:11" s="317" customFormat="1" x14ac:dyDescent="0.2">
      <c r="A72" s="345" t="s">
        <v>469</v>
      </c>
      <c r="B72" s="591">
        <f>B70+B71</f>
        <v>50776.940706250003</v>
      </c>
      <c r="C72" s="345" t="s">
        <v>464</v>
      </c>
      <c r="D72" s="347"/>
      <c r="E72" s="347"/>
      <c r="F72" s="347"/>
      <c r="G72" s="347"/>
      <c r="H72" s="347"/>
      <c r="I72" s="347"/>
      <c r="J72" s="347"/>
      <c r="K72" s="347"/>
    </row>
    <row r="73" spans="1:11" s="317" customFormat="1" x14ac:dyDescent="0.2">
      <c r="A73" s="345"/>
      <c r="B73" s="550"/>
      <c r="C73" s="345"/>
      <c r="D73" s="347"/>
      <c r="E73" s="347"/>
      <c r="F73" s="347"/>
      <c r="G73" s="347"/>
      <c r="H73" s="347"/>
      <c r="I73" s="347"/>
      <c r="J73" s="347"/>
      <c r="K73" s="347"/>
    </row>
    <row r="74" spans="1:11" s="317" customFormat="1" x14ac:dyDescent="0.2">
      <c r="A74" s="345" t="s">
        <v>466</v>
      </c>
      <c r="B74" s="592">
        <v>0.75</v>
      </c>
      <c r="C74" s="592">
        <v>0.25</v>
      </c>
      <c r="D74" s="347"/>
      <c r="E74" s="347"/>
      <c r="F74" s="347"/>
      <c r="G74" s="347"/>
      <c r="H74" s="347"/>
      <c r="I74" s="347"/>
      <c r="J74" s="347"/>
      <c r="K74" s="347"/>
    </row>
    <row r="75" spans="1:11" s="317" customFormat="1" x14ac:dyDescent="0.2">
      <c r="A75" s="345" t="s">
        <v>417</v>
      </c>
      <c r="B75" s="593">
        <f>B70-B76+B71</f>
        <v>38910.396956250006</v>
      </c>
      <c r="C75" s="345"/>
      <c r="D75" s="347"/>
      <c r="E75" s="347"/>
      <c r="F75" s="347"/>
      <c r="G75" s="347"/>
      <c r="H75" s="347"/>
      <c r="I75" s="347"/>
      <c r="J75" s="347"/>
      <c r="K75" s="347"/>
    </row>
    <row r="76" spans="1:11" s="317" customFormat="1" x14ac:dyDescent="0.2">
      <c r="A76" s="345" t="s">
        <v>418</v>
      </c>
      <c r="B76" s="593">
        <f>B70*C74</f>
        <v>11866.543750000001</v>
      </c>
      <c r="C76" s="345"/>
      <c r="D76" s="347"/>
      <c r="E76" s="347"/>
      <c r="F76" s="347"/>
      <c r="G76" s="347"/>
      <c r="H76" s="347"/>
      <c r="I76" s="347"/>
      <c r="J76" s="347"/>
      <c r="K76" s="347"/>
    </row>
    <row r="77" spans="1:11" s="317" customFormat="1" x14ac:dyDescent="0.2">
      <c r="A77" s="345"/>
      <c r="B77" s="594">
        <f>B75+B76</f>
        <v>50776.94070625001</v>
      </c>
      <c r="C77" s="584"/>
      <c r="D77" s="590"/>
      <c r="E77" s="590"/>
      <c r="F77" s="590"/>
      <c r="G77" s="590"/>
      <c r="H77" s="347"/>
      <c r="I77" s="590"/>
      <c r="J77" s="590"/>
      <c r="K77" s="590"/>
    </row>
    <row r="78" spans="1:11" s="280" customFormat="1" x14ac:dyDescent="0.2">
      <c r="A78" s="326">
        <v>1</v>
      </c>
      <c r="B78" s="327" t="s">
        <v>453</v>
      </c>
      <c r="C78" s="462">
        <v>24</v>
      </c>
      <c r="D78" s="322"/>
      <c r="E78" s="322"/>
      <c r="F78" s="322"/>
      <c r="G78" s="322"/>
      <c r="H78" s="322"/>
      <c r="I78" s="322"/>
      <c r="J78" s="322"/>
      <c r="K78" s="322"/>
    </row>
    <row r="79" spans="1:11" s="280" customFormat="1" x14ac:dyDescent="0.2">
      <c r="A79" s="326">
        <v>2</v>
      </c>
      <c r="B79" s="327" t="s">
        <v>454</v>
      </c>
      <c r="C79" s="597">
        <f>Norms!B52</f>
        <v>0.09</v>
      </c>
      <c r="D79" s="322"/>
      <c r="E79" s="322"/>
      <c r="F79" s="322"/>
      <c r="G79" s="322"/>
      <c r="H79" s="322"/>
      <c r="I79" s="322"/>
      <c r="J79" s="322"/>
      <c r="K79" s="322"/>
    </row>
    <row r="80" spans="1:11" s="317" customFormat="1" x14ac:dyDescent="0.2">
      <c r="A80" s="205"/>
      <c r="B80" s="347"/>
      <c r="C80" s="595"/>
      <c r="D80" s="347"/>
      <c r="E80" s="694" t="s">
        <v>418</v>
      </c>
      <c r="F80" s="695"/>
      <c r="G80" s="696"/>
      <c r="H80" s="694" t="s">
        <v>417</v>
      </c>
      <c r="I80" s="695"/>
      <c r="J80" s="695"/>
      <c r="K80" s="696"/>
    </row>
    <row r="81" spans="1:11" s="317" customFormat="1" x14ac:dyDescent="0.2">
      <c r="A81" s="344" t="s">
        <v>402</v>
      </c>
      <c r="B81" s="345" t="s">
        <v>458</v>
      </c>
      <c r="C81" s="436" t="s">
        <v>457</v>
      </c>
      <c r="D81" s="344" t="s">
        <v>465</v>
      </c>
      <c r="E81" s="344" t="s">
        <v>468</v>
      </c>
      <c r="F81" s="344" t="s">
        <v>455</v>
      </c>
      <c r="G81" s="344" t="s">
        <v>467</v>
      </c>
      <c r="H81" s="344" t="s">
        <v>468</v>
      </c>
      <c r="I81" s="344" t="s">
        <v>456</v>
      </c>
      <c r="J81" s="344" t="s">
        <v>467</v>
      </c>
      <c r="K81" s="344" t="s">
        <v>280</v>
      </c>
    </row>
    <row r="82" spans="1:11" s="280" customFormat="1" x14ac:dyDescent="0.2">
      <c r="A82" s="326">
        <v>1</v>
      </c>
      <c r="B82" s="345" t="s">
        <v>459</v>
      </c>
      <c r="C82" s="596">
        <v>0.2</v>
      </c>
      <c r="D82" s="436">
        <f>C82*$B$70</f>
        <v>9493.2350000000006</v>
      </c>
      <c r="E82" s="462">
        <f>D82</f>
        <v>9493.2350000000006</v>
      </c>
      <c r="F82" s="462">
        <f>E82</f>
        <v>9493.2350000000006</v>
      </c>
      <c r="G82" s="462">
        <f>B76-F82</f>
        <v>2373.3087500000001</v>
      </c>
      <c r="H82" s="462">
        <f>D82-E82</f>
        <v>0</v>
      </c>
      <c r="I82" s="462">
        <f>H82</f>
        <v>0</v>
      </c>
      <c r="J82" s="462">
        <f>B75-I82</f>
        <v>38910.396956250006</v>
      </c>
      <c r="K82" s="462">
        <f>I82*$C$79/2</f>
        <v>0</v>
      </c>
    </row>
    <row r="83" spans="1:11" s="280" customFormat="1" x14ac:dyDescent="0.2">
      <c r="A83" s="326">
        <v>2</v>
      </c>
      <c r="B83" s="345" t="s">
        <v>460</v>
      </c>
      <c r="C83" s="596">
        <v>0.3</v>
      </c>
      <c r="D83" s="436">
        <f t="shared" ref="D83:D85" si="0">C83*$B$70</f>
        <v>14239.852500000001</v>
      </c>
      <c r="E83" s="462">
        <f>IF(G82&gt;0, MIN(D83,G82),0)</f>
        <v>2373.3087500000001</v>
      </c>
      <c r="F83" s="462">
        <f>E83+F82</f>
        <v>11866.543750000001</v>
      </c>
      <c r="G83" s="462">
        <f>$B$76-F83</f>
        <v>0</v>
      </c>
      <c r="H83" s="462">
        <f>D83-E83</f>
        <v>11866.543750000001</v>
      </c>
      <c r="I83" s="462">
        <f>H83+I82</f>
        <v>11866.543750000001</v>
      </c>
      <c r="J83" s="462">
        <f>$B$75-I83</f>
        <v>27043.853206250005</v>
      </c>
      <c r="K83" s="462">
        <f t="shared" ref="K83:K85" si="1">I83*$C$79/2</f>
        <v>533.99446875000001</v>
      </c>
    </row>
    <row r="84" spans="1:11" s="280" customFormat="1" x14ac:dyDescent="0.2">
      <c r="A84" s="326">
        <v>3</v>
      </c>
      <c r="B84" s="345" t="s">
        <v>461</v>
      </c>
      <c r="C84" s="596">
        <v>0.3</v>
      </c>
      <c r="D84" s="436">
        <f t="shared" si="0"/>
        <v>14239.852500000001</v>
      </c>
      <c r="E84" s="462">
        <f>IF(G83&gt;0, MIN(D84,G83),0)</f>
        <v>0</v>
      </c>
      <c r="F84" s="462">
        <f>E84+F83</f>
        <v>11866.543750000001</v>
      </c>
      <c r="G84" s="462">
        <f t="shared" ref="G84:G86" si="2">$B$76-F84</f>
        <v>0</v>
      </c>
      <c r="H84" s="462">
        <f t="shared" ref="H84:H85" si="3">D84-E84</f>
        <v>14239.852500000001</v>
      </c>
      <c r="I84" s="462">
        <f>H84+I83</f>
        <v>26106.396250000002</v>
      </c>
      <c r="J84" s="462">
        <f>$B$75-I84</f>
        <v>12804.000706250004</v>
      </c>
      <c r="K84" s="462">
        <f t="shared" si="1"/>
        <v>1174.78783125</v>
      </c>
    </row>
    <row r="85" spans="1:11" s="280" customFormat="1" x14ac:dyDescent="0.2">
      <c r="A85" s="326">
        <v>4</v>
      </c>
      <c r="B85" s="345" t="s">
        <v>462</v>
      </c>
      <c r="C85" s="596">
        <v>0.2</v>
      </c>
      <c r="D85" s="436">
        <f t="shared" si="0"/>
        <v>9493.2350000000006</v>
      </c>
      <c r="E85" s="462">
        <f>IF(G84&gt;0, MIN(D85,G84),0)</f>
        <v>0</v>
      </c>
      <c r="F85" s="462">
        <f>E85+F84</f>
        <v>11866.543750000001</v>
      </c>
      <c r="G85" s="462">
        <f t="shared" si="2"/>
        <v>0</v>
      </c>
      <c r="H85" s="462">
        <f t="shared" si="3"/>
        <v>9493.2350000000006</v>
      </c>
      <c r="I85" s="462">
        <f>H85+I84</f>
        <v>35599.631250000006</v>
      </c>
      <c r="J85" s="462">
        <f>$B$75-I85</f>
        <v>3310.7657062500002</v>
      </c>
      <c r="K85" s="462">
        <f t="shared" si="1"/>
        <v>1601.9834062500001</v>
      </c>
    </row>
    <row r="86" spans="1:11" s="280" customFormat="1" x14ac:dyDescent="0.2">
      <c r="A86" s="326"/>
      <c r="B86" s="357" t="s">
        <v>47</v>
      </c>
      <c r="C86" s="597">
        <f>SUM(C82:C85)</f>
        <v>1</v>
      </c>
      <c r="D86" s="436">
        <f>SUM(D82:D85)</f>
        <v>47466.175000000003</v>
      </c>
      <c r="E86" s="462">
        <f>SUM(E82:E85)</f>
        <v>11866.543750000001</v>
      </c>
      <c r="F86" s="462">
        <f>F85</f>
        <v>11866.543750000001</v>
      </c>
      <c r="G86" s="462">
        <f t="shared" si="2"/>
        <v>0</v>
      </c>
      <c r="H86" s="462">
        <f>SUM(H82:H85)</f>
        <v>35599.631250000006</v>
      </c>
      <c r="I86" s="462">
        <f>I85</f>
        <v>35599.631250000006</v>
      </c>
      <c r="J86" s="462">
        <f>J85</f>
        <v>3310.7657062500002</v>
      </c>
      <c r="K86" s="598">
        <f>SUM(K82:K85)</f>
        <v>3310.7657062500002</v>
      </c>
    </row>
    <row r="87" spans="1:11" s="280" customFormat="1" x14ac:dyDescent="0.2"/>
    <row r="92" spans="1:11" x14ac:dyDescent="0.2">
      <c r="K92" s="94" t="s">
        <v>249</v>
      </c>
    </row>
  </sheetData>
  <mergeCells count="3">
    <mergeCell ref="H80:K80"/>
    <mergeCell ref="A16:E16"/>
    <mergeCell ref="E80:G8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S30"/>
  <sheetViews>
    <sheetView showGridLines="0" topLeftCell="A9" zoomScaleNormal="100" workbookViewId="0">
      <selection activeCell="D24" sqref="D24"/>
    </sheetView>
  </sheetViews>
  <sheetFormatPr defaultColWidth="9.140625" defaultRowHeight="15" x14ac:dyDescent="0.25"/>
  <cols>
    <col min="1" max="1" width="54.140625" style="92" customWidth="1"/>
    <col min="2" max="2" width="17.85546875" style="92" customWidth="1"/>
    <col min="3" max="3" width="18.140625" style="92" customWidth="1"/>
    <col min="4" max="4" width="13.140625" style="92" customWidth="1"/>
    <col min="5" max="5" width="15.140625" style="92" bestFit="1" customWidth="1"/>
    <col min="6" max="6" width="14.42578125" style="92" customWidth="1"/>
    <col min="7" max="7" width="12.28515625" style="92" bestFit="1" customWidth="1"/>
    <col min="8" max="18" width="11.5703125" style="92" bestFit="1" customWidth="1"/>
    <col min="19" max="19" width="15.7109375" style="544" customWidth="1"/>
    <col min="20" max="20" width="15.140625" style="544" customWidth="1"/>
    <col min="21" max="30" width="9.140625" style="544" customWidth="1"/>
    <col min="31" max="16384" width="9.140625" style="544"/>
  </cols>
  <sheetData>
    <row r="1" spans="1:19" x14ac:dyDescent="0.25">
      <c r="A1" s="698" t="s">
        <v>595</v>
      </c>
      <c r="B1" s="698"/>
      <c r="C1" s="698"/>
      <c r="D1" s="510" t="s">
        <v>39</v>
      </c>
      <c r="E1" s="511"/>
      <c r="F1" s="511"/>
      <c r="G1" s="511"/>
      <c r="H1" s="511"/>
      <c r="I1" s="511"/>
      <c r="J1" s="511"/>
      <c r="K1" s="511"/>
      <c r="L1" s="511"/>
      <c r="M1" s="511"/>
      <c r="N1" s="511"/>
      <c r="O1" s="511"/>
      <c r="P1" s="511"/>
      <c r="Q1" s="511"/>
      <c r="R1" s="533"/>
    </row>
    <row r="2" spans="1:19" x14ac:dyDescent="0.25">
      <c r="A2" s="698"/>
      <c r="B2" s="698"/>
      <c r="C2" s="698"/>
      <c r="D2" s="510">
        <v>2025</v>
      </c>
      <c r="E2" s="510">
        <v>2026</v>
      </c>
      <c r="F2" s="510">
        <v>2027</v>
      </c>
      <c r="G2" s="510">
        <v>2028</v>
      </c>
      <c r="H2" s="510">
        <v>2029</v>
      </c>
      <c r="I2" s="510">
        <v>2030</v>
      </c>
      <c r="J2" s="510">
        <v>2031</v>
      </c>
      <c r="K2" s="510">
        <v>2032</v>
      </c>
      <c r="L2" s="510">
        <v>2033</v>
      </c>
      <c r="M2" s="510">
        <v>2034</v>
      </c>
      <c r="N2" s="510">
        <v>2035</v>
      </c>
      <c r="O2" s="510">
        <v>2036</v>
      </c>
      <c r="P2" s="510">
        <v>2037</v>
      </c>
      <c r="Q2" s="510">
        <v>2038</v>
      </c>
      <c r="R2" s="502">
        <v>2039</v>
      </c>
    </row>
    <row r="3" spans="1:19" s="545" customFormat="1" x14ac:dyDescent="0.25">
      <c r="A3" s="512" t="s">
        <v>423</v>
      </c>
      <c r="B3" s="512" t="s">
        <v>422</v>
      </c>
      <c r="C3" s="512"/>
      <c r="D3" s="513">
        <v>0.7</v>
      </c>
      <c r="E3" s="513">
        <v>0.8</v>
      </c>
      <c r="F3" s="513">
        <v>0.95</v>
      </c>
      <c r="G3" s="513">
        <v>0.95</v>
      </c>
      <c r="H3" s="513">
        <v>0.95</v>
      </c>
      <c r="I3" s="513">
        <v>0.95</v>
      </c>
      <c r="J3" s="513">
        <v>0.95</v>
      </c>
      <c r="K3" s="513">
        <v>0.95</v>
      </c>
      <c r="L3" s="513">
        <v>0.95</v>
      </c>
      <c r="M3" s="513">
        <v>0.95</v>
      </c>
      <c r="N3" s="513">
        <v>0.95</v>
      </c>
      <c r="O3" s="513">
        <v>0.95</v>
      </c>
      <c r="P3" s="513">
        <v>0.95</v>
      </c>
      <c r="Q3" s="513">
        <v>0.95</v>
      </c>
      <c r="R3" s="534">
        <v>0.95</v>
      </c>
    </row>
    <row r="4" spans="1:19" s="545" customFormat="1" x14ac:dyDescent="0.25">
      <c r="A4" s="512" t="s">
        <v>421</v>
      </c>
      <c r="B4" s="512" t="s">
        <v>46</v>
      </c>
      <c r="C4" s="512"/>
      <c r="D4" s="514">
        <f>Norms!$B$3*Opex!D3</f>
        <v>41387.5</v>
      </c>
      <c r="E4" s="514">
        <f>Norms!$B$3*Opex!E3</f>
        <v>47300</v>
      </c>
      <c r="F4" s="514">
        <f>Norms!$B$3*Opex!F3</f>
        <v>56168.75</v>
      </c>
      <c r="G4" s="514">
        <f>Norms!$B$3*Opex!G3</f>
        <v>56168.75</v>
      </c>
      <c r="H4" s="514">
        <f>Norms!$B$3*Opex!H3</f>
        <v>56168.75</v>
      </c>
      <c r="I4" s="514">
        <f>Norms!$B$3*Opex!I3</f>
        <v>56168.75</v>
      </c>
      <c r="J4" s="514">
        <f>Norms!$B$3*Opex!J3</f>
        <v>56168.75</v>
      </c>
      <c r="K4" s="514">
        <f>Norms!$B$3*Opex!K3</f>
        <v>56168.75</v>
      </c>
      <c r="L4" s="514">
        <f>Norms!$B$3*Opex!L3</f>
        <v>56168.75</v>
      </c>
      <c r="M4" s="514">
        <f>Norms!$B$3*Opex!M3</f>
        <v>56168.75</v>
      </c>
      <c r="N4" s="514">
        <f>Norms!$B$3*Opex!N3</f>
        <v>56168.75</v>
      </c>
      <c r="O4" s="514">
        <f>Norms!$B$3*Opex!O3</f>
        <v>56168.75</v>
      </c>
      <c r="P4" s="514">
        <f>Norms!$B$3*Opex!P3</f>
        <v>56168.75</v>
      </c>
      <c r="Q4" s="514">
        <f>Norms!$B$3*Opex!Q3</f>
        <v>56168.75</v>
      </c>
      <c r="R4" s="535">
        <f>Norms!$B$3*Opex!R3</f>
        <v>56168.75</v>
      </c>
    </row>
    <row r="5" spans="1:19" s="546" customFormat="1" x14ac:dyDescent="0.25">
      <c r="A5" s="512"/>
      <c r="B5" s="512"/>
      <c r="C5" s="512"/>
      <c r="D5" s="514"/>
      <c r="E5" s="514"/>
      <c r="F5" s="514"/>
      <c r="G5" s="514"/>
      <c r="H5" s="514"/>
      <c r="I5" s="514"/>
      <c r="J5" s="514"/>
      <c r="K5" s="514"/>
      <c r="L5" s="514"/>
      <c r="M5" s="514"/>
      <c r="N5" s="514"/>
      <c r="O5" s="514"/>
      <c r="P5" s="514"/>
      <c r="Q5" s="514"/>
      <c r="R5" s="535"/>
    </row>
    <row r="6" spans="1:19" s="546" customFormat="1" x14ac:dyDescent="0.25">
      <c r="A6" s="515" t="s">
        <v>274</v>
      </c>
      <c r="B6" s="516" t="s">
        <v>25</v>
      </c>
      <c r="C6" s="516" t="s">
        <v>43</v>
      </c>
      <c r="D6" s="517">
        <f>SUM(D7:D9)</f>
        <v>63.362801003906235</v>
      </c>
      <c r="E6" s="517">
        <f t="shared" ref="E6:J6" si="0">SUM(E7:E9)</f>
        <v>72.414629718749993</v>
      </c>
      <c r="F6" s="517">
        <f t="shared" si="0"/>
        <v>85.992372791015612</v>
      </c>
      <c r="G6" s="517">
        <f t="shared" si="0"/>
        <v>85.992372791015612</v>
      </c>
      <c r="H6" s="517">
        <f t="shared" si="0"/>
        <v>85.992372791015612</v>
      </c>
      <c r="I6" s="517">
        <f t="shared" si="0"/>
        <v>85.992372791015612</v>
      </c>
      <c r="J6" s="517">
        <f t="shared" si="0"/>
        <v>85.992372791015612</v>
      </c>
      <c r="K6" s="517">
        <f>SUM(K7:K9)</f>
        <v>85.992372791015612</v>
      </c>
      <c r="L6" s="517">
        <f t="shared" ref="L6" si="1">SUM(L7:L9)</f>
        <v>85.992372791015612</v>
      </c>
      <c r="M6" s="517">
        <f t="shared" ref="M6" si="2">SUM(M7:M9)</f>
        <v>85.992372791015612</v>
      </c>
      <c r="N6" s="517">
        <f t="shared" ref="N6" si="3">SUM(N7:N9)</f>
        <v>85.992372791015612</v>
      </c>
      <c r="O6" s="517">
        <f t="shared" ref="O6" si="4">SUM(O7:O9)</f>
        <v>85.992372791015612</v>
      </c>
      <c r="P6" s="517">
        <f>SUM(P7:P9)</f>
        <v>85.992372791015612</v>
      </c>
      <c r="Q6" s="517">
        <f t="shared" ref="Q6" si="5">SUM(Q7:Q9)</f>
        <v>85.992372791015612</v>
      </c>
      <c r="R6" s="536">
        <f t="shared" ref="R6" si="6">SUM(R7:R9)</f>
        <v>85.992372791015612</v>
      </c>
    </row>
    <row r="7" spans="1:19" s="546" customFormat="1" x14ac:dyDescent="0.25">
      <c r="A7" s="346" t="s">
        <v>133</v>
      </c>
      <c r="B7" s="386">
        <f>Norms!F3</f>
        <v>16998.4375</v>
      </c>
      <c r="C7" s="386">
        <f>Norms!G10</f>
        <v>29242.25</v>
      </c>
      <c r="D7" s="518">
        <f>D4*Norms!$D$3*Opex!$C$7/10^7</f>
        <v>34.795079128906245</v>
      </c>
      <c r="E7" s="518">
        <f>E4*Norms!$D$3*Opex!$C$7/10^7</f>
        <v>39.765804718749997</v>
      </c>
      <c r="F7" s="518">
        <f>F4*Norms!$D$3*Opex!$C$7/10^7</f>
        <v>47.221893103515619</v>
      </c>
      <c r="G7" s="518">
        <f>G4*Norms!$D$3*Opex!$C$7/10^7</f>
        <v>47.221893103515619</v>
      </c>
      <c r="H7" s="518">
        <f>H4*Norms!$D$3*Opex!$C$7/10^7</f>
        <v>47.221893103515619</v>
      </c>
      <c r="I7" s="518">
        <f>I4*Norms!$D$3*Opex!$C$7/10^7</f>
        <v>47.221893103515619</v>
      </c>
      <c r="J7" s="518">
        <f>J4*Norms!$D$3*Opex!$C$7/10^7</f>
        <v>47.221893103515619</v>
      </c>
      <c r="K7" s="518">
        <f>K4*Norms!$D$3*Opex!$C$7/10^7</f>
        <v>47.221893103515619</v>
      </c>
      <c r="L7" s="518">
        <f>L4*Norms!$D$3*Opex!$C$7/10^7</f>
        <v>47.221893103515619</v>
      </c>
      <c r="M7" s="518">
        <f>M4*Norms!$D$3*Opex!$C$7/10^7</f>
        <v>47.221893103515619</v>
      </c>
      <c r="N7" s="518">
        <f>N4*Norms!$D$3*Opex!$C$7/10^7</f>
        <v>47.221893103515619</v>
      </c>
      <c r="O7" s="518">
        <f>O4*Norms!$D$3*Opex!$C$7/10^7</f>
        <v>47.221893103515619</v>
      </c>
      <c r="P7" s="518">
        <f>P4*Norms!$D$3*Opex!$C$7/10^7</f>
        <v>47.221893103515619</v>
      </c>
      <c r="Q7" s="518">
        <f>Q4*Norms!$D$3*Opex!$C$7/10^7</f>
        <v>47.221893103515619</v>
      </c>
      <c r="R7" s="366">
        <f>R4*Norms!$D$3*Opex!$C$7/10^7</f>
        <v>47.221893103515619</v>
      </c>
    </row>
    <row r="8" spans="1:19" s="546" customFormat="1" x14ac:dyDescent="0.25">
      <c r="A8" s="346" t="s">
        <v>439</v>
      </c>
      <c r="B8" s="386"/>
      <c r="C8" s="386"/>
      <c r="D8" s="518">
        <f>D4*Norms!$D$13*Norms!$J$16/10^7</f>
        <v>27.460606249999994</v>
      </c>
      <c r="E8" s="518">
        <f>E4*Norms!$D$13*Norms!$J$16/10^7</f>
        <v>31.383549999999993</v>
      </c>
      <c r="F8" s="518">
        <f>F4*Norms!$D$13*Norms!$J$16/10^7</f>
        <v>37.267965624999995</v>
      </c>
      <c r="G8" s="518">
        <f>G4*Norms!$D$13*Norms!$J$16/10^7</f>
        <v>37.267965624999995</v>
      </c>
      <c r="H8" s="518">
        <f>H4*Norms!$D$13*Norms!$J$16/10^7</f>
        <v>37.267965624999995</v>
      </c>
      <c r="I8" s="518">
        <f>I4*Norms!$D$13*Norms!$J$16/10^7</f>
        <v>37.267965624999995</v>
      </c>
      <c r="J8" s="518">
        <f>J4*Norms!$D$13*Norms!$J$16/10^7</f>
        <v>37.267965624999995</v>
      </c>
      <c r="K8" s="518">
        <f>K4*Norms!$D$13*Norms!$J$16/10^7</f>
        <v>37.267965624999995</v>
      </c>
      <c r="L8" s="518">
        <f>L4*Norms!$D$13*Norms!$J$16/10^7</f>
        <v>37.267965624999995</v>
      </c>
      <c r="M8" s="518">
        <f>M4*Norms!$D$13*Norms!$J$16/10^7</f>
        <v>37.267965624999995</v>
      </c>
      <c r="N8" s="518">
        <f>N4*Norms!$D$13*Norms!$J$16/10^7</f>
        <v>37.267965624999995</v>
      </c>
      <c r="O8" s="518">
        <f>O4*Norms!$D$13*Norms!$J$16/10^7</f>
        <v>37.267965624999995</v>
      </c>
      <c r="P8" s="518">
        <f>P4*Norms!$D$13*Norms!$J$16/10^7</f>
        <v>37.267965624999995</v>
      </c>
      <c r="Q8" s="518">
        <f>Q4*Norms!$D$13*Norms!$J$16/10^7</f>
        <v>37.267965624999995</v>
      </c>
      <c r="R8" s="366">
        <f>R4*Norms!$D$13*Norms!$J$16/10^7</f>
        <v>37.267965624999995</v>
      </c>
    </row>
    <row r="9" spans="1:19" s="546" customFormat="1" x14ac:dyDescent="0.25">
      <c r="A9" s="346" t="s">
        <v>438</v>
      </c>
      <c r="B9" s="386"/>
      <c r="C9" s="386"/>
      <c r="D9" s="518">
        <f>D4*Norms!$D$18*Norms!$J$18/10^7</f>
        <v>1.107115625</v>
      </c>
      <c r="E9" s="518">
        <f>E4*Norms!$D$18*Norms!$J$18/10^7</f>
        <v>1.2652749999999999</v>
      </c>
      <c r="F9" s="518">
        <f>F4*Norms!$D$18*Norms!$J$18/10^7</f>
        <v>1.5025140625</v>
      </c>
      <c r="G9" s="518">
        <f>G4*Norms!$D$18*Norms!$J$18/10^7</f>
        <v>1.5025140625</v>
      </c>
      <c r="H9" s="518">
        <f>H4*Norms!$D$18*Norms!$J$18/10^7</f>
        <v>1.5025140625</v>
      </c>
      <c r="I9" s="518">
        <f>I4*Norms!$D$18*Norms!$J$18/10^7</f>
        <v>1.5025140625</v>
      </c>
      <c r="J9" s="518">
        <f>J4*Norms!$D$18*Norms!$J$18/10^7</f>
        <v>1.5025140625</v>
      </c>
      <c r="K9" s="518">
        <f>K4*Norms!$D$18*Norms!$J$18/10^7</f>
        <v>1.5025140625</v>
      </c>
      <c r="L9" s="518">
        <f>L4*Norms!$D$18*Norms!$J$18/10^7</f>
        <v>1.5025140625</v>
      </c>
      <c r="M9" s="518">
        <f>M4*Norms!$D$18*Norms!$J$18/10^7</f>
        <v>1.5025140625</v>
      </c>
      <c r="N9" s="518">
        <f>N4*Norms!$D$18*Norms!$J$18/10^7</f>
        <v>1.5025140625</v>
      </c>
      <c r="O9" s="518">
        <f>O4*Norms!$D$18*Norms!$J$18/10^7</f>
        <v>1.5025140625</v>
      </c>
      <c r="P9" s="518">
        <f>P4*Norms!$D$18*Norms!$J$18/10^7</f>
        <v>1.5025140625</v>
      </c>
      <c r="Q9" s="518">
        <f>Q4*Norms!$D$18*Norms!$J$18/10^7</f>
        <v>1.5025140625</v>
      </c>
      <c r="R9" s="366">
        <f>R4*Norms!$D$18*Norms!$J$18/10^7</f>
        <v>1.5025140625</v>
      </c>
    </row>
    <row r="10" spans="1:19" s="546" customFormat="1" x14ac:dyDescent="0.25">
      <c r="A10" s="379" t="s">
        <v>440</v>
      </c>
      <c r="B10" s="386"/>
      <c r="C10" s="386"/>
      <c r="D10" s="518">
        <f>SUM(D7:D9)</f>
        <v>63.362801003906235</v>
      </c>
      <c r="E10" s="518">
        <f t="shared" ref="E10:R10" si="7">SUM(E7:E9)</f>
        <v>72.414629718749993</v>
      </c>
      <c r="F10" s="518">
        <f t="shared" si="7"/>
        <v>85.992372791015612</v>
      </c>
      <c r="G10" s="518">
        <f t="shared" si="7"/>
        <v>85.992372791015612</v>
      </c>
      <c r="H10" s="518">
        <f t="shared" si="7"/>
        <v>85.992372791015612</v>
      </c>
      <c r="I10" s="518">
        <f t="shared" si="7"/>
        <v>85.992372791015612</v>
      </c>
      <c r="J10" s="518">
        <f t="shared" si="7"/>
        <v>85.992372791015612</v>
      </c>
      <c r="K10" s="518">
        <f t="shared" si="7"/>
        <v>85.992372791015612</v>
      </c>
      <c r="L10" s="518">
        <f t="shared" si="7"/>
        <v>85.992372791015612</v>
      </c>
      <c r="M10" s="518">
        <f t="shared" si="7"/>
        <v>85.992372791015612</v>
      </c>
      <c r="N10" s="518">
        <f t="shared" si="7"/>
        <v>85.992372791015612</v>
      </c>
      <c r="O10" s="518">
        <f t="shared" si="7"/>
        <v>85.992372791015612</v>
      </c>
      <c r="P10" s="518">
        <f t="shared" si="7"/>
        <v>85.992372791015612</v>
      </c>
      <c r="Q10" s="518">
        <f t="shared" si="7"/>
        <v>85.992372791015612</v>
      </c>
      <c r="R10" s="366">
        <f t="shared" si="7"/>
        <v>85.992372791015612</v>
      </c>
    </row>
    <row r="11" spans="1:19" x14ac:dyDescent="0.25">
      <c r="A11" s="516" t="s">
        <v>275</v>
      </c>
      <c r="B11" s="519"/>
      <c r="C11" s="519"/>
      <c r="D11" s="517">
        <f>SUM(D12:D17)</f>
        <v>14.491728285312501</v>
      </c>
      <c r="E11" s="520">
        <f>SUM(E12:E17)</f>
        <v>14.642497035312502</v>
      </c>
      <c r="F11" s="520">
        <f t="shared" ref="F11:R11" si="8">SUM(F12:F17)</f>
        <v>14.868650160312502</v>
      </c>
      <c r="G11" s="520">
        <f t="shared" si="8"/>
        <v>14.868650160312502</v>
      </c>
      <c r="H11" s="520">
        <f t="shared" si="8"/>
        <v>14.868650160312502</v>
      </c>
      <c r="I11" s="520">
        <f t="shared" si="8"/>
        <v>14.868650160312502</v>
      </c>
      <c r="J11" s="520">
        <f t="shared" si="8"/>
        <v>14.868650160312502</v>
      </c>
      <c r="K11" s="520">
        <f t="shared" si="8"/>
        <v>14.868650160312502</v>
      </c>
      <c r="L11" s="520">
        <f t="shared" si="8"/>
        <v>14.868650160312502</v>
      </c>
      <c r="M11" s="520">
        <f t="shared" si="8"/>
        <v>14.868650160312502</v>
      </c>
      <c r="N11" s="520">
        <f t="shared" si="8"/>
        <v>14.868650160312502</v>
      </c>
      <c r="O11" s="520">
        <f t="shared" si="8"/>
        <v>14.868650160312502</v>
      </c>
      <c r="P11" s="520">
        <f t="shared" si="8"/>
        <v>14.868650160312502</v>
      </c>
      <c r="Q11" s="520">
        <f t="shared" si="8"/>
        <v>14.868650160312502</v>
      </c>
      <c r="R11" s="537">
        <f t="shared" si="8"/>
        <v>14.868650160312502</v>
      </c>
    </row>
    <row r="12" spans="1:19" s="546" customFormat="1" x14ac:dyDescent="0.25">
      <c r="A12" s="521" t="s">
        <v>447</v>
      </c>
      <c r="B12" s="386"/>
      <c r="C12" s="386"/>
      <c r="D12" s="518">
        <f>Norms!$D$16*Norms!$D$28*Opex!D4/10^7</f>
        <v>1.0553812500000002</v>
      </c>
      <c r="E12" s="518">
        <f>Norms!$D$16*Norms!$D$28*Opex!E4/10^7</f>
        <v>1.2061500000000003</v>
      </c>
      <c r="F12" s="518">
        <f>Norms!$D$16*Norms!$D$28*Opex!F4/10^7</f>
        <v>1.4323031250000002</v>
      </c>
      <c r="G12" s="518">
        <f>Norms!$D$16*Norms!$D$28*Opex!G4/10^7</f>
        <v>1.4323031250000002</v>
      </c>
      <c r="H12" s="518">
        <f>Norms!$D$16*Norms!$D$28*Opex!H4/10^7</f>
        <v>1.4323031250000002</v>
      </c>
      <c r="I12" s="518">
        <f>Norms!$D$16*Norms!$D$28*Opex!I4/10^7</f>
        <v>1.4323031250000002</v>
      </c>
      <c r="J12" s="518">
        <f>Norms!$D$16*Norms!$D$28*Opex!J4/10^7</f>
        <v>1.4323031250000002</v>
      </c>
      <c r="K12" s="518">
        <f>Norms!$D$16*Norms!$D$28*Opex!K4/10^7</f>
        <v>1.4323031250000002</v>
      </c>
      <c r="L12" s="518">
        <f>Norms!$D$16*Norms!$D$28*Opex!L4/10^7</f>
        <v>1.4323031250000002</v>
      </c>
      <c r="M12" s="518">
        <f>Norms!$D$16*Norms!$D$28*Opex!M4/10^7</f>
        <v>1.4323031250000002</v>
      </c>
      <c r="N12" s="518">
        <f>Norms!$D$16*Norms!$D$28*Opex!N4/10^7</f>
        <v>1.4323031250000002</v>
      </c>
      <c r="O12" s="518">
        <f>Norms!$D$16*Norms!$D$28*Opex!O4/10^7</f>
        <v>1.4323031250000002</v>
      </c>
      <c r="P12" s="518">
        <f>Norms!$D$16*Norms!$D$28*Opex!P4/10^7</f>
        <v>1.4323031250000002</v>
      </c>
      <c r="Q12" s="518">
        <f>Norms!$D$16*Norms!$D$28*Opex!Q4/10^7</f>
        <v>1.4323031250000002</v>
      </c>
      <c r="R12" s="366">
        <f>Norms!$D$16*Norms!$D$28*Opex!R4/10^7</f>
        <v>1.4323031250000002</v>
      </c>
    </row>
    <row r="13" spans="1:19" s="546" customFormat="1" x14ac:dyDescent="0.25">
      <c r="A13" s="521" t="s">
        <v>445</v>
      </c>
      <c r="B13" s="521"/>
      <c r="C13" s="521"/>
      <c r="D13" s="518">
        <f>Norms!$D$29/100</f>
        <v>0.04</v>
      </c>
      <c r="E13" s="518">
        <f>Norms!$D$29/100</f>
        <v>0.04</v>
      </c>
      <c r="F13" s="518">
        <f>Norms!$D$29/100</f>
        <v>0.04</v>
      </c>
      <c r="G13" s="518">
        <f>Norms!$D$29/100</f>
        <v>0.04</v>
      </c>
      <c r="H13" s="518">
        <f>Norms!$D$29/100</f>
        <v>0.04</v>
      </c>
      <c r="I13" s="518">
        <f>Norms!$D$29/100</f>
        <v>0.04</v>
      </c>
      <c r="J13" s="518">
        <f>Norms!$D$29/100</f>
        <v>0.04</v>
      </c>
      <c r="K13" s="518">
        <f>Norms!$D$29/100</f>
        <v>0.04</v>
      </c>
      <c r="L13" s="518">
        <f>Norms!$D$29/100</f>
        <v>0.04</v>
      </c>
      <c r="M13" s="518">
        <f>Norms!$D$29/100</f>
        <v>0.04</v>
      </c>
      <c r="N13" s="518">
        <f>Norms!$D$29/100</f>
        <v>0.04</v>
      </c>
      <c r="O13" s="518">
        <f>Norms!$D$29/100</f>
        <v>0.04</v>
      </c>
      <c r="P13" s="518">
        <f>Norms!$D$29/100</f>
        <v>0.04</v>
      </c>
      <c r="Q13" s="518">
        <f>Norms!$D$29/100</f>
        <v>0.04</v>
      </c>
      <c r="R13" s="366">
        <f>Norms!$D$29/100</f>
        <v>0.04</v>
      </c>
    </row>
    <row r="14" spans="1:19" s="546" customFormat="1" x14ac:dyDescent="0.25">
      <c r="A14" s="521" t="s">
        <v>586</v>
      </c>
      <c r="B14" s="521"/>
      <c r="C14" s="521"/>
      <c r="D14" s="518">
        <f>Norms!D49</f>
        <v>2.89</v>
      </c>
      <c r="E14" s="528">
        <f>D14</f>
        <v>2.89</v>
      </c>
      <c r="F14" s="528">
        <f t="shared" ref="F14:R14" si="9">E14</f>
        <v>2.89</v>
      </c>
      <c r="G14" s="528">
        <f t="shared" si="9"/>
        <v>2.89</v>
      </c>
      <c r="H14" s="528">
        <f t="shared" si="9"/>
        <v>2.89</v>
      </c>
      <c r="I14" s="528">
        <f t="shared" si="9"/>
        <v>2.89</v>
      </c>
      <c r="J14" s="528">
        <f t="shared" si="9"/>
        <v>2.89</v>
      </c>
      <c r="K14" s="528">
        <f t="shared" si="9"/>
        <v>2.89</v>
      </c>
      <c r="L14" s="528">
        <f t="shared" si="9"/>
        <v>2.89</v>
      </c>
      <c r="M14" s="528">
        <f t="shared" si="9"/>
        <v>2.89</v>
      </c>
      <c r="N14" s="528">
        <f t="shared" si="9"/>
        <v>2.89</v>
      </c>
      <c r="O14" s="528">
        <f t="shared" si="9"/>
        <v>2.89</v>
      </c>
      <c r="P14" s="528">
        <f t="shared" si="9"/>
        <v>2.89</v>
      </c>
      <c r="Q14" s="528">
        <f t="shared" si="9"/>
        <v>2.89</v>
      </c>
      <c r="R14" s="538">
        <f t="shared" si="9"/>
        <v>2.89</v>
      </c>
    </row>
    <row r="15" spans="1:19" s="546" customFormat="1" ht="29.25" customHeight="1" x14ac:dyDescent="0.25">
      <c r="A15" s="521" t="s">
        <v>276</v>
      </c>
      <c r="B15" s="521"/>
      <c r="C15" s="529">
        <v>0.02</v>
      </c>
      <c r="D15" s="530">
        <f>C15*Capex!$B$5</f>
        <v>7.2450000000000001</v>
      </c>
      <c r="E15" s="530">
        <f>D15</f>
        <v>7.2450000000000001</v>
      </c>
      <c r="F15" s="530">
        <f t="shared" ref="F15:R15" si="10">E15</f>
        <v>7.2450000000000001</v>
      </c>
      <c r="G15" s="530">
        <f t="shared" si="10"/>
        <v>7.2450000000000001</v>
      </c>
      <c r="H15" s="530">
        <f t="shared" si="10"/>
        <v>7.2450000000000001</v>
      </c>
      <c r="I15" s="530">
        <f t="shared" si="10"/>
        <v>7.2450000000000001</v>
      </c>
      <c r="J15" s="530">
        <f t="shared" si="10"/>
        <v>7.2450000000000001</v>
      </c>
      <c r="K15" s="530">
        <f t="shared" si="10"/>
        <v>7.2450000000000001</v>
      </c>
      <c r="L15" s="530">
        <f t="shared" si="10"/>
        <v>7.2450000000000001</v>
      </c>
      <c r="M15" s="530">
        <f t="shared" si="10"/>
        <v>7.2450000000000001</v>
      </c>
      <c r="N15" s="530">
        <f t="shared" si="10"/>
        <v>7.2450000000000001</v>
      </c>
      <c r="O15" s="530">
        <f t="shared" si="10"/>
        <v>7.2450000000000001</v>
      </c>
      <c r="P15" s="530">
        <f t="shared" si="10"/>
        <v>7.2450000000000001</v>
      </c>
      <c r="Q15" s="530">
        <f t="shared" si="10"/>
        <v>7.2450000000000001</v>
      </c>
      <c r="R15" s="539">
        <f t="shared" si="10"/>
        <v>7.2450000000000001</v>
      </c>
      <c r="S15" s="547"/>
    </row>
    <row r="16" spans="1:19" s="546" customFormat="1" ht="29.25" customHeight="1" x14ac:dyDescent="0.25">
      <c r="A16" s="521" t="s">
        <v>489</v>
      </c>
      <c r="B16" s="521"/>
      <c r="C16" s="529">
        <v>5.0000000000000001E-3</v>
      </c>
      <c r="D16" s="530">
        <f>$C$16*Capex!$B$13</f>
        <v>2.5388470353125001</v>
      </c>
      <c r="E16" s="530">
        <f>$C$16*Capex!$B$13</f>
        <v>2.5388470353125001</v>
      </c>
      <c r="F16" s="530">
        <f>$C$16*Capex!$B$13</f>
        <v>2.5388470353125001</v>
      </c>
      <c r="G16" s="530">
        <f>$C$16*Capex!$B$13</f>
        <v>2.5388470353125001</v>
      </c>
      <c r="H16" s="530">
        <f>$C$16*Capex!$B$13</f>
        <v>2.5388470353125001</v>
      </c>
      <c r="I16" s="530">
        <f>$C$16*Capex!$B$13</f>
        <v>2.5388470353125001</v>
      </c>
      <c r="J16" s="530">
        <f>$C$16*Capex!$B$13</f>
        <v>2.5388470353125001</v>
      </c>
      <c r="K16" s="530">
        <f>$C$16*Capex!$B$13</f>
        <v>2.5388470353125001</v>
      </c>
      <c r="L16" s="530">
        <f>$C$16*Capex!$B$13</f>
        <v>2.5388470353125001</v>
      </c>
      <c r="M16" s="530">
        <f>$C$16*Capex!$B$13</f>
        <v>2.5388470353125001</v>
      </c>
      <c r="N16" s="530">
        <f>$C$16*Capex!$B$13</f>
        <v>2.5388470353125001</v>
      </c>
      <c r="O16" s="530">
        <f>$C$16*Capex!$B$13</f>
        <v>2.5388470353125001</v>
      </c>
      <c r="P16" s="530">
        <f>$C$16*Capex!$B$13</f>
        <v>2.5388470353125001</v>
      </c>
      <c r="Q16" s="530">
        <f>$C$16*Capex!$B$13</f>
        <v>2.5388470353125001</v>
      </c>
      <c r="R16" s="539">
        <f>$C$16*Capex!$B$13</f>
        <v>2.5388470353125001</v>
      </c>
      <c r="S16" s="547"/>
    </row>
    <row r="17" spans="1:18" s="546" customFormat="1" ht="14.25" customHeight="1" x14ac:dyDescent="0.25">
      <c r="A17" s="531" t="s">
        <v>449</v>
      </c>
      <c r="B17" s="531"/>
      <c r="C17" s="531"/>
      <c r="D17" s="532">
        <f>Norms!$D$50</f>
        <v>0.72250000000000003</v>
      </c>
      <c r="E17" s="532">
        <f>Norms!$D$50</f>
        <v>0.72250000000000003</v>
      </c>
      <c r="F17" s="532">
        <f>Norms!$D$50</f>
        <v>0.72250000000000003</v>
      </c>
      <c r="G17" s="532">
        <f>Norms!$D$50</f>
        <v>0.72250000000000003</v>
      </c>
      <c r="H17" s="532">
        <f>Norms!$D$50</f>
        <v>0.72250000000000003</v>
      </c>
      <c r="I17" s="532">
        <f>Norms!$D$50</f>
        <v>0.72250000000000003</v>
      </c>
      <c r="J17" s="532">
        <f>Norms!$D$50</f>
        <v>0.72250000000000003</v>
      </c>
      <c r="K17" s="532">
        <f>Norms!$D$50</f>
        <v>0.72250000000000003</v>
      </c>
      <c r="L17" s="532">
        <f>Norms!$D$50</f>
        <v>0.72250000000000003</v>
      </c>
      <c r="M17" s="532">
        <f>Norms!$D$50</f>
        <v>0.72250000000000003</v>
      </c>
      <c r="N17" s="532">
        <f>Norms!$D$50</f>
        <v>0.72250000000000003</v>
      </c>
      <c r="O17" s="532">
        <f>Norms!$D$50</f>
        <v>0.72250000000000003</v>
      </c>
      <c r="P17" s="532">
        <f>Norms!$D$50</f>
        <v>0.72250000000000003</v>
      </c>
      <c r="Q17" s="532">
        <f>Norms!$D$50</f>
        <v>0.72250000000000003</v>
      </c>
      <c r="R17" s="540">
        <f>Norms!$D$50</f>
        <v>0.72250000000000003</v>
      </c>
    </row>
    <row r="18" spans="1:18" ht="17.25" customHeight="1" x14ac:dyDescent="0.25">
      <c r="A18" s="699" t="s">
        <v>451</v>
      </c>
      <c r="B18" s="699"/>
      <c r="C18" s="699"/>
      <c r="D18" s="522">
        <f t="shared" ref="D18:R18" si="11">D6+D11</f>
        <v>77.854529289218732</v>
      </c>
      <c r="E18" s="522">
        <f t="shared" si="11"/>
        <v>87.057126754062494</v>
      </c>
      <c r="F18" s="522">
        <f t="shared" si="11"/>
        <v>100.86102295132811</v>
      </c>
      <c r="G18" s="522">
        <f t="shared" si="11"/>
        <v>100.86102295132811</v>
      </c>
      <c r="H18" s="522">
        <f t="shared" si="11"/>
        <v>100.86102295132811</v>
      </c>
      <c r="I18" s="522">
        <f t="shared" si="11"/>
        <v>100.86102295132811</v>
      </c>
      <c r="J18" s="522">
        <f t="shared" si="11"/>
        <v>100.86102295132811</v>
      </c>
      <c r="K18" s="522">
        <f t="shared" si="11"/>
        <v>100.86102295132811</v>
      </c>
      <c r="L18" s="522">
        <f t="shared" si="11"/>
        <v>100.86102295132811</v>
      </c>
      <c r="M18" s="522">
        <f t="shared" si="11"/>
        <v>100.86102295132811</v>
      </c>
      <c r="N18" s="522">
        <f t="shared" si="11"/>
        <v>100.86102295132811</v>
      </c>
      <c r="O18" s="522">
        <f t="shared" si="11"/>
        <v>100.86102295132811</v>
      </c>
      <c r="P18" s="522">
        <f t="shared" si="11"/>
        <v>100.86102295132811</v>
      </c>
      <c r="Q18" s="522">
        <f t="shared" si="11"/>
        <v>100.86102295132811</v>
      </c>
      <c r="R18" s="541">
        <f t="shared" si="11"/>
        <v>100.86102295132811</v>
      </c>
    </row>
    <row r="19" spans="1:18" x14ac:dyDescent="0.25">
      <c r="A19" s="699" t="s">
        <v>594</v>
      </c>
      <c r="B19" s="699"/>
      <c r="C19" s="699"/>
      <c r="D19" s="510" t="s">
        <v>39</v>
      </c>
      <c r="E19" s="81"/>
      <c r="F19" s="81"/>
      <c r="G19" s="523"/>
      <c r="H19" s="81"/>
      <c r="I19" s="81"/>
      <c r="J19" s="81"/>
      <c r="K19" s="81"/>
      <c r="L19" s="81"/>
      <c r="M19" s="81"/>
      <c r="N19" s="81"/>
      <c r="O19" s="81"/>
      <c r="P19" s="81"/>
      <c r="Q19" s="81"/>
      <c r="R19" s="542"/>
    </row>
    <row r="20" spans="1:18" x14ac:dyDescent="0.25">
      <c r="A20" s="510"/>
      <c r="B20" s="510"/>
      <c r="C20" s="510"/>
      <c r="D20" s="510">
        <v>2025</v>
      </c>
      <c r="E20" s="510">
        <v>2026</v>
      </c>
      <c r="F20" s="510">
        <v>2027</v>
      </c>
      <c r="G20" s="510">
        <v>2028</v>
      </c>
      <c r="H20" s="510">
        <v>2029</v>
      </c>
      <c r="I20" s="510">
        <v>2030</v>
      </c>
      <c r="J20" s="510">
        <v>2031</v>
      </c>
      <c r="K20" s="510">
        <v>2032</v>
      </c>
      <c r="L20" s="510">
        <v>2033</v>
      </c>
      <c r="M20" s="510">
        <v>2034</v>
      </c>
      <c r="N20" s="510">
        <v>2035</v>
      </c>
      <c r="O20" s="510">
        <v>2036</v>
      </c>
      <c r="P20" s="510">
        <v>2037</v>
      </c>
      <c r="Q20" s="510">
        <v>2038</v>
      </c>
      <c r="R20" s="502">
        <v>2039</v>
      </c>
    </row>
    <row r="21" spans="1:18" s="546" customFormat="1" x14ac:dyDescent="0.25">
      <c r="A21" s="512" t="s">
        <v>423</v>
      </c>
      <c r="B21" s="512" t="s">
        <v>422</v>
      </c>
      <c r="C21" s="512"/>
      <c r="D21" s="513">
        <v>0.7</v>
      </c>
      <c r="E21" s="513">
        <v>0.8</v>
      </c>
      <c r="F21" s="513">
        <v>0.95</v>
      </c>
      <c r="G21" s="513">
        <v>0.95</v>
      </c>
      <c r="H21" s="513">
        <v>0.95</v>
      </c>
      <c r="I21" s="513">
        <v>0.95</v>
      </c>
      <c r="J21" s="513">
        <v>0.95</v>
      </c>
      <c r="K21" s="513">
        <v>0.95</v>
      </c>
      <c r="L21" s="513">
        <v>0.95</v>
      </c>
      <c r="M21" s="513">
        <v>0.95</v>
      </c>
      <c r="N21" s="513">
        <v>0.95</v>
      </c>
      <c r="O21" s="513">
        <v>0.95</v>
      </c>
      <c r="P21" s="513">
        <v>0.95</v>
      </c>
      <c r="Q21" s="513">
        <v>0.95</v>
      </c>
      <c r="R21" s="534">
        <v>0.95</v>
      </c>
    </row>
    <row r="22" spans="1:18" s="546" customFormat="1" x14ac:dyDescent="0.25">
      <c r="A22" s="512" t="s">
        <v>452</v>
      </c>
      <c r="B22" s="512" t="s">
        <v>46</v>
      </c>
      <c r="C22" s="512"/>
      <c r="D22" s="512">
        <f>D21*Norms!$B$5</f>
        <v>52588.899999999994</v>
      </c>
      <c r="E22" s="512">
        <f>E21*Norms!$B$5</f>
        <v>60101.600000000006</v>
      </c>
      <c r="F22" s="512">
        <f>F21*Norms!$B$5</f>
        <v>71370.649999999994</v>
      </c>
      <c r="G22" s="512">
        <f>G21*Norms!$B$5</f>
        <v>71370.649999999994</v>
      </c>
      <c r="H22" s="512">
        <f>H21*Norms!$B$5</f>
        <v>71370.649999999994</v>
      </c>
      <c r="I22" s="512">
        <f>I21*Norms!$B$5</f>
        <v>71370.649999999994</v>
      </c>
      <c r="J22" s="512">
        <f>J21*Norms!$B$5</f>
        <v>71370.649999999994</v>
      </c>
      <c r="K22" s="512">
        <f>K21*Norms!$B$5</f>
        <v>71370.649999999994</v>
      </c>
      <c r="L22" s="512">
        <f>L21*Norms!$B$5</f>
        <v>71370.649999999994</v>
      </c>
      <c r="M22" s="512">
        <f>M21*Norms!$B$5</f>
        <v>71370.649999999994</v>
      </c>
      <c r="N22" s="512">
        <f>N21*Norms!$B$5</f>
        <v>71370.649999999994</v>
      </c>
      <c r="O22" s="512">
        <f>O21*Norms!$B$5</f>
        <v>71370.649999999994</v>
      </c>
      <c r="P22" s="512">
        <f>P21*Norms!$B$5</f>
        <v>71370.649999999994</v>
      </c>
      <c r="Q22" s="512">
        <f>Q21*Norms!$B$5</f>
        <v>71370.649999999994</v>
      </c>
      <c r="R22" s="543">
        <f>R21*Norms!$B$5</f>
        <v>71370.649999999994</v>
      </c>
    </row>
    <row r="23" spans="1:18" ht="18" customHeight="1" x14ac:dyDescent="0.25">
      <c r="A23" s="524" t="s">
        <v>277</v>
      </c>
      <c r="B23" s="516" t="s">
        <v>25</v>
      </c>
      <c r="C23" s="516" t="s">
        <v>43</v>
      </c>
      <c r="D23" s="527">
        <f t="shared" ref="D23:R23" si="12">SUM(D24:D24)</f>
        <v>32.755518309832496</v>
      </c>
      <c r="E23" s="527">
        <f t="shared" si="12"/>
        <v>37.434878068380002</v>
      </c>
      <c r="F23" s="527">
        <f t="shared" si="12"/>
        <v>44.453917706201246</v>
      </c>
      <c r="G23" s="527">
        <f t="shared" si="12"/>
        <v>44.453917706201246</v>
      </c>
      <c r="H23" s="527">
        <f t="shared" si="12"/>
        <v>44.453917706201246</v>
      </c>
      <c r="I23" s="527">
        <f t="shared" si="12"/>
        <v>44.453917706201246</v>
      </c>
      <c r="J23" s="527">
        <f t="shared" si="12"/>
        <v>44.453917706201246</v>
      </c>
      <c r="K23" s="527">
        <f t="shared" si="12"/>
        <v>44.453917706201246</v>
      </c>
      <c r="L23" s="527">
        <f t="shared" si="12"/>
        <v>44.453917706201246</v>
      </c>
      <c r="M23" s="527">
        <f t="shared" si="12"/>
        <v>44.453917706201246</v>
      </c>
      <c r="N23" s="527">
        <f t="shared" si="12"/>
        <v>44.453917706201246</v>
      </c>
      <c r="O23" s="527">
        <f t="shared" si="12"/>
        <v>44.453917706201246</v>
      </c>
      <c r="P23" s="527">
        <f t="shared" si="12"/>
        <v>44.453917706201246</v>
      </c>
      <c r="Q23" s="527">
        <f t="shared" si="12"/>
        <v>44.453917706201246</v>
      </c>
      <c r="R23" s="548">
        <f t="shared" si="12"/>
        <v>44.453917706201246</v>
      </c>
    </row>
    <row r="24" spans="1:18" ht="16.5" customHeight="1" x14ac:dyDescent="0.25">
      <c r="A24" s="525" t="s">
        <v>133</v>
      </c>
      <c r="B24" s="526">
        <f>Norms!F6</f>
        <v>16002.050999999999</v>
      </c>
      <c r="C24" s="526">
        <f>C7</f>
        <v>29242.25</v>
      </c>
      <c r="D24" s="518">
        <f>D22*Norms!$D$6*$C$24/10^7</f>
        <v>32.755518309832496</v>
      </c>
      <c r="E24" s="518">
        <f>E22*Norms!$D$6*$C$24/10^7</f>
        <v>37.434878068380002</v>
      </c>
      <c r="F24" s="518">
        <f>F22*Norms!$D$6*$C$24/10^7</f>
        <v>44.453917706201246</v>
      </c>
      <c r="G24" s="518">
        <f>G22*Norms!$D$6*$C$24/10^7</f>
        <v>44.453917706201246</v>
      </c>
      <c r="H24" s="518">
        <f>H22*Norms!$D$6*$C$24/10^7</f>
        <v>44.453917706201246</v>
      </c>
      <c r="I24" s="518">
        <f>I22*Norms!$D$6*$C$24/10^7</f>
        <v>44.453917706201246</v>
      </c>
      <c r="J24" s="518">
        <f>J22*Norms!$D$6*$C$24/10^7</f>
        <v>44.453917706201246</v>
      </c>
      <c r="K24" s="518">
        <f>K22*Norms!$D$6*$C$24/10^7</f>
        <v>44.453917706201246</v>
      </c>
      <c r="L24" s="518">
        <f>L22*Norms!$D$6*$C$24/10^7</f>
        <v>44.453917706201246</v>
      </c>
      <c r="M24" s="518">
        <f>M22*Norms!$D$6*$C$24/10^7</f>
        <v>44.453917706201246</v>
      </c>
      <c r="N24" s="518">
        <f>N22*Norms!$D$6*$C$24/10^7</f>
        <v>44.453917706201246</v>
      </c>
      <c r="O24" s="518">
        <f>O22*Norms!$D$6*$C$24/10^7</f>
        <v>44.453917706201246</v>
      </c>
      <c r="P24" s="518">
        <f>P22*Norms!$D$6*$C$24/10^7</f>
        <v>44.453917706201246</v>
      </c>
      <c r="Q24" s="518">
        <f>Q22*Norms!$D$6*$C$24/10^7</f>
        <v>44.453917706201246</v>
      </c>
      <c r="R24" s="366">
        <f>R22*Norms!$D$6*$C$24/10^7</f>
        <v>44.453917706201246</v>
      </c>
    </row>
    <row r="25" spans="1:18" hidden="1" x14ac:dyDescent="0.25">
      <c r="A25" s="699" t="s">
        <v>450</v>
      </c>
      <c r="B25" s="699"/>
      <c r="C25" s="699"/>
      <c r="D25" s="522">
        <f>+D23</f>
        <v>32.755518309832496</v>
      </c>
      <c r="E25" s="522">
        <f t="shared" ref="E25:R25" si="13">+E23</f>
        <v>37.434878068380002</v>
      </c>
      <c r="F25" s="522">
        <f t="shared" si="13"/>
        <v>44.453917706201246</v>
      </c>
      <c r="G25" s="522">
        <f t="shared" si="13"/>
        <v>44.453917706201246</v>
      </c>
      <c r="H25" s="522">
        <f t="shared" si="13"/>
        <v>44.453917706201246</v>
      </c>
      <c r="I25" s="522">
        <f t="shared" si="13"/>
        <v>44.453917706201246</v>
      </c>
      <c r="J25" s="522">
        <f t="shared" si="13"/>
        <v>44.453917706201246</v>
      </c>
      <c r="K25" s="522">
        <f t="shared" si="13"/>
        <v>44.453917706201246</v>
      </c>
      <c r="L25" s="522">
        <f t="shared" si="13"/>
        <v>44.453917706201246</v>
      </c>
      <c r="M25" s="522">
        <f t="shared" si="13"/>
        <v>44.453917706201246</v>
      </c>
      <c r="N25" s="522">
        <f t="shared" si="13"/>
        <v>44.453917706201246</v>
      </c>
      <c r="O25" s="522">
        <f t="shared" si="13"/>
        <v>44.453917706201246</v>
      </c>
      <c r="P25" s="522">
        <f t="shared" si="13"/>
        <v>44.453917706201246</v>
      </c>
      <c r="Q25" s="522">
        <f t="shared" si="13"/>
        <v>44.453917706201246</v>
      </c>
      <c r="R25" s="522">
        <f t="shared" si="13"/>
        <v>44.453917706201246</v>
      </c>
    </row>
    <row r="26" spans="1:18" hidden="1" x14ac:dyDescent="0.25">
      <c r="D26" s="673">
        <f>D25+D18</f>
        <v>110.61004759905123</v>
      </c>
      <c r="E26" s="92">
        <f>D26*100</f>
        <v>11061.004759905123</v>
      </c>
    </row>
    <row r="27" spans="1:18" hidden="1" x14ac:dyDescent="0.25">
      <c r="D27" s="92">
        <f>D26*10^7</f>
        <v>1106100475.9905124</v>
      </c>
      <c r="E27" s="674">
        <f>D27/77145</f>
        <v>14337.941227435509</v>
      </c>
      <c r="F27" s="92">
        <v>14133</v>
      </c>
      <c r="G27" s="674">
        <f>F27-E27</f>
        <v>-204.94122743550906</v>
      </c>
    </row>
    <row r="28" spans="1:18" x14ac:dyDescent="0.25">
      <c r="D28" s="673">
        <f>D24+D18</f>
        <v>110.61004759905123</v>
      </c>
    </row>
    <row r="29" spans="1:18" x14ac:dyDescent="0.25">
      <c r="D29" s="92">
        <f>D28*10^7</f>
        <v>1106100475.9905124</v>
      </c>
      <c r="E29" s="1">
        <v>14134</v>
      </c>
    </row>
    <row r="30" spans="1:18" x14ac:dyDescent="0.25">
      <c r="D30" s="674">
        <f>D29/75127</f>
        <v>14723.075272412214</v>
      </c>
      <c r="E30" s="674">
        <f>D30-E29</f>
        <v>589.07527241221396</v>
      </c>
    </row>
  </sheetData>
  <mergeCells count="4">
    <mergeCell ref="A1:C2"/>
    <mergeCell ref="A19:C19"/>
    <mergeCell ref="A18:C18"/>
    <mergeCell ref="A25:C25"/>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U119"/>
  <sheetViews>
    <sheetView showGridLines="0" topLeftCell="H1" zoomScale="90" zoomScaleNormal="100" workbookViewId="0">
      <pane ySplit="8" topLeftCell="A9" activePane="bottomLeft" state="frozen"/>
      <selection activeCell="E28" sqref="E28"/>
      <selection pane="bottomLeft" activeCell="N14" sqref="N14"/>
    </sheetView>
  </sheetViews>
  <sheetFormatPr defaultColWidth="8.7109375" defaultRowHeight="12.75" x14ac:dyDescent="0.2"/>
  <cols>
    <col min="1" max="1" width="8.85546875" style="93" bestFit="1" customWidth="1"/>
    <col min="2" max="2" width="60.7109375" style="94" customWidth="1"/>
    <col min="3" max="3" width="8.7109375" style="94" customWidth="1"/>
    <col min="4" max="4" width="16.28515625" style="94" customWidth="1"/>
    <col min="5" max="5" width="11.140625" style="94" customWidth="1"/>
    <col min="6" max="6" width="18" style="95" bestFit="1" customWidth="1"/>
    <col min="7" max="7" width="17.140625" style="95" customWidth="1"/>
    <col min="8" max="8" width="18.5703125" style="95" bestFit="1" customWidth="1"/>
    <col min="9" max="9" width="18.7109375" style="95" bestFit="1" customWidth="1"/>
    <col min="10" max="10" width="18.5703125" style="95" bestFit="1" customWidth="1"/>
    <col min="11" max="12" width="18.7109375" style="95" bestFit="1" customWidth="1"/>
    <col min="13" max="16" width="18.5703125" style="95" customWidth="1"/>
    <col min="17" max="18" width="18.5703125" style="9" customWidth="1"/>
    <col min="19" max="20" width="18.5703125" style="94" hidden="1" customWidth="1"/>
    <col min="21" max="16384" width="8.7109375" style="94"/>
  </cols>
  <sheetData>
    <row r="1" spans="1:20" ht="21" customHeight="1" x14ac:dyDescent="0.2">
      <c r="A1" s="702" t="s">
        <v>286</v>
      </c>
      <c r="B1" s="703"/>
      <c r="C1" s="703"/>
      <c r="D1" s="703"/>
      <c r="E1" s="66"/>
      <c r="F1" s="66"/>
      <c r="G1" s="66"/>
      <c r="H1" s="66"/>
      <c r="I1" s="66"/>
      <c r="J1" s="66"/>
      <c r="K1" s="66"/>
      <c r="L1" s="66"/>
      <c r="M1" s="66"/>
      <c r="N1" s="66"/>
      <c r="O1" s="66"/>
      <c r="P1" s="66"/>
      <c r="Q1" s="66"/>
      <c r="R1" s="66"/>
      <c r="S1" s="66"/>
      <c r="T1" s="66"/>
    </row>
    <row r="2" spans="1:20" s="97" customFormat="1" ht="15" customHeight="1" x14ac:dyDescent="0.2">
      <c r="A2" s="702" t="s">
        <v>125</v>
      </c>
      <c r="B2" s="703"/>
      <c r="C2" s="109">
        <v>1</v>
      </c>
      <c r="D2" s="109">
        <v>2</v>
      </c>
      <c r="E2" s="109"/>
      <c r="F2" s="109">
        <v>3</v>
      </c>
      <c r="G2" s="109">
        <v>4</v>
      </c>
      <c r="H2" s="109">
        <v>5</v>
      </c>
      <c r="I2" s="109">
        <v>6</v>
      </c>
      <c r="J2" s="109">
        <v>7</v>
      </c>
      <c r="K2" s="109">
        <v>8</v>
      </c>
      <c r="L2" s="109">
        <v>9</v>
      </c>
      <c r="M2" s="109">
        <v>10</v>
      </c>
      <c r="N2" s="109">
        <v>11</v>
      </c>
      <c r="O2" s="109">
        <v>12</v>
      </c>
      <c r="P2" s="109">
        <v>13</v>
      </c>
      <c r="Q2" s="109">
        <v>14</v>
      </c>
      <c r="R2" s="109">
        <v>15</v>
      </c>
      <c r="S2" s="109">
        <v>16</v>
      </c>
      <c r="T2" s="109">
        <v>17</v>
      </c>
    </row>
    <row r="3" spans="1:20" s="97" customFormat="1" ht="15" customHeight="1" x14ac:dyDescent="0.2">
      <c r="A3" s="708" t="s">
        <v>53</v>
      </c>
      <c r="B3" s="709"/>
      <c r="C3" s="14"/>
      <c r="D3" s="14"/>
      <c r="E3" s="14"/>
      <c r="F3" s="290">
        <v>0.7</v>
      </c>
      <c r="G3" s="290">
        <v>0.8</v>
      </c>
      <c r="H3" s="290">
        <v>0.95</v>
      </c>
      <c r="I3" s="290">
        <v>0.95</v>
      </c>
      <c r="J3" s="290">
        <v>0.95</v>
      </c>
      <c r="K3" s="290">
        <v>0.95</v>
      </c>
      <c r="L3" s="290">
        <v>0.95</v>
      </c>
      <c r="M3" s="290">
        <v>0.95</v>
      </c>
      <c r="N3" s="290">
        <v>0.95</v>
      </c>
      <c r="O3" s="290">
        <v>0.95</v>
      </c>
      <c r="P3" s="290">
        <v>0.95</v>
      </c>
      <c r="Q3" s="290">
        <v>0.95</v>
      </c>
      <c r="R3" s="290">
        <v>0.95</v>
      </c>
      <c r="S3" s="290">
        <v>0.95</v>
      </c>
      <c r="T3" s="290">
        <v>0.95</v>
      </c>
    </row>
    <row r="4" spans="1:20" ht="15" customHeight="1" x14ac:dyDescent="0.2">
      <c r="A4" s="706" t="s">
        <v>6</v>
      </c>
      <c r="B4" s="707"/>
      <c r="C4" s="156"/>
      <c r="D4" s="156"/>
      <c r="E4" s="112"/>
      <c r="F4" s="701" t="s">
        <v>7</v>
      </c>
      <c r="G4" s="701"/>
      <c r="H4" s="701"/>
      <c r="I4" s="701"/>
      <c r="J4" s="701"/>
      <c r="K4" s="701"/>
      <c r="L4" s="701"/>
      <c r="M4" s="701"/>
      <c r="N4" s="701"/>
      <c r="O4" s="701"/>
      <c r="P4" s="701"/>
      <c r="Q4" s="701"/>
      <c r="R4" s="701"/>
      <c r="S4" s="701"/>
      <c r="T4" s="701"/>
    </row>
    <row r="5" spans="1:20" x14ac:dyDescent="0.2">
      <c r="A5" s="390"/>
      <c r="B5" s="704"/>
      <c r="C5" s="391">
        <v>2023</v>
      </c>
      <c r="D5" s="391">
        <v>2024</v>
      </c>
      <c r="E5" s="391" t="s">
        <v>47</v>
      </c>
      <c r="F5" s="391">
        <v>2025</v>
      </c>
      <c r="G5" s="391">
        <v>2026</v>
      </c>
      <c r="H5" s="391">
        <v>2027</v>
      </c>
      <c r="I5" s="391">
        <v>2028</v>
      </c>
      <c r="J5" s="391">
        <v>2029</v>
      </c>
      <c r="K5" s="391">
        <v>2030</v>
      </c>
      <c r="L5" s="391">
        <v>2031</v>
      </c>
      <c r="M5" s="113">
        <v>2032</v>
      </c>
      <c r="N5" s="113">
        <v>2033</v>
      </c>
      <c r="O5" s="113">
        <v>2034</v>
      </c>
      <c r="P5" s="113">
        <v>2035</v>
      </c>
      <c r="Q5" s="113">
        <v>2036</v>
      </c>
      <c r="R5" s="113">
        <v>2037</v>
      </c>
      <c r="S5" s="113">
        <v>2038</v>
      </c>
      <c r="T5" s="113">
        <v>2039</v>
      </c>
    </row>
    <row r="6" spans="1:20" x14ac:dyDescent="0.2">
      <c r="A6" s="390"/>
      <c r="B6" s="704"/>
      <c r="C6" s="549">
        <v>0.5</v>
      </c>
      <c r="D6" s="549">
        <v>0.5</v>
      </c>
      <c r="E6" s="392"/>
      <c r="F6" s="393"/>
      <c r="G6" s="393"/>
      <c r="H6" s="393"/>
      <c r="I6" s="393"/>
      <c r="J6" s="393"/>
      <c r="K6" s="393"/>
      <c r="L6" s="394"/>
      <c r="M6" s="110"/>
      <c r="N6" s="111"/>
      <c r="O6" s="110"/>
      <c r="P6" s="114"/>
      <c r="Q6" s="114"/>
      <c r="R6" s="114"/>
      <c r="S6" s="114"/>
      <c r="T6" s="114"/>
    </row>
    <row r="7" spans="1:20" x14ac:dyDescent="0.2">
      <c r="A7" s="705" t="s">
        <v>57</v>
      </c>
      <c r="B7" s="705"/>
      <c r="C7" s="705"/>
      <c r="D7" s="705"/>
      <c r="E7" s="705"/>
      <c r="F7" s="395"/>
      <c r="G7" s="395"/>
      <c r="H7" s="395"/>
      <c r="I7" s="395"/>
      <c r="J7" s="395"/>
      <c r="K7" s="395"/>
      <c r="L7" s="396"/>
      <c r="M7" s="395"/>
      <c r="N7" s="396"/>
      <c r="O7" s="395"/>
      <c r="P7" s="417"/>
      <c r="Q7" s="417"/>
      <c r="R7" s="417"/>
      <c r="S7" s="15"/>
      <c r="T7" s="15"/>
    </row>
    <row r="8" spans="1:20" x14ac:dyDescent="0.2">
      <c r="A8" s="263">
        <v>1</v>
      </c>
      <c r="B8" s="397" t="s">
        <v>55</v>
      </c>
      <c r="C8" s="398">
        <f>ROUND($E8*C$6,2)</f>
        <v>253.88</v>
      </c>
      <c r="D8" s="398">
        <f>ROUND($E8*D$6,2)</f>
        <v>253.88</v>
      </c>
      <c r="E8" s="399">
        <f>Capex!B13</f>
        <v>507.76940706250002</v>
      </c>
      <c r="F8" s="400"/>
      <c r="G8" s="401"/>
      <c r="H8" s="402"/>
      <c r="I8" s="402"/>
      <c r="J8" s="402"/>
      <c r="K8" s="402"/>
      <c r="L8" s="403"/>
      <c r="M8" s="402"/>
      <c r="N8" s="402"/>
      <c r="O8" s="402"/>
      <c r="P8" s="142"/>
      <c r="Q8" s="142"/>
      <c r="R8" s="142"/>
      <c r="S8" s="16"/>
      <c r="T8" s="16"/>
    </row>
    <row r="9" spans="1:20" s="97" customFormat="1" x14ac:dyDescent="0.2">
      <c r="A9" s="263"/>
      <c r="B9" s="151" t="s">
        <v>56</v>
      </c>
      <c r="C9" s="404">
        <f>SUM(C8:C8)</f>
        <v>253.88</v>
      </c>
      <c r="D9" s="404">
        <f>SUM(D8:D8)</f>
        <v>253.88</v>
      </c>
      <c r="E9" s="405">
        <f>-E8</f>
        <v>-507.76940706250002</v>
      </c>
      <c r="F9" s="142"/>
      <c r="G9" s="142"/>
      <c r="H9" s="142"/>
      <c r="I9" s="142"/>
      <c r="J9" s="142"/>
      <c r="K9" s="142"/>
      <c r="L9" s="406"/>
      <c r="M9" s="406"/>
      <c r="N9" s="406"/>
      <c r="O9" s="406"/>
      <c r="P9" s="418"/>
      <c r="Q9" s="418"/>
      <c r="R9" s="418"/>
      <c r="S9" s="18"/>
      <c r="T9" s="18"/>
    </row>
    <row r="10" spans="1:20" s="97" customFormat="1" x14ac:dyDescent="0.2">
      <c r="A10" s="142"/>
      <c r="B10" s="142"/>
      <c r="C10" s="142"/>
      <c r="D10" s="142"/>
      <c r="E10" s="142"/>
      <c r="F10" s="142"/>
      <c r="G10" s="142"/>
      <c r="H10" s="142"/>
      <c r="I10" s="142"/>
      <c r="J10" s="142"/>
      <c r="K10" s="142"/>
      <c r="L10" s="406"/>
      <c r="M10" s="406"/>
      <c r="N10" s="406"/>
      <c r="O10" s="406"/>
      <c r="P10" s="418"/>
      <c r="Q10" s="418"/>
      <c r="R10" s="418"/>
      <c r="S10" s="296"/>
      <c r="T10" s="296"/>
    </row>
    <row r="11" spans="1:20" s="315" customFormat="1" ht="25.5" customHeight="1" x14ac:dyDescent="0.2">
      <c r="A11" s="407"/>
      <c r="B11" s="518" t="s">
        <v>486</v>
      </c>
      <c r="C11" s="518"/>
      <c r="D11" s="518"/>
      <c r="E11" s="518"/>
      <c r="F11" s="550">
        <f>Opex!D4-Opex!D22*Norms!$D$5</f>
        <v>3.5700000000360887E-2</v>
      </c>
      <c r="G11" s="550">
        <f>Opex!E4-Opex!E22*Norms!$D$5</f>
        <v>4.079999999521533E-2</v>
      </c>
      <c r="H11" s="550">
        <f>Opex!F4-Opex!F22*Norms!$D$5</f>
        <v>4.845000000204891E-2</v>
      </c>
      <c r="I11" s="550">
        <f>Opex!G4-Opex!G22*Norms!$D$5</f>
        <v>4.845000000204891E-2</v>
      </c>
      <c r="J11" s="550">
        <f>Opex!H4-Opex!H22*Norms!$D$5</f>
        <v>4.845000000204891E-2</v>
      </c>
      <c r="K11" s="550">
        <f>Opex!I4-Opex!I22*Norms!$D$5</f>
        <v>4.845000000204891E-2</v>
      </c>
      <c r="L11" s="550">
        <f>Opex!J4-Opex!J22*Norms!$D$5</f>
        <v>4.845000000204891E-2</v>
      </c>
      <c r="M11" s="550">
        <f>Opex!K4-Opex!K22*Norms!$D$5</f>
        <v>4.845000000204891E-2</v>
      </c>
      <c r="N11" s="550">
        <f>Opex!L4-Opex!L22*Norms!$D$5</f>
        <v>4.845000000204891E-2</v>
      </c>
      <c r="O11" s="550">
        <f>Opex!M4-Opex!M22*Norms!$D$5</f>
        <v>4.845000000204891E-2</v>
      </c>
      <c r="P11" s="550">
        <f>Opex!N4-Opex!N22*Norms!$D$5</f>
        <v>4.845000000204891E-2</v>
      </c>
      <c r="Q11" s="550">
        <f>Opex!O4-Opex!O22*Norms!$D$5</f>
        <v>4.845000000204891E-2</v>
      </c>
      <c r="R11" s="550">
        <f>Opex!P4-Opex!P22*Norms!$D$5</f>
        <v>4.845000000204891E-2</v>
      </c>
      <c r="S11" s="316">
        <f>Opex!Q4-Opex!Q22*Norms!$D$5</f>
        <v>4.845000000204891E-2</v>
      </c>
      <c r="T11" s="316">
        <f>Opex!R4-Opex!R22*Norms!$D$5</f>
        <v>4.845000000204891E-2</v>
      </c>
    </row>
    <row r="12" spans="1:20" x14ac:dyDescent="0.2">
      <c r="A12" s="346">
        <v>1</v>
      </c>
      <c r="B12" s="410" t="s">
        <v>8</v>
      </c>
      <c r="C12" s="379" t="s">
        <v>536</v>
      </c>
      <c r="D12" s="411"/>
      <c r="E12" s="412"/>
      <c r="F12" s="406">
        <f>F14+F15-F13</f>
        <v>201.53651519763997</v>
      </c>
      <c r="G12" s="406">
        <f t="shared" ref="G12:R12" si="0">G14+G15-G13</f>
        <v>230.32744594016</v>
      </c>
      <c r="H12" s="406">
        <f t="shared" si="0"/>
        <v>273.51384205393998</v>
      </c>
      <c r="I12" s="406">
        <f t="shared" si="0"/>
        <v>273.51384205393998</v>
      </c>
      <c r="J12" s="406">
        <f t="shared" si="0"/>
        <v>273.51384205393998</v>
      </c>
      <c r="K12" s="406">
        <f t="shared" si="0"/>
        <v>273.51384205393998</v>
      </c>
      <c r="L12" s="406">
        <f t="shared" si="0"/>
        <v>273.51384205393998</v>
      </c>
      <c r="M12" s="406">
        <f t="shared" si="0"/>
        <v>273.51384205393998</v>
      </c>
      <c r="N12" s="406">
        <f t="shared" si="0"/>
        <v>273.51384205393998</v>
      </c>
      <c r="O12" s="406">
        <f t="shared" si="0"/>
        <v>273.51384205393998</v>
      </c>
      <c r="P12" s="406">
        <f t="shared" si="0"/>
        <v>273.51384205393998</v>
      </c>
      <c r="Q12" s="406">
        <f t="shared" si="0"/>
        <v>273.51384205393998</v>
      </c>
      <c r="R12" s="406">
        <f t="shared" si="0"/>
        <v>273.51384205393998</v>
      </c>
      <c r="S12" s="19">
        <f t="shared" ref="S12:T12" si="1">S14+S15</f>
        <v>273.51384205393998</v>
      </c>
      <c r="T12" s="19">
        <f t="shared" si="1"/>
        <v>273.51384205393998</v>
      </c>
    </row>
    <row r="13" spans="1:20" x14ac:dyDescent="0.2">
      <c r="A13" s="409"/>
      <c r="B13" s="410" t="s">
        <v>565</v>
      </c>
      <c r="C13" s="379" t="s">
        <v>536</v>
      </c>
      <c r="D13" s="411"/>
      <c r="E13" s="412"/>
      <c r="F13" s="406">
        <f>'ITC-GST'!D25</f>
        <v>0</v>
      </c>
      <c r="G13" s="406">
        <f>'ITC-GST'!E25</f>
        <v>0</v>
      </c>
      <c r="H13" s="406">
        <f>'ITC-GST'!F25</f>
        <v>0</v>
      </c>
      <c r="I13" s="406">
        <f>'ITC-GST'!G25</f>
        <v>0</v>
      </c>
      <c r="J13" s="406">
        <f>'ITC-GST'!H25</f>
        <v>0</v>
      </c>
      <c r="K13" s="406">
        <f>'ITC-GST'!I25</f>
        <v>0</v>
      </c>
      <c r="L13" s="406">
        <f>'ITC-GST'!J25</f>
        <v>0</v>
      </c>
      <c r="M13" s="406">
        <f>'ITC-GST'!K25</f>
        <v>0</v>
      </c>
      <c r="N13" s="406">
        <f>'ITC-GST'!L25</f>
        <v>0</v>
      </c>
      <c r="O13" s="406">
        <f>'ITC-GST'!M25</f>
        <v>0</v>
      </c>
      <c r="P13" s="406">
        <f>'ITC-GST'!N25</f>
        <v>0</v>
      </c>
      <c r="Q13" s="406">
        <f>'ITC-GST'!O25</f>
        <v>0</v>
      </c>
      <c r="R13" s="406">
        <f>'ITC-GST'!P25</f>
        <v>0</v>
      </c>
      <c r="S13" s="295"/>
      <c r="T13" s="295"/>
    </row>
    <row r="14" spans="1:20" s="315" customFormat="1" x14ac:dyDescent="0.2">
      <c r="A14" s="409"/>
      <c r="B14" s="346" t="s">
        <v>134</v>
      </c>
      <c r="C14" s="409"/>
      <c r="D14" s="409"/>
      <c r="E14" s="551">
        <f>Norms!C35</f>
        <v>20652</v>
      </c>
      <c r="F14" s="530">
        <f>F11*$E$14/10^7</f>
        <v>7.3727640000745306E-5</v>
      </c>
      <c r="G14" s="530">
        <f>G11*$E$14/10^7</f>
        <v>8.4260159990118697E-5</v>
      </c>
      <c r="H14" s="530">
        <f>H11*$E$14/10^7</f>
        <v>1.0005894000423141E-4</v>
      </c>
      <c r="I14" s="530">
        <f t="shared" ref="I14:T14" si="2">I11*$E$14/10^7</f>
        <v>1.0005894000423141E-4</v>
      </c>
      <c r="J14" s="530">
        <f t="shared" si="2"/>
        <v>1.0005894000423141E-4</v>
      </c>
      <c r="K14" s="530">
        <f t="shared" si="2"/>
        <v>1.0005894000423141E-4</v>
      </c>
      <c r="L14" s="530">
        <f t="shared" si="2"/>
        <v>1.0005894000423141E-4</v>
      </c>
      <c r="M14" s="530">
        <f t="shared" si="2"/>
        <v>1.0005894000423141E-4</v>
      </c>
      <c r="N14" s="530">
        <f t="shared" si="2"/>
        <v>1.0005894000423141E-4</v>
      </c>
      <c r="O14" s="530">
        <f t="shared" si="2"/>
        <v>1.0005894000423141E-4</v>
      </c>
      <c r="P14" s="530">
        <f t="shared" si="2"/>
        <v>1.0005894000423141E-4</v>
      </c>
      <c r="Q14" s="530">
        <f t="shared" si="2"/>
        <v>1.0005894000423141E-4</v>
      </c>
      <c r="R14" s="530">
        <f t="shared" si="2"/>
        <v>1.0005894000423141E-4</v>
      </c>
      <c r="S14" s="294">
        <f t="shared" si="2"/>
        <v>1.0005894000423141E-4</v>
      </c>
      <c r="T14" s="294">
        <f t="shared" si="2"/>
        <v>1.0005894000423141E-4</v>
      </c>
    </row>
    <row r="15" spans="1:20" s="315" customFormat="1" x14ac:dyDescent="0.2">
      <c r="A15" s="409"/>
      <c r="B15" s="346" t="s">
        <v>177</v>
      </c>
      <c r="C15" s="409"/>
      <c r="D15" s="409"/>
      <c r="E15" s="551">
        <f>Norms!C39</f>
        <v>38323</v>
      </c>
      <c r="F15" s="530">
        <f>Opex!D22*'Cashflow '!$E$15/10^7</f>
        <v>201.53644146999997</v>
      </c>
      <c r="G15" s="530">
        <f>Opex!E22*'Cashflow '!$E$15/10^7</f>
        <v>230.32736168000002</v>
      </c>
      <c r="H15" s="530">
        <f>Opex!F22*'Cashflow '!$E$15/10^7</f>
        <v>273.51374199499998</v>
      </c>
      <c r="I15" s="530">
        <f>Opex!G22*'Cashflow '!$E$15/10^7</f>
        <v>273.51374199499998</v>
      </c>
      <c r="J15" s="530">
        <f>Opex!H22*'Cashflow '!$E$15/10^7</f>
        <v>273.51374199499998</v>
      </c>
      <c r="K15" s="530">
        <f>Opex!I22*'Cashflow '!$E$15/10^7</f>
        <v>273.51374199499998</v>
      </c>
      <c r="L15" s="530">
        <f>Opex!J22*'Cashflow '!$E$15/10^7</f>
        <v>273.51374199499998</v>
      </c>
      <c r="M15" s="530">
        <f>Opex!K22*'Cashflow '!$E$15/10^7</f>
        <v>273.51374199499998</v>
      </c>
      <c r="N15" s="530">
        <f>Opex!L22*'Cashflow '!$E$15/10^7</f>
        <v>273.51374199499998</v>
      </c>
      <c r="O15" s="530">
        <f>Opex!M22*'Cashflow '!$E$15/10^7</f>
        <v>273.51374199499998</v>
      </c>
      <c r="P15" s="530">
        <f>Opex!N22*'Cashflow '!$E$15/10^7</f>
        <v>273.51374199499998</v>
      </c>
      <c r="Q15" s="530">
        <f>Opex!O22*'Cashflow '!$E$15/10^7</f>
        <v>273.51374199499998</v>
      </c>
      <c r="R15" s="530">
        <f>Opex!P22*'Cashflow '!$E$15/10^7</f>
        <v>273.51374199499998</v>
      </c>
      <c r="S15" s="294">
        <f>Opex!Q22*'Cashflow '!$E$15/10^7</f>
        <v>273.51374199499998</v>
      </c>
      <c r="T15" s="294">
        <f>Opex!R22*'Cashflow '!$E$15/10^7</f>
        <v>273.51374199499998</v>
      </c>
    </row>
    <row r="16" spans="1:20" x14ac:dyDescent="0.2">
      <c r="A16" s="346"/>
      <c r="B16" s="552"/>
      <c r="C16" s="413"/>
      <c r="D16" s="413"/>
      <c r="E16" s="414"/>
      <c r="F16" s="415"/>
      <c r="G16" s="415"/>
      <c r="H16" s="415"/>
      <c r="I16" s="415"/>
      <c r="J16" s="415"/>
      <c r="K16" s="415"/>
      <c r="L16" s="415"/>
      <c r="M16" s="415"/>
      <c r="N16" s="415"/>
      <c r="O16" s="415"/>
      <c r="P16" s="415"/>
      <c r="Q16" s="415"/>
      <c r="R16" s="415"/>
      <c r="S16" s="23"/>
      <c r="T16" s="23"/>
    </row>
    <row r="17" spans="1:20" x14ac:dyDescent="0.2">
      <c r="A17" s="346">
        <v>2</v>
      </c>
      <c r="B17" s="379" t="s">
        <v>35</v>
      </c>
      <c r="C17" s="410"/>
      <c r="D17" s="410"/>
      <c r="E17" s="414"/>
      <c r="F17" s="402"/>
      <c r="G17" s="402"/>
      <c r="H17" s="402"/>
      <c r="I17" s="402"/>
      <c r="J17" s="402"/>
      <c r="K17" s="402"/>
      <c r="L17" s="402"/>
      <c r="M17" s="402"/>
      <c r="N17" s="402"/>
      <c r="O17" s="402"/>
      <c r="P17" s="142"/>
      <c r="Q17" s="142"/>
      <c r="R17" s="142"/>
      <c r="S17" s="16"/>
      <c r="T17" s="16"/>
    </row>
    <row r="18" spans="1:20" x14ac:dyDescent="0.2">
      <c r="A18" s="346"/>
      <c r="B18" s="346" t="s">
        <v>487</v>
      </c>
      <c r="C18" s="263"/>
      <c r="D18" s="263"/>
      <c r="E18" s="416">
        <f>H18/$H$20</f>
        <v>0.89767982498541454</v>
      </c>
      <c r="F18" s="402">
        <f>Opex!D6+Opex!D23</f>
        <v>96.118319313738738</v>
      </c>
      <c r="G18" s="402">
        <f>IF(G$2&lt;=$C$117,0,(Opex!E6+Opex!E23)*G$3*(1+$C$116)^(G$2-$C$117-1))</f>
        <v>87.879606229703995</v>
      </c>
      <c r="H18" s="402">
        <f>IF(H$2&lt;=$C$117,0,(Opex!F6+Opex!F23)*H$3*(1+$C$116)^(H$2-$C$117-1))</f>
        <v>123.92397597235602</v>
      </c>
      <c r="I18" s="402">
        <f>IF(I$2&lt;=$C$117,0,(Opex!G6+Opex!G23)*I$3*(1+$C$116)^(I$2-$C$117-1))</f>
        <v>123.92397597235602</v>
      </c>
      <c r="J18" s="402">
        <f>IF(J$2&lt;=$C$117,0,(Opex!H6+Opex!H23)*J$3*(1+$C$116)^(J$2-$C$117-1))</f>
        <v>123.92397597235602</v>
      </c>
      <c r="K18" s="402">
        <f>IF(K$2&lt;=$C$117,0,(Opex!I6+Opex!I23)*K$3*(1+$C$116)^(K$2-$C$117-1))</f>
        <v>123.92397597235602</v>
      </c>
      <c r="L18" s="402">
        <f>IF(L$2&lt;=$C$117,0,(Opex!J6+Opex!J23)*L$3*(1+$C$116)^(L$2-$C$117-1))</f>
        <v>123.92397597235602</v>
      </c>
      <c r="M18" s="402">
        <f>IF(M$2&lt;=$C$117,0,(Opex!K6+Opex!K23)*M$3*(1+$C$116)^(M$2-$C$117-1))</f>
        <v>123.92397597235602</v>
      </c>
      <c r="N18" s="402">
        <f>IF(N$2&lt;=$C$117,0,(Opex!L6+Opex!L23)*N$3*(1+$C$116)^(N$2-$C$117-1))</f>
        <v>123.92397597235602</v>
      </c>
      <c r="O18" s="402">
        <f>IF(O$2&lt;=$C$117,0,(Opex!M6+Opex!M23)*O$3*(1+$C$116)^(O$2-$C$117-1))</f>
        <v>123.92397597235602</v>
      </c>
      <c r="P18" s="402">
        <f>IF(P$2&lt;=$C$117,0,(Opex!N6+Opex!N23)*P$3*(1+$C$116)^(P$2-$C$117-1))</f>
        <v>123.92397597235602</v>
      </c>
      <c r="Q18" s="402">
        <f>IF(Q$2&lt;=$C$117,0,(Opex!O6+Opex!O23)*Q$3*(1+$C$116)^(Q$2-$C$117-1))</f>
        <v>123.92397597235602</v>
      </c>
      <c r="R18" s="402">
        <f>IF(R$2&lt;=$C$117,0,(Opex!P6+Opex!P23)*R$3*(1+$C$116)^(R$2-$C$117-1))</f>
        <v>123.92397597235602</v>
      </c>
      <c r="S18" s="21">
        <f>IF(S$2&lt;=$C$117,0,(Opex!Q6+Opex!Q23)*S$3*(1+$C$116)^(S$2-$C$117-1))</f>
        <v>123.92397597235602</v>
      </c>
      <c r="T18" s="21">
        <f>IF(T$2&lt;=$C$117,0,(Opex!R6+Opex!R23)*T$3*(1+$C$116)^(T$2-$C$117-1))</f>
        <v>123.92397597235602</v>
      </c>
    </row>
    <row r="19" spans="1:20" x14ac:dyDescent="0.2">
      <c r="A19" s="346"/>
      <c r="B19" s="346" t="s">
        <v>488</v>
      </c>
      <c r="C19" s="263"/>
      <c r="D19" s="263"/>
      <c r="E19" s="416">
        <f>H19/$H$20</f>
        <v>0.10232017501458543</v>
      </c>
      <c r="F19" s="402">
        <f>Opex!D11</f>
        <v>14.491728285312501</v>
      </c>
      <c r="G19" s="402">
        <f>IF(G$2&lt;=$C$117,0,(Opex!E11)*G$3*(1+$C$116)^(G$2-$C$117-1))</f>
        <v>11.713997628250002</v>
      </c>
      <c r="H19" s="402">
        <f>IF(H$2&lt;=$C$117,0,(Opex!F11)*H$3*(1+$C$116)^(H$2-$C$117-1))</f>
        <v>14.125217652296875</v>
      </c>
      <c r="I19" s="402">
        <f>IF(I$2&lt;=$C$117,0,(Opex!G11)*I$3*(1+$C$116)^(I$2-$C$117-1))</f>
        <v>14.125217652296875</v>
      </c>
      <c r="J19" s="402">
        <f>IF(J$2&lt;=$C$117,0,(Opex!H11)*J$3*(1+$C$116)^(J$2-$C$117-1))</f>
        <v>14.125217652296875</v>
      </c>
      <c r="K19" s="402">
        <f>IF(K$2&lt;=$C$117,0,(Opex!I11)*K$3*(1+$C$116)^(K$2-$C$117-1))</f>
        <v>14.125217652296875</v>
      </c>
      <c r="L19" s="402">
        <f>IF(L$2&lt;=$C$117,0,(Opex!J11)*L$3*(1+$C$116)^(L$2-$C$117-1))</f>
        <v>14.125217652296875</v>
      </c>
      <c r="M19" s="402">
        <f>IF(M$2&lt;=$C$117,0,(Opex!K11)*M$3*(1+$C$116)^(M$2-$C$117-1))</f>
        <v>14.125217652296875</v>
      </c>
      <c r="N19" s="402">
        <f>IF(N$2&lt;=$C$117,0,(Opex!L11)*N$3*(1+$C$116)^(N$2-$C$117-1))</f>
        <v>14.125217652296875</v>
      </c>
      <c r="O19" s="402">
        <f>IF(O$2&lt;=$C$117,0,(Opex!M11)*O$3*(1+$C$116)^(O$2-$C$117-1))</f>
        <v>14.125217652296875</v>
      </c>
      <c r="P19" s="402">
        <f>IF(P$2&lt;=$C$117,0,(Opex!N11)*P$3*(1+$C$116)^(P$2-$C$117-1))</f>
        <v>14.125217652296875</v>
      </c>
      <c r="Q19" s="402">
        <f>IF(Q$2&lt;=$C$117,0,(Opex!O11)*Q$3*(1+$C$116)^(Q$2-$C$117-1))</f>
        <v>14.125217652296875</v>
      </c>
      <c r="R19" s="402">
        <f>IF(R$2&lt;=$C$117,0,(Opex!P11)*R$3*(1+$C$116)^(R$2-$C$117-1))</f>
        <v>14.125217652296875</v>
      </c>
      <c r="S19" s="21">
        <f>IF(S$2&lt;=$C$117,0,(Opex!Q11)*S$3*(1+$C$116)^(S$2-$C$117-1))</f>
        <v>14.125217652296875</v>
      </c>
      <c r="T19" s="21">
        <f>IF(T$2&lt;=$C$117,0,(Opex!R11)*T$3*(1+$C$116)^(T$2-$C$117-1))</f>
        <v>14.125217652296875</v>
      </c>
    </row>
    <row r="20" spans="1:20" s="97" customFormat="1" x14ac:dyDescent="0.2">
      <c r="A20" s="346"/>
      <c r="B20" s="379" t="s">
        <v>9</v>
      </c>
      <c r="C20" s="410"/>
      <c r="D20" s="410"/>
      <c r="E20" s="399"/>
      <c r="F20" s="406">
        <f t="shared" ref="F20:T20" si="3">SUM(F18:F19)</f>
        <v>110.61004759905124</v>
      </c>
      <c r="G20" s="406">
        <f t="shared" si="3"/>
        <v>99.593603857953994</v>
      </c>
      <c r="H20" s="406">
        <f t="shared" si="3"/>
        <v>138.0491936246529</v>
      </c>
      <c r="I20" s="406">
        <f t="shared" si="3"/>
        <v>138.0491936246529</v>
      </c>
      <c r="J20" s="406">
        <f t="shared" si="3"/>
        <v>138.0491936246529</v>
      </c>
      <c r="K20" s="406">
        <f t="shared" si="3"/>
        <v>138.0491936246529</v>
      </c>
      <c r="L20" s="406">
        <f t="shared" si="3"/>
        <v>138.0491936246529</v>
      </c>
      <c r="M20" s="406">
        <f t="shared" si="3"/>
        <v>138.0491936246529</v>
      </c>
      <c r="N20" s="406">
        <f t="shared" si="3"/>
        <v>138.0491936246529</v>
      </c>
      <c r="O20" s="406">
        <f t="shared" si="3"/>
        <v>138.0491936246529</v>
      </c>
      <c r="P20" s="406">
        <f t="shared" si="3"/>
        <v>138.0491936246529</v>
      </c>
      <c r="Q20" s="406">
        <f t="shared" si="3"/>
        <v>138.0491936246529</v>
      </c>
      <c r="R20" s="406">
        <f t="shared" si="3"/>
        <v>138.0491936246529</v>
      </c>
      <c r="S20" s="17">
        <f t="shared" si="3"/>
        <v>138.0491936246529</v>
      </c>
      <c r="T20" s="17">
        <f t="shared" si="3"/>
        <v>138.0491936246529</v>
      </c>
    </row>
    <row r="21" spans="1:20" x14ac:dyDescent="0.2">
      <c r="A21" s="509"/>
      <c r="B21" s="377"/>
      <c r="C21" s="152"/>
      <c r="D21" s="152"/>
      <c r="E21" s="22"/>
      <c r="F21" s="21"/>
      <c r="G21" s="21"/>
      <c r="H21" s="21"/>
      <c r="I21" s="21"/>
      <c r="J21" s="21"/>
      <c r="K21" s="21"/>
      <c r="L21" s="21"/>
      <c r="M21" s="21"/>
      <c r="N21" s="21"/>
      <c r="O21" s="21"/>
      <c r="P21" s="9"/>
      <c r="S21" s="9"/>
      <c r="T21" s="9"/>
    </row>
    <row r="22" spans="1:20" x14ac:dyDescent="0.2">
      <c r="A22" s="553">
        <v>3</v>
      </c>
      <c r="B22" s="379" t="s">
        <v>121</v>
      </c>
      <c r="C22" s="24"/>
      <c r="D22" s="24"/>
      <c r="E22" s="25"/>
      <c r="F22" s="26">
        <f t="shared" ref="F22:T22" si="4">F12-F20</f>
        <v>90.926467598588729</v>
      </c>
      <c r="G22" s="26">
        <f t="shared" si="4"/>
        <v>130.73384208220602</v>
      </c>
      <c r="H22" s="26">
        <f t="shared" si="4"/>
        <v>135.46464842928708</v>
      </c>
      <c r="I22" s="26">
        <f t="shared" si="4"/>
        <v>135.46464842928708</v>
      </c>
      <c r="J22" s="26">
        <f t="shared" si="4"/>
        <v>135.46464842928708</v>
      </c>
      <c r="K22" s="26">
        <f t="shared" si="4"/>
        <v>135.46464842928708</v>
      </c>
      <c r="L22" s="26">
        <f t="shared" si="4"/>
        <v>135.46464842928708</v>
      </c>
      <c r="M22" s="26">
        <f t="shared" si="4"/>
        <v>135.46464842928708</v>
      </c>
      <c r="N22" s="26">
        <f t="shared" si="4"/>
        <v>135.46464842928708</v>
      </c>
      <c r="O22" s="26">
        <f t="shared" si="4"/>
        <v>135.46464842928708</v>
      </c>
      <c r="P22" s="26">
        <f t="shared" si="4"/>
        <v>135.46464842928708</v>
      </c>
      <c r="Q22" s="26">
        <f t="shared" si="4"/>
        <v>135.46464842928708</v>
      </c>
      <c r="R22" s="26">
        <f t="shared" si="4"/>
        <v>135.46464842928708</v>
      </c>
      <c r="S22" s="26">
        <f t="shared" si="4"/>
        <v>135.46464842928708</v>
      </c>
      <c r="T22" s="26">
        <f t="shared" si="4"/>
        <v>135.46464842928708</v>
      </c>
    </row>
    <row r="23" spans="1:20" ht="16.5" customHeight="1" x14ac:dyDescent="0.2">
      <c r="A23" s="205"/>
      <c r="B23" s="582"/>
      <c r="C23" s="1"/>
      <c r="D23" s="1"/>
      <c r="E23" s="1"/>
      <c r="F23" s="27"/>
      <c r="G23" s="27"/>
      <c r="H23" s="27"/>
      <c r="I23" s="27"/>
      <c r="J23" s="27"/>
      <c r="K23" s="27"/>
      <c r="L23" s="27"/>
      <c r="M23" s="27"/>
      <c r="N23" s="27"/>
      <c r="O23" s="27"/>
      <c r="P23" s="27"/>
      <c r="Q23" s="27"/>
      <c r="R23" s="27"/>
      <c r="S23" s="27"/>
      <c r="T23" s="27"/>
    </row>
    <row r="24" spans="1:20" s="317" customFormat="1" ht="16.5" customHeight="1" x14ac:dyDescent="0.2">
      <c r="A24" s="389">
        <v>4</v>
      </c>
      <c r="B24" s="345" t="s">
        <v>353</v>
      </c>
      <c r="C24" s="408"/>
      <c r="D24" s="408"/>
      <c r="E24" s="408"/>
      <c r="F24" s="518">
        <f t="shared" ref="F24:T24" si="5">F22</f>
        <v>90.926467598588729</v>
      </c>
      <c r="G24" s="518">
        <f t="shared" si="5"/>
        <v>130.73384208220602</v>
      </c>
      <c r="H24" s="518">
        <f t="shared" si="5"/>
        <v>135.46464842928708</v>
      </c>
      <c r="I24" s="518">
        <f t="shared" si="5"/>
        <v>135.46464842928708</v>
      </c>
      <c r="J24" s="518">
        <f t="shared" si="5"/>
        <v>135.46464842928708</v>
      </c>
      <c r="K24" s="518">
        <f t="shared" si="5"/>
        <v>135.46464842928708</v>
      </c>
      <c r="L24" s="518">
        <f t="shared" si="5"/>
        <v>135.46464842928708</v>
      </c>
      <c r="M24" s="518">
        <f t="shared" si="5"/>
        <v>135.46464842928708</v>
      </c>
      <c r="N24" s="518">
        <f t="shared" si="5"/>
        <v>135.46464842928708</v>
      </c>
      <c r="O24" s="518">
        <f t="shared" si="5"/>
        <v>135.46464842928708</v>
      </c>
      <c r="P24" s="518">
        <f t="shared" si="5"/>
        <v>135.46464842928708</v>
      </c>
      <c r="Q24" s="518">
        <f t="shared" si="5"/>
        <v>135.46464842928708</v>
      </c>
      <c r="R24" s="518">
        <f t="shared" si="5"/>
        <v>135.46464842928708</v>
      </c>
      <c r="S24" s="407">
        <f t="shared" si="5"/>
        <v>135.46464842928708</v>
      </c>
      <c r="T24" s="407">
        <f t="shared" si="5"/>
        <v>135.46464842928708</v>
      </c>
    </row>
    <row r="25" spans="1:20" s="280" customFormat="1" ht="16.5" customHeight="1" x14ac:dyDescent="0.2">
      <c r="A25" s="389">
        <v>5</v>
      </c>
      <c r="B25" s="345" t="s">
        <v>413</v>
      </c>
      <c r="C25" s="408"/>
      <c r="D25" s="408"/>
      <c r="E25" s="408"/>
      <c r="F25" s="625">
        <f>'Working Capital'!D19</f>
        <v>0.5795633259424765</v>
      </c>
      <c r="G25" s="625">
        <f>'Working Capital'!E19</f>
        <v>0.65188820598466468</v>
      </c>
      <c r="H25" s="625">
        <f>'Working Capital'!F19</f>
        <v>0.76037552604794689</v>
      </c>
      <c r="I25" s="625">
        <f>'Working Capital'!G19</f>
        <v>0.76037552604794689</v>
      </c>
      <c r="J25" s="625">
        <f>'Working Capital'!H19</f>
        <v>0.76037552604794689</v>
      </c>
      <c r="K25" s="625">
        <f>'Working Capital'!I19</f>
        <v>0.76037552604794689</v>
      </c>
      <c r="L25" s="625">
        <f>'Working Capital'!J19</f>
        <v>0.76037552604794689</v>
      </c>
      <c r="M25" s="625">
        <f>'Working Capital'!K19</f>
        <v>0.76037552604794689</v>
      </c>
      <c r="N25" s="625">
        <f>'Working Capital'!L19</f>
        <v>0.76037552604794689</v>
      </c>
      <c r="O25" s="625">
        <f>'Working Capital'!M19</f>
        <v>0.76037552604794689</v>
      </c>
      <c r="P25" s="625">
        <f>'Working Capital'!N19</f>
        <v>0.76037552604794689</v>
      </c>
      <c r="Q25" s="625">
        <f>'Working Capital'!O19</f>
        <v>0.76037552604794689</v>
      </c>
      <c r="R25" s="625">
        <f>'Working Capital'!P19</f>
        <v>0.76037552604794689</v>
      </c>
      <c r="S25" s="626">
        <f>'Working Capital'!Q19</f>
        <v>0.76037552604794689</v>
      </c>
      <c r="T25" s="626">
        <f>'Working Capital'!R19</f>
        <v>0.76037552604794689</v>
      </c>
    </row>
    <row r="26" spans="1:20" s="280" customFormat="1" ht="16.5" customHeight="1" x14ac:dyDescent="0.2">
      <c r="A26" s="389">
        <v>6</v>
      </c>
      <c r="B26" s="345" t="s">
        <v>354</v>
      </c>
      <c r="C26" s="408"/>
      <c r="D26" s="408"/>
      <c r="E26" s="408"/>
      <c r="F26" s="550">
        <f>E91</f>
        <v>35.019357260625007</v>
      </c>
      <c r="G26" s="550">
        <f t="shared" ref="G26:T26" si="6">F91</f>
        <v>30.64193760304688</v>
      </c>
      <c r="H26" s="550">
        <f t="shared" si="6"/>
        <v>26.264517945468757</v>
      </c>
      <c r="I26" s="550">
        <f t="shared" si="6"/>
        <v>21.887098287890634</v>
      </c>
      <c r="J26" s="550">
        <f t="shared" si="6"/>
        <v>17.509678630312507</v>
      </c>
      <c r="K26" s="550">
        <f t="shared" si="6"/>
        <v>13.132258972734384</v>
      </c>
      <c r="L26" s="550">
        <f t="shared" si="6"/>
        <v>8.7548393151562571</v>
      </c>
      <c r="M26" s="550">
        <f t="shared" si="6"/>
        <v>4.3774196575781321</v>
      </c>
      <c r="N26" s="550">
        <f t="shared" si="6"/>
        <v>6.394884621840901E-15</v>
      </c>
      <c r="O26" s="550">
        <f t="shared" si="6"/>
        <v>6.394884621840901E-15</v>
      </c>
      <c r="P26" s="550">
        <f t="shared" si="6"/>
        <v>6.394884621840901E-15</v>
      </c>
      <c r="Q26" s="550">
        <f t="shared" si="6"/>
        <v>6.394884621840901E-15</v>
      </c>
      <c r="R26" s="550">
        <f t="shared" si="6"/>
        <v>6.394884621840901E-15</v>
      </c>
      <c r="S26" s="408">
        <f t="shared" si="6"/>
        <v>6.394884621840901E-15</v>
      </c>
      <c r="T26" s="408">
        <f t="shared" si="6"/>
        <v>6.394884621840901E-15</v>
      </c>
    </row>
    <row r="27" spans="1:20" s="280" customFormat="1" ht="16.5" customHeight="1" x14ac:dyDescent="0.2">
      <c r="A27" s="389">
        <v>7</v>
      </c>
      <c r="B27" s="345" t="s">
        <v>355</v>
      </c>
      <c r="C27" s="408"/>
      <c r="D27" s="408"/>
      <c r="E27" s="408"/>
      <c r="F27" s="550">
        <f>Depreciation!D13</f>
        <v>29.856488775000003</v>
      </c>
      <c r="G27" s="550">
        <f t="shared" ref="G27" si="7">+F27</f>
        <v>29.856488775000003</v>
      </c>
      <c r="H27" s="550">
        <f t="shared" ref="H27" si="8">+G27</f>
        <v>29.856488775000003</v>
      </c>
      <c r="I27" s="550">
        <f t="shared" ref="I27" si="9">+H27</f>
        <v>29.856488775000003</v>
      </c>
      <c r="J27" s="550">
        <f t="shared" ref="J27" si="10">+I27</f>
        <v>29.856488775000003</v>
      </c>
      <c r="K27" s="550">
        <f t="shared" ref="K27" si="11">+J27</f>
        <v>29.856488775000003</v>
      </c>
      <c r="L27" s="550">
        <f t="shared" ref="L27" si="12">+K27</f>
        <v>29.856488775000003</v>
      </c>
      <c r="M27" s="550">
        <f t="shared" ref="M27" si="13">+L27</f>
        <v>29.856488775000003</v>
      </c>
      <c r="N27" s="550">
        <f t="shared" ref="N27" si="14">+M27</f>
        <v>29.856488775000003</v>
      </c>
      <c r="O27" s="550">
        <f t="shared" ref="O27" si="15">+N27</f>
        <v>29.856488775000003</v>
      </c>
      <c r="P27" s="550">
        <f t="shared" ref="P27" si="16">+O27</f>
        <v>29.856488775000003</v>
      </c>
      <c r="Q27" s="550">
        <f t="shared" ref="Q27" si="17">+P27</f>
        <v>29.856488775000003</v>
      </c>
      <c r="R27" s="550">
        <f t="shared" ref="R27" si="18">+Q27</f>
        <v>29.856488775000003</v>
      </c>
      <c r="S27" s="408">
        <f t="shared" ref="S27" si="19">+R27</f>
        <v>29.856488775000003</v>
      </c>
      <c r="T27" s="408">
        <f t="shared" ref="T27" si="20">+S27</f>
        <v>29.856488775000003</v>
      </c>
    </row>
    <row r="28" spans="1:20" s="317" customFormat="1" ht="16.5" customHeight="1" x14ac:dyDescent="0.2">
      <c r="A28" s="389">
        <v>8</v>
      </c>
      <c r="B28" s="345" t="s">
        <v>130</v>
      </c>
      <c r="C28" s="408"/>
      <c r="D28" s="408"/>
      <c r="E28" s="408"/>
      <c r="F28" s="550">
        <f t="shared" ref="F28:T28" si="21">F24-F25-F26-F27</f>
        <v>25.471058237021246</v>
      </c>
      <c r="G28" s="550">
        <f t="shared" si="21"/>
        <v>69.583527498174462</v>
      </c>
      <c r="H28" s="550">
        <f t="shared" si="21"/>
        <v>78.583266182770387</v>
      </c>
      <c r="I28" s="550">
        <f t="shared" si="21"/>
        <v>82.960685840348503</v>
      </c>
      <c r="J28" s="550">
        <f t="shared" si="21"/>
        <v>87.338105497926634</v>
      </c>
      <c r="K28" s="550">
        <f t="shared" si="21"/>
        <v>91.715525155504764</v>
      </c>
      <c r="L28" s="550">
        <f t="shared" si="21"/>
        <v>96.09294481308288</v>
      </c>
      <c r="M28" s="550">
        <f t="shared" si="21"/>
        <v>100.470364470661</v>
      </c>
      <c r="N28" s="550">
        <f t="shared" si="21"/>
        <v>104.84778412823914</v>
      </c>
      <c r="O28" s="550">
        <f t="shared" si="21"/>
        <v>104.84778412823914</v>
      </c>
      <c r="P28" s="550">
        <f t="shared" si="21"/>
        <v>104.84778412823914</v>
      </c>
      <c r="Q28" s="550">
        <f t="shared" si="21"/>
        <v>104.84778412823914</v>
      </c>
      <c r="R28" s="550">
        <f t="shared" si="21"/>
        <v>104.84778412823914</v>
      </c>
      <c r="S28" s="408">
        <f t="shared" si="21"/>
        <v>104.84778412823914</v>
      </c>
      <c r="T28" s="408">
        <f t="shared" si="21"/>
        <v>104.84778412823914</v>
      </c>
    </row>
    <row r="29" spans="1:20" s="317" customFormat="1" ht="16.5" customHeight="1" x14ac:dyDescent="0.2">
      <c r="A29" s="389">
        <v>9</v>
      </c>
      <c r="B29" s="345" t="s">
        <v>356</v>
      </c>
      <c r="C29" s="318"/>
      <c r="D29" s="318"/>
      <c r="E29" s="318"/>
      <c r="F29" s="436">
        <f>C108</f>
        <v>17.431357987186846</v>
      </c>
      <c r="G29" s="436">
        <f t="shared" ref="G29:T29" si="22">D108</f>
        <v>35.047419469942078</v>
      </c>
      <c r="H29" s="436">
        <f t="shared" si="22"/>
        <v>39.851507421586078</v>
      </c>
      <c r="I29" s="436">
        <f t="shared" si="22"/>
        <v>42.530762644048082</v>
      </c>
      <c r="J29" s="436">
        <f t="shared" si="22"/>
        <v>44.808978722340775</v>
      </c>
      <c r="K29" s="436">
        <f t="shared" si="22"/>
        <v>46.746226614169579</v>
      </c>
      <c r="L29" s="436">
        <f t="shared" si="22"/>
        <v>48.393575124976046</v>
      </c>
      <c r="M29" s="436">
        <f t="shared" si="22"/>
        <v>49.79444038163836</v>
      </c>
      <c r="N29" s="436">
        <f t="shared" si="22"/>
        <v>50.985732970030433</v>
      </c>
      <c r="O29" s="436">
        <f t="shared" si="22"/>
        <v>51.998833078369906</v>
      </c>
      <c r="P29" s="436">
        <f t="shared" si="22"/>
        <v>52.860419437844051</v>
      </c>
      <c r="Q29" s="436">
        <f t="shared" si="22"/>
        <v>53.593173984044093</v>
      </c>
      <c r="R29" s="436">
        <f t="shared" si="22"/>
        <v>54.216380874896466</v>
      </c>
      <c r="S29" s="318">
        <f t="shared" si="22"/>
        <v>54.746435706045069</v>
      </c>
      <c r="T29" s="318">
        <f t="shared" si="22"/>
        <v>55.197278389053061</v>
      </c>
    </row>
    <row r="30" spans="1:20" s="317" customFormat="1" ht="16.5" customHeight="1" x14ac:dyDescent="0.2">
      <c r="A30" s="389">
        <v>10</v>
      </c>
      <c r="B30" s="345" t="s">
        <v>357</v>
      </c>
      <c r="C30" s="408"/>
      <c r="D30" s="408"/>
      <c r="E30" s="408"/>
      <c r="F30" s="550">
        <f t="shared" ref="F30:T30" si="23">F28-F29</f>
        <v>8.0397002498344001</v>
      </c>
      <c r="G30" s="550">
        <f t="shared" si="23"/>
        <v>34.536108028232384</v>
      </c>
      <c r="H30" s="550">
        <f t="shared" si="23"/>
        <v>38.731758761184309</v>
      </c>
      <c r="I30" s="550">
        <f t="shared" si="23"/>
        <v>40.429923196300422</v>
      </c>
      <c r="J30" s="550">
        <f t="shared" si="23"/>
        <v>42.529126775585858</v>
      </c>
      <c r="K30" s="550">
        <f t="shared" si="23"/>
        <v>44.969298541335185</v>
      </c>
      <c r="L30" s="550">
        <f t="shared" si="23"/>
        <v>47.699369688106835</v>
      </c>
      <c r="M30" s="550">
        <f t="shared" si="23"/>
        <v>50.675924089022637</v>
      </c>
      <c r="N30" s="550">
        <f t="shared" si="23"/>
        <v>53.862051158208708</v>
      </c>
      <c r="O30" s="550">
        <f t="shared" si="23"/>
        <v>52.848951049869235</v>
      </c>
      <c r="P30" s="550">
        <f t="shared" si="23"/>
        <v>51.98736469039509</v>
      </c>
      <c r="Q30" s="550">
        <f t="shared" si="23"/>
        <v>51.254610144195048</v>
      </c>
      <c r="R30" s="550">
        <f t="shared" si="23"/>
        <v>50.631403253342675</v>
      </c>
      <c r="S30" s="408">
        <f t="shared" si="23"/>
        <v>50.101348422194071</v>
      </c>
      <c r="T30" s="408">
        <f t="shared" si="23"/>
        <v>49.65050573918608</v>
      </c>
    </row>
    <row r="31" spans="1:20" s="317" customFormat="1" ht="16.5" customHeight="1" x14ac:dyDescent="0.2">
      <c r="A31" s="389">
        <v>11</v>
      </c>
      <c r="B31" s="345" t="s">
        <v>351</v>
      </c>
      <c r="C31" s="408"/>
      <c r="D31" s="408"/>
      <c r="E31" s="408"/>
      <c r="F31" s="550">
        <f>F30</f>
        <v>8.0397002498344001</v>
      </c>
      <c r="G31" s="550">
        <f>F31+G30</f>
        <v>42.575808278066788</v>
      </c>
      <c r="H31" s="550">
        <f t="shared" ref="H31" si="24">G31+H30</f>
        <v>81.307567039251097</v>
      </c>
      <c r="I31" s="550">
        <f t="shared" ref="I31" si="25">H31+I30</f>
        <v>121.73749023555152</v>
      </c>
      <c r="J31" s="550">
        <f t="shared" ref="J31" si="26">I31+J30</f>
        <v>164.26661701113738</v>
      </c>
      <c r="K31" s="550">
        <f t="shared" ref="K31" si="27">J31+K30</f>
        <v>209.23591555247256</v>
      </c>
      <c r="L31" s="550">
        <f t="shared" ref="L31" si="28">K31+L30</f>
        <v>256.93528524057939</v>
      </c>
      <c r="M31" s="550">
        <f t="shared" ref="M31" si="29">L31+M30</f>
        <v>307.61120932960205</v>
      </c>
      <c r="N31" s="550">
        <f t="shared" ref="N31" si="30">M31+N30</f>
        <v>361.47326048781076</v>
      </c>
      <c r="O31" s="550">
        <f t="shared" ref="O31" si="31">N31+O30</f>
        <v>414.32221153768</v>
      </c>
      <c r="P31" s="550">
        <f t="shared" ref="P31" si="32">O31+P30</f>
        <v>466.30957622807512</v>
      </c>
      <c r="Q31" s="550">
        <f t="shared" ref="Q31" si="33">P31+Q30</f>
        <v>517.56418637227011</v>
      </c>
      <c r="R31" s="550">
        <f t="shared" ref="R31" si="34">Q31+R30</f>
        <v>568.1955896256128</v>
      </c>
      <c r="S31" s="408">
        <f t="shared" ref="S31" si="35">R31+S30</f>
        <v>618.29693804780686</v>
      </c>
      <c r="T31" s="408">
        <f t="shared" ref="T31" si="36">S31+T30</f>
        <v>667.94744378699295</v>
      </c>
    </row>
    <row r="32" spans="1:20" s="317" customFormat="1" ht="16.5" customHeight="1" x14ac:dyDescent="0.2">
      <c r="A32" s="389">
        <v>12</v>
      </c>
      <c r="B32" s="345" t="s">
        <v>358</v>
      </c>
      <c r="C32" s="419"/>
      <c r="D32" s="419"/>
      <c r="E32" s="419"/>
      <c r="F32" s="554">
        <f t="shared" ref="F32:T32" si="37">F24/F12</f>
        <v>0.45116621923039729</v>
      </c>
      <c r="G32" s="554">
        <f t="shared" si="37"/>
        <v>0.56759992952021532</v>
      </c>
      <c r="H32" s="554">
        <f t="shared" si="37"/>
        <v>0.49527529360862088</v>
      </c>
      <c r="I32" s="554">
        <f t="shared" si="37"/>
        <v>0.49527529360862088</v>
      </c>
      <c r="J32" s="554">
        <f t="shared" si="37"/>
        <v>0.49527529360862088</v>
      </c>
      <c r="K32" s="554">
        <f t="shared" si="37"/>
        <v>0.49527529360862088</v>
      </c>
      <c r="L32" s="554">
        <f t="shared" si="37"/>
        <v>0.49527529360862088</v>
      </c>
      <c r="M32" s="554">
        <f t="shared" si="37"/>
        <v>0.49527529360862088</v>
      </c>
      <c r="N32" s="554">
        <f t="shared" si="37"/>
        <v>0.49527529360862088</v>
      </c>
      <c r="O32" s="554">
        <f t="shared" si="37"/>
        <v>0.49527529360862088</v>
      </c>
      <c r="P32" s="554">
        <f t="shared" si="37"/>
        <v>0.49527529360862088</v>
      </c>
      <c r="Q32" s="554">
        <f t="shared" si="37"/>
        <v>0.49527529360862088</v>
      </c>
      <c r="R32" s="554">
        <f t="shared" si="37"/>
        <v>0.49527529360862088</v>
      </c>
      <c r="S32" s="420">
        <f t="shared" si="37"/>
        <v>0.49527529360862088</v>
      </c>
      <c r="T32" s="420">
        <f t="shared" si="37"/>
        <v>0.49527529360862088</v>
      </c>
    </row>
    <row r="33" spans="1:20" s="280" customFormat="1" ht="16.5" customHeight="1" x14ac:dyDescent="0.2">
      <c r="A33" s="293"/>
      <c r="B33" s="292"/>
      <c r="C33" s="317"/>
      <c r="D33" s="317"/>
      <c r="E33" s="317"/>
      <c r="F33" s="627"/>
      <c r="G33" s="627"/>
      <c r="H33" s="627"/>
      <c r="I33" s="627"/>
      <c r="J33" s="627"/>
      <c r="K33" s="627"/>
      <c r="L33" s="627"/>
      <c r="M33" s="627"/>
      <c r="N33" s="627"/>
      <c r="O33" s="627"/>
      <c r="P33" s="627"/>
      <c r="Q33" s="627"/>
      <c r="R33" s="627"/>
      <c r="S33" s="627"/>
      <c r="T33" s="627"/>
    </row>
    <row r="34" spans="1:20" ht="16.5" customHeight="1" x14ac:dyDescent="0.2">
      <c r="A34" s="13"/>
      <c r="B34" s="266"/>
      <c r="C34" s="1"/>
      <c r="D34" s="1"/>
      <c r="E34" s="1"/>
      <c r="F34" s="27"/>
      <c r="G34" s="27"/>
      <c r="H34" s="27"/>
      <c r="I34" s="27"/>
      <c r="J34" s="27"/>
      <c r="K34" s="27"/>
      <c r="L34" s="27"/>
      <c r="M34" s="27"/>
      <c r="N34" s="27"/>
      <c r="O34" s="27"/>
      <c r="P34" s="27"/>
      <c r="Q34" s="27"/>
      <c r="R34" s="27"/>
      <c r="S34" s="27"/>
      <c r="T34" s="27"/>
    </row>
    <row r="35" spans="1:20" ht="16.5" customHeight="1" x14ac:dyDescent="0.2">
      <c r="A35" s="13"/>
      <c r="B35" s="266"/>
      <c r="C35" s="1"/>
      <c r="D35" s="1"/>
      <c r="E35" s="1"/>
      <c r="F35" s="27"/>
      <c r="G35" s="27"/>
      <c r="H35" s="27"/>
      <c r="I35" s="27"/>
      <c r="J35" s="27"/>
      <c r="K35" s="27"/>
      <c r="L35" s="27"/>
      <c r="M35" s="27"/>
      <c r="N35" s="27"/>
      <c r="O35" s="27"/>
      <c r="P35" s="27"/>
      <c r="Q35" s="27"/>
      <c r="R35" s="27"/>
      <c r="S35" s="27"/>
      <c r="T35" s="27"/>
    </row>
    <row r="36" spans="1:20" ht="16.5" customHeight="1" x14ac:dyDescent="0.2">
      <c r="A36" s="1"/>
      <c r="B36" s="503" t="s">
        <v>409</v>
      </c>
      <c r="C36" s="276">
        <f>Capex!B11</f>
        <v>474.66175000000004</v>
      </c>
      <c r="D36" s="503" t="s">
        <v>39</v>
      </c>
      <c r="E36" s="1"/>
      <c r="F36" s="27"/>
      <c r="G36" s="27"/>
      <c r="H36" s="27"/>
      <c r="I36" s="27"/>
      <c r="J36" s="27"/>
      <c r="K36" s="27"/>
      <c r="L36" s="27"/>
      <c r="M36" s="27"/>
      <c r="N36" s="27"/>
      <c r="O36" s="27"/>
      <c r="P36" s="27"/>
      <c r="Q36" s="27"/>
      <c r="R36" s="27"/>
      <c r="S36" s="27"/>
      <c r="T36" s="27"/>
    </row>
    <row r="37" spans="1:20" ht="16.5" customHeight="1" x14ac:dyDescent="0.2">
      <c r="A37" s="1"/>
      <c r="B37" s="269" t="s">
        <v>410</v>
      </c>
      <c r="C37" s="268">
        <f>Capex!B12</f>
        <v>33.107657062500003</v>
      </c>
      <c r="D37" s="269"/>
      <c r="E37" s="1"/>
      <c r="F37" s="27"/>
      <c r="G37" s="27"/>
      <c r="H37" s="27"/>
      <c r="I37" s="27"/>
      <c r="J37" s="27"/>
      <c r="K37" s="27"/>
      <c r="L37" s="27"/>
      <c r="M37" s="27"/>
      <c r="N37" s="27"/>
      <c r="O37" s="27"/>
      <c r="P37" s="27"/>
      <c r="Q37" s="27"/>
      <c r="R37" s="27"/>
      <c r="S37" s="27"/>
      <c r="T37" s="27"/>
    </row>
    <row r="38" spans="1:20" ht="16.5" customHeight="1" x14ac:dyDescent="0.2">
      <c r="A38" s="1"/>
      <c r="B38" s="269" t="s">
        <v>411</v>
      </c>
      <c r="C38" s="270">
        <f>(C36*D38)</f>
        <v>0</v>
      </c>
      <c r="D38" s="271">
        <v>0</v>
      </c>
      <c r="E38" s="1"/>
      <c r="F38" s="27"/>
      <c r="G38" s="27"/>
      <c r="H38" s="27"/>
      <c r="I38" s="27"/>
      <c r="J38" s="27"/>
      <c r="K38" s="27"/>
      <c r="L38" s="27"/>
      <c r="M38" s="27"/>
      <c r="N38" s="27"/>
      <c r="O38" s="27"/>
      <c r="P38" s="27"/>
      <c r="Q38" s="27"/>
      <c r="R38" s="27"/>
      <c r="S38" s="27"/>
      <c r="T38" s="27"/>
    </row>
    <row r="39" spans="1:20" ht="16.5" customHeight="1" x14ac:dyDescent="0.2">
      <c r="A39" s="1">
        <v>4</v>
      </c>
      <c r="B39" s="101" t="s">
        <v>412</v>
      </c>
      <c r="C39" s="277">
        <f>+C36+C37+C38</f>
        <v>507.76940706250002</v>
      </c>
      <c r="D39" s="101" t="s">
        <v>39</v>
      </c>
      <c r="E39" s="1"/>
      <c r="F39" s="27"/>
      <c r="G39" s="27"/>
      <c r="H39" s="27"/>
      <c r="I39" s="27"/>
      <c r="J39" s="27"/>
      <c r="K39" s="27"/>
      <c r="L39" s="27"/>
      <c r="M39" s="27"/>
      <c r="N39" s="27"/>
      <c r="O39" s="27"/>
      <c r="P39" s="27"/>
      <c r="Q39" s="27"/>
      <c r="R39" s="27"/>
      <c r="S39" s="27"/>
      <c r="T39" s="27"/>
    </row>
    <row r="40" spans="1:20" ht="16.5" customHeight="1" x14ac:dyDescent="0.2">
      <c r="A40" s="13"/>
      <c r="B40" s="266"/>
      <c r="C40" s="1"/>
      <c r="D40" s="1"/>
      <c r="E40" s="1"/>
      <c r="F40" s="27"/>
      <c r="G40" s="27"/>
      <c r="H40" s="27"/>
      <c r="I40" s="27"/>
      <c r="J40" s="27"/>
      <c r="K40" s="27"/>
      <c r="L40" s="27"/>
      <c r="M40" s="27"/>
      <c r="N40" s="27"/>
      <c r="O40" s="27"/>
      <c r="P40" s="27"/>
      <c r="Q40" s="27"/>
      <c r="R40" s="27"/>
      <c r="S40" s="27"/>
      <c r="T40" s="27"/>
    </row>
    <row r="41" spans="1:20" ht="16.5" customHeight="1" x14ac:dyDescent="0.2">
      <c r="A41" s="13"/>
      <c r="B41" s="503" t="s">
        <v>414</v>
      </c>
      <c r="C41" s="276" t="s">
        <v>415</v>
      </c>
      <c r="D41" s="503" t="s">
        <v>416</v>
      </c>
      <c r="E41" s="1"/>
      <c r="F41" s="27"/>
      <c r="G41" s="27"/>
      <c r="H41" s="27"/>
      <c r="I41" s="27"/>
      <c r="J41" s="27"/>
      <c r="K41" s="27"/>
      <c r="L41" s="27"/>
      <c r="M41" s="27"/>
      <c r="N41" s="27"/>
      <c r="O41" s="27"/>
      <c r="P41" s="27"/>
      <c r="Q41" s="27"/>
      <c r="R41" s="27"/>
      <c r="S41" s="27"/>
      <c r="T41" s="27"/>
    </row>
    <row r="42" spans="1:20" ht="16.5" customHeight="1" x14ac:dyDescent="0.2">
      <c r="A42" s="13"/>
      <c r="B42" s="269" t="s">
        <v>417</v>
      </c>
      <c r="C42" s="271">
        <v>0.75</v>
      </c>
      <c r="D42" s="272">
        <f>C39*C42</f>
        <v>380.82705529687502</v>
      </c>
      <c r="E42" s="1"/>
      <c r="F42" s="27"/>
      <c r="G42" s="27"/>
      <c r="H42" s="27"/>
      <c r="I42" s="27"/>
      <c r="J42" s="27"/>
      <c r="K42" s="27"/>
      <c r="L42" s="27"/>
      <c r="M42" s="27"/>
      <c r="N42" s="27"/>
      <c r="O42" s="27"/>
      <c r="P42" s="27"/>
      <c r="Q42" s="27"/>
      <c r="R42" s="27"/>
      <c r="S42" s="27"/>
      <c r="T42" s="27"/>
    </row>
    <row r="43" spans="1:20" ht="16.5" customHeight="1" x14ac:dyDescent="0.2">
      <c r="A43" s="13"/>
      <c r="B43" s="269" t="s">
        <v>418</v>
      </c>
      <c r="C43" s="271">
        <v>0.25</v>
      </c>
      <c r="D43" s="272">
        <f>C43*C39</f>
        <v>126.94235176562501</v>
      </c>
      <c r="E43" s="1"/>
      <c r="F43" s="27"/>
      <c r="G43" s="27"/>
      <c r="H43" s="27"/>
      <c r="I43" s="27"/>
      <c r="J43" s="27"/>
      <c r="K43" s="27"/>
      <c r="L43" s="27"/>
      <c r="M43" s="27"/>
      <c r="N43" s="27"/>
      <c r="O43" s="27"/>
      <c r="P43" s="27"/>
      <c r="Q43" s="27"/>
      <c r="R43" s="27"/>
      <c r="S43" s="27"/>
      <c r="T43" s="27"/>
    </row>
    <row r="44" spans="1:20" ht="16.5" customHeight="1" x14ac:dyDescent="0.2">
      <c r="A44" s="13"/>
      <c r="B44" s="503" t="s">
        <v>47</v>
      </c>
      <c r="C44" s="278">
        <v>1</v>
      </c>
      <c r="D44" s="279">
        <f>SUM(D42:D43)</f>
        <v>507.76940706250002</v>
      </c>
      <c r="E44" s="1"/>
      <c r="F44" s="27"/>
      <c r="G44" s="27"/>
      <c r="H44" s="27"/>
      <c r="I44" s="27"/>
      <c r="J44" s="27"/>
      <c r="K44" s="27"/>
      <c r="L44" s="27"/>
      <c r="M44" s="27"/>
      <c r="N44" s="27"/>
      <c r="O44" s="27"/>
      <c r="P44" s="27"/>
      <c r="Q44" s="27"/>
      <c r="R44" s="27"/>
      <c r="S44" s="27"/>
      <c r="T44" s="27"/>
    </row>
    <row r="45" spans="1:20" ht="16.5" customHeight="1" x14ac:dyDescent="0.2">
      <c r="A45" s="13"/>
      <c r="B45" s="1"/>
      <c r="C45" s="274"/>
      <c r="D45" s="275"/>
      <c r="E45" s="1"/>
      <c r="F45" s="27"/>
      <c r="G45" s="27"/>
      <c r="H45" s="27"/>
      <c r="I45" s="27"/>
      <c r="J45" s="27"/>
      <c r="K45" s="27"/>
      <c r="L45" s="27"/>
      <c r="M45" s="27"/>
      <c r="N45" s="27"/>
      <c r="O45" s="27"/>
      <c r="P45" s="27"/>
      <c r="Q45" s="27"/>
      <c r="R45" s="27"/>
      <c r="S45" s="27"/>
      <c r="T45" s="27"/>
    </row>
    <row r="46" spans="1:20" ht="16.5" customHeight="1" x14ac:dyDescent="0.2">
      <c r="A46" s="13"/>
      <c r="B46" s="266"/>
      <c r="C46" s="1"/>
      <c r="D46" s="1"/>
      <c r="E46" s="1"/>
      <c r="F46" s="27"/>
      <c r="G46" s="27"/>
      <c r="H46" s="27"/>
      <c r="I46" s="27"/>
      <c r="J46" s="27"/>
      <c r="K46" s="27"/>
      <c r="L46" s="27"/>
      <c r="M46" s="27"/>
      <c r="N46" s="27"/>
      <c r="O46" s="27"/>
      <c r="P46" s="27"/>
      <c r="Q46" s="27"/>
      <c r="R46" s="27"/>
      <c r="S46" s="27"/>
      <c r="T46" s="27"/>
    </row>
    <row r="47" spans="1:20" ht="16.5" customHeight="1" x14ac:dyDescent="0.2">
      <c r="A47" s="421" t="s">
        <v>402</v>
      </c>
      <c r="B47" s="422" t="s">
        <v>403</v>
      </c>
      <c r="C47" s="422" t="s">
        <v>404</v>
      </c>
      <c r="D47" s="422" t="s">
        <v>405</v>
      </c>
      <c r="E47" s="1"/>
      <c r="F47" s="27"/>
      <c r="G47" s="27"/>
      <c r="H47" s="27"/>
      <c r="I47" s="27"/>
      <c r="J47" s="27"/>
      <c r="K47" s="27"/>
      <c r="L47" s="27"/>
      <c r="M47" s="27"/>
      <c r="N47" s="27"/>
      <c r="O47" s="27"/>
      <c r="P47" s="27"/>
      <c r="Q47" s="27"/>
      <c r="R47" s="27"/>
      <c r="S47" s="27"/>
      <c r="T47" s="27"/>
    </row>
    <row r="48" spans="1:20" ht="16.5" customHeight="1" x14ac:dyDescent="0.2">
      <c r="A48" s="423">
        <v>1</v>
      </c>
      <c r="B48" s="423" t="s">
        <v>406</v>
      </c>
      <c r="C48" s="424">
        <v>0.3</v>
      </c>
      <c r="D48" s="424">
        <v>0.15</v>
      </c>
      <c r="E48" s="1"/>
      <c r="F48" s="27"/>
      <c r="G48" s="27"/>
      <c r="H48" s="27"/>
      <c r="I48" s="27"/>
      <c r="J48" s="27"/>
      <c r="K48" s="27"/>
      <c r="L48" s="27"/>
      <c r="M48" s="27"/>
      <c r="N48" s="27"/>
      <c r="O48" s="27"/>
      <c r="P48" s="27"/>
      <c r="Q48" s="27"/>
      <c r="R48" s="27"/>
      <c r="S48" s="27"/>
      <c r="T48" s="27"/>
    </row>
    <row r="49" spans="1:20" ht="16.5" customHeight="1" x14ac:dyDescent="0.2">
      <c r="A49" s="423">
        <v>2</v>
      </c>
      <c r="B49" s="423" t="s">
        <v>407</v>
      </c>
      <c r="C49" s="424">
        <v>0.12</v>
      </c>
      <c r="D49" s="424">
        <v>0.12</v>
      </c>
      <c r="E49" s="1"/>
      <c r="F49" s="27"/>
      <c r="G49" s="27"/>
      <c r="H49" s="27"/>
      <c r="I49" s="27"/>
      <c r="J49" s="27"/>
      <c r="K49" s="27"/>
      <c r="L49" s="27"/>
      <c r="M49" s="27"/>
      <c r="N49" s="27"/>
      <c r="O49" s="27"/>
      <c r="P49" s="27"/>
      <c r="Q49" s="27"/>
      <c r="R49" s="27"/>
      <c r="S49" s="27"/>
      <c r="T49" s="27"/>
    </row>
    <row r="50" spans="1:20" ht="16.5" customHeight="1" x14ac:dyDescent="0.2">
      <c r="A50" s="423">
        <v>3</v>
      </c>
      <c r="B50" s="423" t="s">
        <v>408</v>
      </c>
      <c r="C50" s="424">
        <v>0.04</v>
      </c>
      <c r="D50" s="424">
        <v>0.04</v>
      </c>
      <c r="E50" s="1"/>
      <c r="F50" s="27"/>
      <c r="G50" s="27"/>
      <c r="H50" s="27"/>
      <c r="I50" s="27"/>
      <c r="J50" s="27"/>
      <c r="K50" s="27"/>
      <c r="L50" s="27"/>
      <c r="M50" s="27"/>
      <c r="N50" s="27"/>
      <c r="O50" s="27"/>
      <c r="P50" s="27"/>
      <c r="Q50" s="27"/>
      <c r="R50" s="27"/>
      <c r="S50" s="27"/>
      <c r="T50" s="27"/>
    </row>
    <row r="51" spans="1:20" ht="16.5" customHeight="1" x14ac:dyDescent="0.2">
      <c r="A51" s="423">
        <v>4</v>
      </c>
      <c r="B51" s="423" t="s">
        <v>47</v>
      </c>
      <c r="C51" s="425">
        <f>+C48*(1+C49)*(1+C50)</f>
        <v>0.34944000000000003</v>
      </c>
      <c r="D51" s="425">
        <f>+D48*(1+D49)*(1+D50)</f>
        <v>0.17472000000000001</v>
      </c>
      <c r="E51" s="1"/>
      <c r="F51" s="27"/>
      <c r="G51" s="27"/>
      <c r="H51" s="27"/>
      <c r="I51" s="27"/>
      <c r="J51" s="27"/>
      <c r="K51" s="27"/>
      <c r="L51" s="27"/>
      <c r="M51" s="27"/>
      <c r="N51" s="27"/>
      <c r="O51" s="27"/>
      <c r="P51" s="27"/>
      <c r="Q51" s="27"/>
      <c r="R51" s="27"/>
      <c r="S51" s="27"/>
      <c r="T51" s="27"/>
    </row>
    <row r="52" spans="1:20" ht="16.5" customHeight="1" x14ac:dyDescent="0.2">
      <c r="A52" s="13"/>
      <c r="B52" s="714" t="s">
        <v>399</v>
      </c>
      <c r="C52" s="714"/>
      <c r="D52" s="1"/>
      <c r="E52" s="1"/>
      <c r="F52" s="27"/>
      <c r="G52" s="27"/>
      <c r="H52" s="27"/>
      <c r="I52" s="27"/>
      <c r="J52" s="27"/>
      <c r="K52" s="27"/>
      <c r="L52" s="27"/>
      <c r="M52" s="27"/>
      <c r="N52" s="27"/>
      <c r="O52" s="27"/>
      <c r="P52" s="27"/>
      <c r="Q52" s="27"/>
      <c r="R52" s="27"/>
      <c r="S52" s="27"/>
      <c r="T52" s="27"/>
    </row>
    <row r="53" spans="1:20" ht="16.5" customHeight="1" x14ac:dyDescent="0.2">
      <c r="A53" s="13"/>
      <c r="D53" s="1"/>
      <c r="E53" s="1"/>
      <c r="F53" s="27"/>
      <c r="G53" s="27"/>
      <c r="H53" s="27"/>
      <c r="I53" s="27"/>
      <c r="J53" s="27"/>
      <c r="K53" s="27"/>
      <c r="L53" s="27"/>
      <c r="M53" s="27"/>
      <c r="N53" s="27"/>
      <c r="O53" s="27"/>
      <c r="P53" s="27"/>
      <c r="Q53" s="27"/>
      <c r="R53" s="27"/>
      <c r="S53" s="27"/>
      <c r="T53" s="27"/>
    </row>
    <row r="54" spans="1:20" ht="16.5" customHeight="1" x14ac:dyDescent="0.2">
      <c r="A54" s="13"/>
      <c r="B54" s="259" t="s">
        <v>400</v>
      </c>
      <c r="C54" s="271">
        <f>Norms!B52</f>
        <v>0.09</v>
      </c>
      <c r="D54" s="1"/>
      <c r="E54" s="1"/>
      <c r="F54" s="27"/>
      <c r="G54" s="27"/>
      <c r="H54" s="27"/>
      <c r="I54" s="27"/>
      <c r="J54" s="27"/>
      <c r="K54" s="27"/>
      <c r="L54" s="27"/>
      <c r="M54" s="27"/>
      <c r="N54" s="27"/>
      <c r="O54" s="27"/>
      <c r="P54" s="27"/>
      <c r="Q54" s="27"/>
      <c r="R54" s="27"/>
      <c r="S54" s="27"/>
      <c r="T54" s="27"/>
    </row>
    <row r="55" spans="1:20" ht="16.5" customHeight="1" x14ac:dyDescent="0.2">
      <c r="A55" s="13"/>
      <c r="B55" s="259" t="s">
        <v>401</v>
      </c>
      <c r="C55" s="271">
        <f>Norms!B53</f>
        <v>0.08</v>
      </c>
      <c r="D55" s="1"/>
      <c r="E55" s="1"/>
      <c r="F55" s="27"/>
      <c r="G55" s="27"/>
      <c r="H55" s="27"/>
      <c r="I55" s="27"/>
      <c r="J55" s="27"/>
      <c r="K55" s="27"/>
      <c r="L55" s="27"/>
      <c r="M55" s="27"/>
      <c r="N55" s="27"/>
      <c r="O55" s="27"/>
      <c r="P55" s="27"/>
      <c r="Q55" s="27"/>
      <c r="R55" s="27"/>
      <c r="S55" s="27"/>
      <c r="T55" s="27"/>
    </row>
    <row r="56" spans="1:20" s="1" customFormat="1" x14ac:dyDescent="0.2">
      <c r="C56" s="445"/>
      <c r="D56" s="445"/>
      <c r="E56" s="445"/>
      <c r="F56" s="445"/>
      <c r="G56" s="445"/>
      <c r="H56" s="628"/>
      <c r="I56" s="445"/>
      <c r="J56" s="445"/>
      <c r="K56" s="628"/>
      <c r="L56" s="445"/>
    </row>
    <row r="57" spans="1:20" s="1" customFormat="1" x14ac:dyDescent="0.2">
      <c r="A57" s="710" t="s">
        <v>359</v>
      </c>
      <c r="B57" s="710"/>
      <c r="C57" s="710"/>
      <c r="D57" s="710"/>
      <c r="E57" s="710"/>
      <c r="F57" s="710"/>
      <c r="G57" s="710"/>
      <c r="H57" s="710"/>
      <c r="I57" s="710"/>
      <c r="J57" s="710"/>
      <c r="K57" s="710"/>
      <c r="L57" s="710"/>
      <c r="M57" s="710"/>
      <c r="N57" s="710"/>
      <c r="O57" s="710"/>
      <c r="P57" s="710"/>
      <c r="Q57" s="710"/>
      <c r="R57" s="710"/>
      <c r="S57" s="710"/>
    </row>
    <row r="58" spans="1:20" s="1" customFormat="1" x14ac:dyDescent="0.2">
      <c r="C58" s="711" t="s">
        <v>360</v>
      </c>
      <c r="D58" s="712"/>
      <c r="S58" s="35"/>
      <c r="T58" s="35"/>
    </row>
    <row r="59" spans="1:20" s="1" customFormat="1" x14ac:dyDescent="0.2">
      <c r="A59" s="426" t="s">
        <v>361</v>
      </c>
      <c r="B59" s="427" t="s">
        <v>333</v>
      </c>
      <c r="C59" s="428">
        <v>-2</v>
      </c>
      <c r="D59" s="428">
        <v>-1</v>
      </c>
      <c r="E59" s="429" t="s">
        <v>362</v>
      </c>
      <c r="F59" s="429" t="s">
        <v>334</v>
      </c>
      <c r="G59" s="429" t="s">
        <v>335</v>
      </c>
      <c r="H59" s="429" t="s">
        <v>336</v>
      </c>
      <c r="I59" s="429" t="s">
        <v>337</v>
      </c>
      <c r="J59" s="429" t="s">
        <v>338</v>
      </c>
      <c r="K59" s="429" t="s">
        <v>339</v>
      </c>
      <c r="L59" s="429" t="s">
        <v>340</v>
      </c>
      <c r="M59" s="429" t="s">
        <v>341</v>
      </c>
      <c r="N59" s="429" t="s">
        <v>342</v>
      </c>
      <c r="O59" s="429" t="s">
        <v>343</v>
      </c>
      <c r="P59" s="429" t="s">
        <v>344</v>
      </c>
      <c r="Q59" s="429" t="s">
        <v>345</v>
      </c>
      <c r="R59" s="429" t="s">
        <v>346</v>
      </c>
      <c r="S59" s="429" t="s">
        <v>347</v>
      </c>
      <c r="T59" s="35">
        <f>+S59+1</f>
        <v>16</v>
      </c>
    </row>
    <row r="60" spans="1:20" s="1" customFormat="1" x14ac:dyDescent="0.2">
      <c r="B60" s="430" t="s">
        <v>363</v>
      </c>
      <c r="C60" s="259"/>
      <c r="D60" s="259"/>
      <c r="E60" s="431"/>
      <c r="F60" s="431"/>
      <c r="G60" s="431"/>
      <c r="H60" s="431"/>
      <c r="I60" s="431"/>
      <c r="J60" s="431"/>
      <c r="K60" s="431"/>
      <c r="L60" s="431"/>
      <c r="M60" s="431"/>
      <c r="N60" s="431"/>
      <c r="O60" s="431"/>
      <c r="P60" s="431"/>
      <c r="Q60" s="431"/>
      <c r="R60" s="431"/>
      <c r="S60" s="431"/>
    </row>
    <row r="61" spans="1:20" s="1" customFormat="1" x14ac:dyDescent="0.2">
      <c r="A61" s="269">
        <v>1.1000000000000001</v>
      </c>
      <c r="B61" s="432" t="s">
        <v>353</v>
      </c>
      <c r="C61" s="269"/>
      <c r="D61" s="269"/>
      <c r="E61" s="433">
        <f t="shared" ref="E61:T61" si="38">F24</f>
        <v>90.926467598588729</v>
      </c>
      <c r="F61" s="433">
        <f t="shared" si="38"/>
        <v>130.73384208220602</v>
      </c>
      <c r="G61" s="433">
        <f t="shared" si="38"/>
        <v>135.46464842928708</v>
      </c>
      <c r="H61" s="433">
        <f t="shared" si="38"/>
        <v>135.46464842928708</v>
      </c>
      <c r="I61" s="433">
        <f t="shared" si="38"/>
        <v>135.46464842928708</v>
      </c>
      <c r="J61" s="433">
        <f t="shared" si="38"/>
        <v>135.46464842928708</v>
      </c>
      <c r="K61" s="433">
        <f t="shared" si="38"/>
        <v>135.46464842928708</v>
      </c>
      <c r="L61" s="433">
        <f t="shared" si="38"/>
        <v>135.46464842928708</v>
      </c>
      <c r="M61" s="433">
        <f t="shared" si="38"/>
        <v>135.46464842928708</v>
      </c>
      <c r="N61" s="433">
        <f t="shared" si="38"/>
        <v>135.46464842928708</v>
      </c>
      <c r="O61" s="433">
        <f t="shared" si="38"/>
        <v>135.46464842928708</v>
      </c>
      <c r="P61" s="433">
        <f t="shared" si="38"/>
        <v>135.46464842928708</v>
      </c>
      <c r="Q61" s="433">
        <f t="shared" si="38"/>
        <v>135.46464842928708</v>
      </c>
      <c r="R61" s="433">
        <f t="shared" si="38"/>
        <v>135.46464842928708</v>
      </c>
      <c r="S61" s="433">
        <f t="shared" si="38"/>
        <v>135.46464842928708</v>
      </c>
      <c r="T61" s="433">
        <f t="shared" si="38"/>
        <v>0</v>
      </c>
    </row>
    <row r="62" spans="1:20" s="1" customFormat="1" x14ac:dyDescent="0.2">
      <c r="A62" s="434">
        <v>2</v>
      </c>
      <c r="B62" s="435" t="s">
        <v>517</v>
      </c>
      <c r="C62" s="269"/>
      <c r="D62" s="269"/>
      <c r="E62" s="433">
        <f>'Working Capital'!D20</f>
        <v>7.244541574280956</v>
      </c>
      <c r="F62" s="433">
        <f>'Working Capital'!E20</f>
        <v>0.90406100052735194</v>
      </c>
      <c r="G62" s="433">
        <f>'Working Capital'!F20</f>
        <v>1.3560915007910275</v>
      </c>
      <c r="H62" s="433">
        <f>'Working Capital'!G20</f>
        <v>0</v>
      </c>
      <c r="I62" s="433">
        <f>'Working Capital'!H20</f>
        <v>0</v>
      </c>
      <c r="J62" s="433">
        <f>'Working Capital'!I20</f>
        <v>0</v>
      </c>
      <c r="K62" s="433">
        <f>'Working Capital'!J20</f>
        <v>0</v>
      </c>
      <c r="L62" s="433">
        <f>'Working Capital'!K20</f>
        <v>0</v>
      </c>
      <c r="M62" s="433">
        <f>'Working Capital'!L20</f>
        <v>0</v>
      </c>
      <c r="N62" s="433">
        <f>'Working Capital'!M20</f>
        <v>0</v>
      </c>
      <c r="O62" s="433">
        <f>'Working Capital'!N20</f>
        <v>0</v>
      </c>
      <c r="P62" s="433">
        <f>'Working Capital'!O20</f>
        <v>0</v>
      </c>
      <c r="Q62" s="433">
        <f>'Working Capital'!P20</f>
        <v>0</v>
      </c>
      <c r="R62" s="433">
        <f>'Working Capital'!Q20</f>
        <v>0</v>
      </c>
      <c r="S62" s="433">
        <f>'Working Capital'!R20</f>
        <v>0</v>
      </c>
      <c r="T62" s="433">
        <f>'Working Capital'!S20</f>
        <v>0</v>
      </c>
    </row>
    <row r="63" spans="1:20" s="1" customFormat="1" x14ac:dyDescent="0.2">
      <c r="A63" s="434">
        <v>3</v>
      </c>
      <c r="B63" s="435" t="s">
        <v>364</v>
      </c>
      <c r="C63" s="270">
        <f>Capex!H83/100</f>
        <v>118.66543750000001</v>
      </c>
      <c r="D63" s="436">
        <f>(Capex!H84+Capex!H85)/100</f>
        <v>237.33087500000002</v>
      </c>
      <c r="E63" s="433">
        <v>0</v>
      </c>
      <c r="F63" s="433">
        <v>0</v>
      </c>
      <c r="G63" s="433">
        <v>0</v>
      </c>
      <c r="H63" s="433">
        <v>0</v>
      </c>
      <c r="I63" s="433">
        <v>0</v>
      </c>
      <c r="J63" s="433">
        <v>0</v>
      </c>
      <c r="K63" s="433">
        <v>0</v>
      </c>
      <c r="L63" s="433">
        <v>0</v>
      </c>
      <c r="M63" s="433">
        <v>0</v>
      </c>
      <c r="N63" s="433">
        <v>0</v>
      </c>
      <c r="O63" s="433">
        <v>0</v>
      </c>
      <c r="P63" s="433">
        <v>0</v>
      </c>
      <c r="Q63" s="433">
        <v>0</v>
      </c>
      <c r="R63" s="433">
        <v>0</v>
      </c>
      <c r="S63" s="433">
        <v>0</v>
      </c>
      <c r="T63" s="433">
        <v>0</v>
      </c>
    </row>
    <row r="64" spans="1:20" s="1" customFormat="1" x14ac:dyDescent="0.2">
      <c r="A64" s="434">
        <v>4</v>
      </c>
      <c r="B64" s="435" t="s">
        <v>525</v>
      </c>
      <c r="C64" s="437">
        <f>Capex!B76/100</f>
        <v>118.66543750000001</v>
      </c>
      <c r="D64" s="269">
        <v>0</v>
      </c>
      <c r="E64" s="433">
        <v>0</v>
      </c>
      <c r="F64" s="433">
        <v>0</v>
      </c>
      <c r="G64" s="433">
        <v>0</v>
      </c>
      <c r="H64" s="433">
        <v>0</v>
      </c>
      <c r="I64" s="433">
        <v>0</v>
      </c>
      <c r="J64" s="433">
        <v>0</v>
      </c>
      <c r="K64" s="433">
        <v>0</v>
      </c>
      <c r="L64" s="433">
        <v>0</v>
      </c>
      <c r="M64" s="433">
        <v>0</v>
      </c>
      <c r="N64" s="433">
        <v>0</v>
      </c>
      <c r="O64" s="433">
        <v>0</v>
      </c>
      <c r="P64" s="433">
        <v>0</v>
      </c>
      <c r="Q64" s="433">
        <v>0</v>
      </c>
      <c r="R64" s="433">
        <v>0</v>
      </c>
      <c r="S64" s="433">
        <v>0</v>
      </c>
      <c r="T64" s="433">
        <v>0</v>
      </c>
    </row>
    <row r="65" spans="1:20" s="1" customFormat="1" x14ac:dyDescent="0.2">
      <c r="A65" s="434">
        <v>5</v>
      </c>
      <c r="B65" s="438" t="s">
        <v>516</v>
      </c>
      <c r="C65" s="439"/>
      <c r="D65" s="439"/>
      <c r="E65" s="439">
        <f t="shared" ref="E65:T65" si="39">F27</f>
        <v>29.856488775000003</v>
      </c>
      <c r="F65" s="439">
        <f t="shared" si="39"/>
        <v>29.856488775000003</v>
      </c>
      <c r="G65" s="439">
        <f t="shared" si="39"/>
        <v>29.856488775000003</v>
      </c>
      <c r="H65" s="439">
        <f t="shared" si="39"/>
        <v>29.856488775000003</v>
      </c>
      <c r="I65" s="439">
        <f t="shared" si="39"/>
        <v>29.856488775000003</v>
      </c>
      <c r="J65" s="439">
        <f t="shared" si="39"/>
        <v>29.856488775000003</v>
      </c>
      <c r="K65" s="439">
        <f t="shared" si="39"/>
        <v>29.856488775000003</v>
      </c>
      <c r="L65" s="439">
        <f t="shared" si="39"/>
        <v>29.856488775000003</v>
      </c>
      <c r="M65" s="439">
        <f t="shared" si="39"/>
        <v>29.856488775000003</v>
      </c>
      <c r="N65" s="439">
        <f t="shared" si="39"/>
        <v>29.856488775000003</v>
      </c>
      <c r="O65" s="439">
        <f t="shared" si="39"/>
        <v>29.856488775000003</v>
      </c>
      <c r="P65" s="439">
        <f t="shared" si="39"/>
        <v>29.856488775000003</v>
      </c>
      <c r="Q65" s="439">
        <f t="shared" si="39"/>
        <v>29.856488775000003</v>
      </c>
      <c r="R65" s="439">
        <f t="shared" si="39"/>
        <v>29.856488775000003</v>
      </c>
      <c r="S65" s="439">
        <f t="shared" si="39"/>
        <v>29.856488775000003</v>
      </c>
      <c r="T65" s="439">
        <f t="shared" si="39"/>
        <v>0</v>
      </c>
    </row>
    <row r="66" spans="1:20" s="1" customFormat="1" x14ac:dyDescent="0.2">
      <c r="A66" s="434"/>
      <c r="B66" s="440" t="s">
        <v>365</v>
      </c>
      <c r="C66" s="433">
        <f>SUM(C61:C65)</f>
        <v>237.33087500000002</v>
      </c>
      <c r="D66" s="433">
        <f t="shared" ref="D66:T66" si="40">SUM(D61:D65)</f>
        <v>237.33087500000002</v>
      </c>
      <c r="E66" s="433">
        <f t="shared" si="40"/>
        <v>128.02749794786968</v>
      </c>
      <c r="F66" s="433">
        <f t="shared" si="40"/>
        <v>161.49439185773338</v>
      </c>
      <c r="G66" s="433">
        <f t="shared" si="40"/>
        <v>166.67722870507811</v>
      </c>
      <c r="H66" s="433">
        <f t="shared" si="40"/>
        <v>165.32113720428708</v>
      </c>
      <c r="I66" s="433">
        <f t="shared" si="40"/>
        <v>165.32113720428708</v>
      </c>
      <c r="J66" s="433">
        <f t="shared" si="40"/>
        <v>165.32113720428708</v>
      </c>
      <c r="K66" s="433">
        <f t="shared" si="40"/>
        <v>165.32113720428708</v>
      </c>
      <c r="L66" s="433">
        <f t="shared" si="40"/>
        <v>165.32113720428708</v>
      </c>
      <c r="M66" s="433">
        <f t="shared" si="40"/>
        <v>165.32113720428708</v>
      </c>
      <c r="N66" s="433">
        <f t="shared" si="40"/>
        <v>165.32113720428708</v>
      </c>
      <c r="O66" s="433">
        <f t="shared" si="40"/>
        <v>165.32113720428708</v>
      </c>
      <c r="P66" s="433">
        <f t="shared" si="40"/>
        <v>165.32113720428708</v>
      </c>
      <c r="Q66" s="433">
        <f t="shared" si="40"/>
        <v>165.32113720428708</v>
      </c>
      <c r="R66" s="433">
        <f t="shared" si="40"/>
        <v>165.32113720428708</v>
      </c>
      <c r="S66" s="433">
        <f t="shared" si="40"/>
        <v>165.32113720428708</v>
      </c>
      <c r="T66" s="433">
        <f t="shared" si="40"/>
        <v>0</v>
      </c>
    </row>
    <row r="67" spans="1:20" s="1" customFormat="1" x14ac:dyDescent="0.2">
      <c r="A67" s="434"/>
      <c r="B67" s="441"/>
      <c r="C67" s="269"/>
      <c r="D67" s="269"/>
      <c r="E67" s="433"/>
      <c r="F67" s="433"/>
      <c r="G67" s="433"/>
      <c r="H67" s="433"/>
      <c r="I67" s="433"/>
      <c r="J67" s="433"/>
      <c r="K67" s="433"/>
      <c r="L67" s="433"/>
      <c r="M67" s="433"/>
      <c r="N67" s="433"/>
      <c r="O67" s="433"/>
      <c r="P67" s="433"/>
      <c r="Q67" s="433"/>
      <c r="R67" s="433"/>
      <c r="S67" s="433"/>
      <c r="T67" s="433"/>
    </row>
    <row r="68" spans="1:20" s="1" customFormat="1" x14ac:dyDescent="0.2">
      <c r="A68" s="434" t="s">
        <v>24</v>
      </c>
      <c r="B68" s="442" t="s">
        <v>366</v>
      </c>
      <c r="C68" s="269"/>
      <c r="D68" s="269"/>
      <c r="E68" s="443"/>
      <c r="F68" s="269"/>
      <c r="G68" s="269"/>
      <c r="H68" s="269"/>
      <c r="I68" s="269"/>
      <c r="J68" s="269"/>
      <c r="K68" s="269"/>
      <c r="L68" s="269"/>
      <c r="M68" s="269"/>
      <c r="N68" s="269"/>
      <c r="O68" s="269"/>
      <c r="P68" s="269"/>
      <c r="Q68" s="269"/>
      <c r="R68" s="269"/>
      <c r="S68" s="269"/>
      <c r="T68" s="269"/>
    </row>
    <row r="69" spans="1:20" s="1" customFormat="1" x14ac:dyDescent="0.2">
      <c r="A69" s="434">
        <v>1</v>
      </c>
      <c r="B69" s="435" t="s">
        <v>367</v>
      </c>
      <c r="C69" s="462">
        <f>Capex!B70/100/2</f>
        <v>237.33087500000002</v>
      </c>
      <c r="D69" s="462">
        <f>C69</f>
        <v>237.33087500000002</v>
      </c>
      <c r="E69" s="443">
        <v>0</v>
      </c>
      <c r="F69" s="269">
        <v>0</v>
      </c>
      <c r="G69" s="269">
        <v>0</v>
      </c>
      <c r="H69" s="269">
        <v>0</v>
      </c>
      <c r="I69" s="269">
        <v>0</v>
      </c>
      <c r="J69" s="269">
        <v>0</v>
      </c>
      <c r="K69" s="269">
        <v>0</v>
      </c>
      <c r="L69" s="269">
        <v>0</v>
      </c>
      <c r="M69" s="269">
        <v>0</v>
      </c>
      <c r="N69" s="269">
        <v>0</v>
      </c>
      <c r="O69" s="269">
        <v>0</v>
      </c>
      <c r="P69" s="269">
        <v>0</v>
      </c>
      <c r="Q69" s="269">
        <v>0</v>
      </c>
      <c r="R69" s="269">
        <v>0</v>
      </c>
      <c r="S69" s="269">
        <v>0</v>
      </c>
      <c r="T69" s="269">
        <v>1</v>
      </c>
    </row>
    <row r="70" spans="1:20" s="1" customFormat="1" x14ac:dyDescent="0.2">
      <c r="A70" s="434">
        <v>2</v>
      </c>
      <c r="B70" s="370" t="s">
        <v>518</v>
      </c>
      <c r="C70" s="269"/>
      <c r="D70" s="269"/>
      <c r="E70" s="444">
        <f>'Working Capital'!D13</f>
        <v>9.6593887657079414</v>
      </c>
      <c r="F70" s="270">
        <f>'Working Capital'!E13-'Working Capital'!D13</f>
        <v>1.2054146673698014</v>
      </c>
      <c r="G70" s="270">
        <f>'Working Capital'!F13-'Working Capital'!E13</f>
        <v>1.8081220010547039</v>
      </c>
      <c r="H70" s="270">
        <f>'Working Capital'!G13-'Working Capital'!F13</f>
        <v>0</v>
      </c>
      <c r="I70" s="270">
        <f>'Working Capital'!H13-'Working Capital'!G13</f>
        <v>0</v>
      </c>
      <c r="J70" s="270">
        <f>'Working Capital'!I13-'Working Capital'!H13</f>
        <v>0</v>
      </c>
      <c r="K70" s="270">
        <f>'Working Capital'!J13-'Working Capital'!I13</f>
        <v>0</v>
      </c>
      <c r="L70" s="270">
        <f>'Working Capital'!K13-'Working Capital'!J13</f>
        <v>0</v>
      </c>
      <c r="M70" s="270">
        <f>'Working Capital'!L13-'Working Capital'!K13</f>
        <v>0</v>
      </c>
      <c r="N70" s="270">
        <f>'Working Capital'!M13-'Working Capital'!L13</f>
        <v>0</v>
      </c>
      <c r="O70" s="270">
        <f>'Working Capital'!N13-'Working Capital'!M13</f>
        <v>0</v>
      </c>
      <c r="P70" s="270">
        <f>'Working Capital'!O13-'Working Capital'!N13</f>
        <v>0</v>
      </c>
      <c r="Q70" s="270">
        <f>'Working Capital'!P13-'Working Capital'!O13</f>
        <v>0</v>
      </c>
      <c r="R70" s="270">
        <f>'Working Capital'!Q13-'Working Capital'!P13</f>
        <v>0</v>
      </c>
      <c r="S70" s="270">
        <f>'Working Capital'!R13-'Working Capital'!Q13</f>
        <v>0</v>
      </c>
      <c r="T70" s="270">
        <f>'Working Capital'!S13-'Working Capital'!R13</f>
        <v>-12.672925434132447</v>
      </c>
    </row>
    <row r="71" spans="1:20" s="1" customFormat="1" x14ac:dyDescent="0.2">
      <c r="A71" s="434">
        <v>3</v>
      </c>
      <c r="B71" s="370" t="s">
        <v>519</v>
      </c>
      <c r="C71" s="433"/>
      <c r="D71" s="433"/>
      <c r="E71" s="433">
        <f>E89</f>
        <v>48.63799619531251</v>
      </c>
      <c r="F71" s="433">
        <f t="shared" ref="F71:T71" si="41">F89</f>
        <v>48.63799619531251</v>
      </c>
      <c r="G71" s="433">
        <f t="shared" si="41"/>
        <v>48.63799619531251</v>
      </c>
      <c r="H71" s="433">
        <f t="shared" si="41"/>
        <v>48.63799619531251</v>
      </c>
      <c r="I71" s="433">
        <f t="shared" si="41"/>
        <v>48.63799619531251</v>
      </c>
      <c r="J71" s="433">
        <f t="shared" si="41"/>
        <v>48.63799619531251</v>
      </c>
      <c r="K71" s="433">
        <f t="shared" si="41"/>
        <v>48.63799619531251</v>
      </c>
      <c r="L71" s="433">
        <f t="shared" si="41"/>
        <v>48.63799619531251</v>
      </c>
      <c r="M71" s="433">
        <f>M89</f>
        <v>0</v>
      </c>
      <c r="N71" s="433">
        <f t="shared" si="41"/>
        <v>0</v>
      </c>
      <c r="O71" s="433">
        <f t="shared" si="41"/>
        <v>0</v>
      </c>
      <c r="P71" s="433">
        <f t="shared" si="41"/>
        <v>0</v>
      </c>
      <c r="Q71" s="433">
        <f t="shared" si="41"/>
        <v>0</v>
      </c>
      <c r="R71" s="433">
        <f t="shared" si="41"/>
        <v>0</v>
      </c>
      <c r="S71" s="433">
        <f t="shared" si="41"/>
        <v>0</v>
      </c>
      <c r="T71" s="433">
        <f t="shared" si="41"/>
        <v>0</v>
      </c>
    </row>
    <row r="72" spans="1:20" s="1" customFormat="1" x14ac:dyDescent="0.2">
      <c r="A72" s="434">
        <v>4</v>
      </c>
      <c r="B72" s="370" t="s">
        <v>368</v>
      </c>
      <c r="C72" s="269"/>
      <c r="D72" s="269"/>
      <c r="E72" s="433">
        <f t="shared" ref="E72:T72" si="42">F26</f>
        <v>35.019357260625007</v>
      </c>
      <c r="F72" s="433">
        <f t="shared" si="42"/>
        <v>30.64193760304688</v>
      </c>
      <c r="G72" s="433">
        <f t="shared" si="42"/>
        <v>26.264517945468757</v>
      </c>
      <c r="H72" s="433">
        <f t="shared" si="42"/>
        <v>21.887098287890634</v>
      </c>
      <c r="I72" s="433">
        <f t="shared" si="42"/>
        <v>17.509678630312507</v>
      </c>
      <c r="J72" s="433">
        <f t="shared" si="42"/>
        <v>13.132258972734384</v>
      </c>
      <c r="K72" s="433">
        <f t="shared" si="42"/>
        <v>8.7548393151562571</v>
      </c>
      <c r="L72" s="433">
        <f t="shared" si="42"/>
        <v>4.3774196575781321</v>
      </c>
      <c r="M72" s="433">
        <f t="shared" si="42"/>
        <v>6.394884621840901E-15</v>
      </c>
      <c r="N72" s="433">
        <f t="shared" si="42"/>
        <v>6.394884621840901E-15</v>
      </c>
      <c r="O72" s="433">
        <f t="shared" si="42"/>
        <v>6.394884621840901E-15</v>
      </c>
      <c r="P72" s="433">
        <f t="shared" si="42"/>
        <v>6.394884621840901E-15</v>
      </c>
      <c r="Q72" s="433">
        <f t="shared" si="42"/>
        <v>6.394884621840901E-15</v>
      </c>
      <c r="R72" s="433">
        <f t="shared" si="42"/>
        <v>6.394884621840901E-15</v>
      </c>
      <c r="S72" s="433">
        <f t="shared" si="42"/>
        <v>6.394884621840901E-15</v>
      </c>
      <c r="T72" s="433">
        <f t="shared" si="42"/>
        <v>0</v>
      </c>
    </row>
    <row r="73" spans="1:20" s="1" customFormat="1" x14ac:dyDescent="0.2">
      <c r="A73" s="434">
        <v>5</v>
      </c>
      <c r="B73" s="370" t="s">
        <v>520</v>
      </c>
      <c r="C73" s="269"/>
      <c r="D73" s="270"/>
      <c r="E73" s="444">
        <f t="shared" ref="E73:T73" si="43">F25</f>
        <v>0.5795633259424765</v>
      </c>
      <c r="F73" s="444">
        <f t="shared" si="43"/>
        <v>0.65188820598466468</v>
      </c>
      <c r="G73" s="444">
        <f t="shared" si="43"/>
        <v>0.76037552604794689</v>
      </c>
      <c r="H73" s="444">
        <f t="shared" si="43"/>
        <v>0.76037552604794689</v>
      </c>
      <c r="I73" s="444">
        <f t="shared" si="43"/>
        <v>0.76037552604794689</v>
      </c>
      <c r="J73" s="444">
        <f t="shared" si="43"/>
        <v>0.76037552604794689</v>
      </c>
      <c r="K73" s="444">
        <f t="shared" si="43"/>
        <v>0.76037552604794689</v>
      </c>
      <c r="L73" s="444">
        <f t="shared" si="43"/>
        <v>0.76037552604794689</v>
      </c>
      <c r="M73" s="444">
        <f t="shared" si="43"/>
        <v>0.76037552604794689</v>
      </c>
      <c r="N73" s="444">
        <f t="shared" si="43"/>
        <v>0.76037552604794689</v>
      </c>
      <c r="O73" s="444">
        <f t="shared" si="43"/>
        <v>0.76037552604794689</v>
      </c>
      <c r="P73" s="444">
        <f t="shared" si="43"/>
        <v>0.76037552604794689</v>
      </c>
      <c r="Q73" s="444">
        <f t="shared" si="43"/>
        <v>0.76037552604794689</v>
      </c>
      <c r="R73" s="444">
        <f t="shared" si="43"/>
        <v>0.76037552604794689</v>
      </c>
      <c r="S73" s="444">
        <f t="shared" si="43"/>
        <v>0.76037552604794689</v>
      </c>
      <c r="T73" s="444">
        <f t="shared" si="43"/>
        <v>0</v>
      </c>
    </row>
    <row r="74" spans="1:20" s="1" customFormat="1" x14ac:dyDescent="0.2">
      <c r="A74" s="434">
        <v>6</v>
      </c>
      <c r="B74" s="383" t="s">
        <v>521</v>
      </c>
      <c r="C74" s="269"/>
      <c r="D74" s="269"/>
      <c r="E74" s="433">
        <f t="shared" ref="E74:T74" si="44">F29</f>
        <v>17.431357987186846</v>
      </c>
      <c r="F74" s="433">
        <f t="shared" si="44"/>
        <v>35.047419469942078</v>
      </c>
      <c r="G74" s="433">
        <f t="shared" si="44"/>
        <v>39.851507421586078</v>
      </c>
      <c r="H74" s="433">
        <f t="shared" si="44"/>
        <v>42.530762644048082</v>
      </c>
      <c r="I74" s="433">
        <f t="shared" si="44"/>
        <v>44.808978722340775</v>
      </c>
      <c r="J74" s="433">
        <f t="shared" si="44"/>
        <v>46.746226614169579</v>
      </c>
      <c r="K74" s="433">
        <f t="shared" si="44"/>
        <v>48.393575124976046</v>
      </c>
      <c r="L74" s="433">
        <f t="shared" si="44"/>
        <v>49.79444038163836</v>
      </c>
      <c r="M74" s="433">
        <f t="shared" si="44"/>
        <v>50.985732970030433</v>
      </c>
      <c r="N74" s="433">
        <f t="shared" si="44"/>
        <v>51.998833078369906</v>
      </c>
      <c r="O74" s="433">
        <f t="shared" si="44"/>
        <v>52.860419437844051</v>
      </c>
      <c r="P74" s="433">
        <f t="shared" si="44"/>
        <v>53.593173984044093</v>
      </c>
      <c r="Q74" s="433">
        <f t="shared" si="44"/>
        <v>54.216380874896466</v>
      </c>
      <c r="R74" s="433">
        <f t="shared" si="44"/>
        <v>54.746435706045069</v>
      </c>
      <c r="S74" s="433">
        <f t="shared" si="44"/>
        <v>55.197278389053061</v>
      </c>
      <c r="T74" s="433">
        <f t="shared" si="44"/>
        <v>0</v>
      </c>
    </row>
    <row r="75" spans="1:20" s="1" customFormat="1" x14ac:dyDescent="0.2">
      <c r="A75" s="434"/>
      <c r="B75" s="441" t="s">
        <v>369</v>
      </c>
      <c r="C75" s="433">
        <f t="shared" ref="C75:T75" si="45">SUM(C69:C74)</f>
        <v>237.33087500000002</v>
      </c>
      <c r="D75" s="433">
        <f t="shared" si="45"/>
        <v>237.33087500000002</v>
      </c>
      <c r="E75" s="433">
        <f t="shared" si="45"/>
        <v>111.32766353477477</v>
      </c>
      <c r="F75" s="270">
        <f t="shared" si="45"/>
        <v>116.18465614165592</v>
      </c>
      <c r="G75" s="270">
        <f t="shared" si="45"/>
        <v>117.32251908947001</v>
      </c>
      <c r="H75" s="270">
        <f t="shared" si="45"/>
        <v>113.81623265329918</v>
      </c>
      <c r="I75" s="270">
        <f t="shared" si="45"/>
        <v>111.71702907401374</v>
      </c>
      <c r="J75" s="270">
        <f t="shared" si="45"/>
        <v>109.27685730826443</v>
      </c>
      <c r="K75" s="270">
        <f t="shared" si="45"/>
        <v>106.54678616149276</v>
      </c>
      <c r="L75" s="270">
        <f t="shared" si="45"/>
        <v>103.57023176057695</v>
      </c>
      <c r="M75" s="270">
        <f t="shared" si="45"/>
        <v>51.746108496078385</v>
      </c>
      <c r="N75" s="270">
        <f t="shared" si="45"/>
        <v>52.759208604417857</v>
      </c>
      <c r="O75" s="270">
        <f t="shared" si="45"/>
        <v>53.620794963892003</v>
      </c>
      <c r="P75" s="270">
        <f t="shared" si="45"/>
        <v>54.353549510092044</v>
      </c>
      <c r="Q75" s="270">
        <f t="shared" si="45"/>
        <v>54.976756400944417</v>
      </c>
      <c r="R75" s="270">
        <f t="shared" si="45"/>
        <v>55.506811232093021</v>
      </c>
      <c r="S75" s="270">
        <f t="shared" si="45"/>
        <v>55.957653915101012</v>
      </c>
      <c r="T75" s="270">
        <f t="shared" si="45"/>
        <v>-11.672925434132447</v>
      </c>
    </row>
    <row r="76" spans="1:20" s="1" customFormat="1" x14ac:dyDescent="0.2">
      <c r="A76" s="434" t="s">
        <v>370</v>
      </c>
      <c r="B76" s="441" t="s">
        <v>371</v>
      </c>
      <c r="C76" s="433">
        <f t="shared" ref="C76:T76" si="46">C66-C75</f>
        <v>0</v>
      </c>
      <c r="D76" s="433">
        <f t="shared" si="46"/>
        <v>0</v>
      </c>
      <c r="E76" s="433">
        <f t="shared" si="46"/>
        <v>16.699834413094905</v>
      </c>
      <c r="F76" s="433">
        <f t="shared" si="46"/>
        <v>45.309735716077455</v>
      </c>
      <c r="G76" s="433">
        <f t="shared" si="46"/>
        <v>49.354709615608101</v>
      </c>
      <c r="H76" s="433">
        <f t="shared" si="46"/>
        <v>51.504904550987902</v>
      </c>
      <c r="I76" s="433">
        <f t="shared" si="46"/>
        <v>53.604108130273346</v>
      </c>
      <c r="J76" s="433">
        <f t="shared" si="46"/>
        <v>56.044279896022658</v>
      </c>
      <c r="K76" s="433">
        <f t="shared" si="46"/>
        <v>58.774351042794322</v>
      </c>
      <c r="L76" s="433">
        <f t="shared" si="46"/>
        <v>61.750905443710138</v>
      </c>
      <c r="M76" s="433">
        <f t="shared" si="46"/>
        <v>113.57502870820869</v>
      </c>
      <c r="N76" s="433">
        <f t="shared" si="46"/>
        <v>112.56192859986922</v>
      </c>
      <c r="O76" s="433">
        <f t="shared" si="46"/>
        <v>111.70034224039509</v>
      </c>
      <c r="P76" s="433">
        <f t="shared" si="46"/>
        <v>110.96758769419503</v>
      </c>
      <c r="Q76" s="433">
        <f t="shared" si="46"/>
        <v>110.34438080334266</v>
      </c>
      <c r="R76" s="433">
        <f t="shared" si="46"/>
        <v>109.81432597219407</v>
      </c>
      <c r="S76" s="433">
        <f t="shared" si="46"/>
        <v>109.36348328918606</v>
      </c>
      <c r="T76" s="433">
        <f t="shared" si="46"/>
        <v>11.672925434132447</v>
      </c>
    </row>
    <row r="77" spans="1:20" s="1" customFormat="1" x14ac:dyDescent="0.2">
      <c r="A77" s="434" t="s">
        <v>372</v>
      </c>
      <c r="B77" s="441" t="s">
        <v>522</v>
      </c>
      <c r="C77" s="269"/>
      <c r="D77" s="269"/>
      <c r="E77" s="433">
        <f>E76</f>
        <v>16.699834413094905</v>
      </c>
      <c r="F77" s="270">
        <f>F76+E77</f>
        <v>62.00957012917236</v>
      </c>
      <c r="G77" s="270">
        <f t="shared" ref="G77:T77" si="47">G76+F77</f>
        <v>111.36427974478046</v>
      </c>
      <c r="H77" s="270">
        <f t="shared" si="47"/>
        <v>162.86918429576838</v>
      </c>
      <c r="I77" s="270">
        <f t="shared" si="47"/>
        <v>216.47329242604172</v>
      </c>
      <c r="J77" s="270">
        <f t="shared" si="47"/>
        <v>272.51757232206438</v>
      </c>
      <c r="K77" s="270">
        <f t="shared" si="47"/>
        <v>331.29192336485869</v>
      </c>
      <c r="L77" s="270">
        <f t="shared" si="47"/>
        <v>393.04282880856886</v>
      </c>
      <c r="M77" s="270">
        <f t="shared" si="47"/>
        <v>506.61785751677758</v>
      </c>
      <c r="N77" s="270">
        <f t="shared" si="47"/>
        <v>619.17978611664682</v>
      </c>
      <c r="O77" s="270">
        <f t="shared" si="47"/>
        <v>730.88012835704194</v>
      </c>
      <c r="P77" s="270">
        <f t="shared" si="47"/>
        <v>841.84771605123694</v>
      </c>
      <c r="Q77" s="270">
        <f t="shared" si="47"/>
        <v>952.19209685457963</v>
      </c>
      <c r="R77" s="270">
        <f t="shared" si="47"/>
        <v>1062.0064228267738</v>
      </c>
      <c r="S77" s="270">
        <f t="shared" si="47"/>
        <v>1171.3699061159598</v>
      </c>
      <c r="T77" s="270">
        <f t="shared" si="47"/>
        <v>1183.0428315500922</v>
      </c>
    </row>
    <row r="78" spans="1:20" s="1" customFormat="1" x14ac:dyDescent="0.2">
      <c r="E78" s="166"/>
      <c r="F78" s="166"/>
      <c r="G78" s="166"/>
      <c r="H78" s="166"/>
      <c r="I78" s="166"/>
      <c r="J78" s="166"/>
      <c r="K78" s="166"/>
      <c r="L78" s="166"/>
      <c r="M78" s="166"/>
      <c r="N78" s="166"/>
      <c r="O78" s="166"/>
      <c r="P78" s="166"/>
      <c r="Q78" s="166"/>
      <c r="R78" s="166"/>
      <c r="S78" s="166"/>
    </row>
    <row r="79" spans="1:20" s="1" customFormat="1" x14ac:dyDescent="0.2">
      <c r="F79" s="445"/>
    </row>
    <row r="80" spans="1:20" s="1" customFormat="1" x14ac:dyDescent="0.2">
      <c r="A80" s="555"/>
      <c r="B80" s="555" t="s">
        <v>287</v>
      </c>
      <c r="C80" s="446"/>
      <c r="D80" s="446"/>
      <c r="E80" s="446"/>
      <c r="F80" s="446"/>
      <c r="G80" s="446"/>
      <c r="H80" s="446"/>
      <c r="I80" s="446"/>
      <c r="J80" s="446"/>
      <c r="K80" s="446"/>
      <c r="L80" s="446"/>
      <c r="M80" s="446"/>
      <c r="N80" s="446"/>
      <c r="O80" s="446"/>
      <c r="P80" s="446"/>
      <c r="Q80" s="446"/>
      <c r="R80" s="446"/>
    </row>
    <row r="81" spans="1:20" s="317" customFormat="1" x14ac:dyDescent="0.2">
      <c r="A81" s="556"/>
      <c r="B81" s="557"/>
      <c r="C81" s="446"/>
      <c r="D81" s="446"/>
      <c r="E81" s="446"/>
      <c r="F81" s="446"/>
      <c r="G81" s="446"/>
      <c r="H81" s="446"/>
      <c r="I81" s="446"/>
      <c r="J81" s="446"/>
      <c r="K81" s="446"/>
      <c r="L81" s="446"/>
      <c r="M81" s="446"/>
      <c r="N81" s="446"/>
      <c r="O81" s="446"/>
      <c r="P81" s="446"/>
      <c r="Q81" s="446"/>
      <c r="R81" s="446"/>
    </row>
    <row r="82" spans="1:20" s="317" customFormat="1" x14ac:dyDescent="0.2">
      <c r="A82" s="446"/>
      <c r="B82" s="558" t="s">
        <v>288</v>
      </c>
      <c r="C82" s="559">
        <v>1</v>
      </c>
      <c r="D82" s="446"/>
      <c r="E82" s="446"/>
      <c r="F82" s="446"/>
      <c r="G82" s="446"/>
      <c r="H82" s="446"/>
      <c r="I82" s="446"/>
      <c r="J82" s="446"/>
      <c r="K82" s="446"/>
      <c r="L82" s="446"/>
      <c r="M82" s="446"/>
      <c r="N82" s="446"/>
      <c r="O82" s="446"/>
      <c r="P82" s="446"/>
      <c r="Q82" s="446"/>
      <c r="R82" s="446"/>
    </row>
    <row r="83" spans="1:20" s="317" customFormat="1" x14ac:dyDescent="0.2">
      <c r="A83" s="446"/>
      <c r="B83" s="560" t="s">
        <v>289</v>
      </c>
      <c r="C83" s="561">
        <v>8</v>
      </c>
      <c r="D83" s="446"/>
      <c r="E83" s="446"/>
      <c r="F83" s="446"/>
      <c r="G83" s="446"/>
      <c r="H83" s="446"/>
      <c r="I83" s="446"/>
      <c r="J83" s="446"/>
      <c r="K83" s="446"/>
      <c r="L83" s="446"/>
      <c r="M83" s="446"/>
      <c r="N83" s="446"/>
      <c r="O83" s="446"/>
      <c r="P83" s="446"/>
      <c r="Q83" s="446"/>
      <c r="R83" s="446"/>
    </row>
    <row r="84" spans="1:20" s="317" customFormat="1" x14ac:dyDescent="0.2">
      <c r="A84" s="446"/>
      <c r="B84" s="560" t="s">
        <v>280</v>
      </c>
      <c r="C84" s="562">
        <f>Norms!B52</f>
        <v>0.09</v>
      </c>
      <c r="D84" s="446"/>
      <c r="E84" s="446"/>
      <c r="F84" s="446"/>
      <c r="G84" s="446"/>
      <c r="H84" s="446"/>
      <c r="I84" s="446"/>
      <c r="J84" s="446"/>
      <c r="K84" s="446"/>
      <c r="L84" s="446"/>
      <c r="M84" s="446"/>
      <c r="N84" s="446"/>
      <c r="O84" s="446"/>
      <c r="P84" s="446"/>
      <c r="Q84" s="446"/>
      <c r="R84" s="446"/>
    </row>
    <row r="85" spans="1:20" s="317" customFormat="1" x14ac:dyDescent="0.2">
      <c r="A85" s="446"/>
      <c r="B85" s="560" t="s">
        <v>290</v>
      </c>
      <c r="C85" s="563">
        <f>Capex!B75/100</f>
        <v>389.10396956250008</v>
      </c>
      <c r="D85" s="564"/>
      <c r="E85" s="446"/>
      <c r="F85" s="446"/>
      <c r="G85" s="446"/>
      <c r="H85" s="446"/>
      <c r="I85" s="446"/>
      <c r="J85" s="446"/>
      <c r="K85" s="446"/>
      <c r="L85" s="446"/>
      <c r="M85" s="446"/>
      <c r="N85" s="446"/>
      <c r="O85" s="446"/>
      <c r="P85" s="446"/>
      <c r="Q85" s="446"/>
      <c r="R85" s="446"/>
    </row>
    <row r="86" spans="1:20" s="317" customFormat="1" x14ac:dyDescent="0.2">
      <c r="A86" s="446"/>
      <c r="B86" s="560" t="s">
        <v>291</v>
      </c>
      <c r="C86" s="563">
        <f>C85/C83</f>
        <v>48.63799619531251</v>
      </c>
      <c r="D86" s="446"/>
      <c r="E86" s="446"/>
      <c r="F86" s="446"/>
      <c r="G86" s="446"/>
      <c r="H86" s="446"/>
      <c r="I86" s="446"/>
      <c r="J86" s="446"/>
      <c r="K86" s="446"/>
      <c r="L86" s="446"/>
      <c r="M86" s="446"/>
      <c r="N86" s="446"/>
      <c r="O86" s="446"/>
      <c r="P86" s="446"/>
      <c r="Q86" s="446"/>
      <c r="R86" s="446"/>
    </row>
    <row r="87" spans="1:20" s="317" customFormat="1" x14ac:dyDescent="0.2">
      <c r="A87" s="446"/>
      <c r="B87" s="446"/>
      <c r="C87" s="446"/>
      <c r="D87" s="446"/>
      <c r="E87" s="446"/>
      <c r="F87" s="446"/>
      <c r="G87" s="446"/>
      <c r="H87" s="446"/>
      <c r="I87" s="446"/>
      <c r="J87" s="446"/>
      <c r="K87" s="446"/>
      <c r="L87" s="446"/>
      <c r="M87" s="446"/>
      <c r="N87" s="446"/>
      <c r="O87" s="446"/>
      <c r="P87" s="446"/>
      <c r="Q87" s="446"/>
      <c r="R87" s="446"/>
    </row>
    <row r="88" spans="1:20" s="317" customFormat="1" x14ac:dyDescent="0.2">
      <c r="A88" s="565"/>
      <c r="B88" s="565"/>
      <c r="C88" s="566" t="s">
        <v>496</v>
      </c>
      <c r="D88" s="567">
        <v>-1</v>
      </c>
      <c r="E88" s="567">
        <v>1</v>
      </c>
      <c r="F88" s="567">
        <v>2</v>
      </c>
      <c r="G88" s="567">
        <v>3</v>
      </c>
      <c r="H88" s="567">
        <v>4</v>
      </c>
      <c r="I88" s="567">
        <v>5</v>
      </c>
      <c r="J88" s="567">
        <v>6</v>
      </c>
      <c r="K88" s="567">
        <v>7</v>
      </c>
      <c r="L88" s="567">
        <v>8</v>
      </c>
      <c r="M88" s="567">
        <v>9</v>
      </c>
      <c r="N88" s="567">
        <v>10</v>
      </c>
      <c r="O88" s="567">
        <v>11</v>
      </c>
      <c r="P88" s="567">
        <v>12</v>
      </c>
      <c r="Q88" s="567">
        <v>13</v>
      </c>
      <c r="R88" s="567">
        <v>14</v>
      </c>
      <c r="S88" s="449">
        <v>15</v>
      </c>
    </row>
    <row r="89" spans="1:20" s="317" customFormat="1" x14ac:dyDescent="0.2">
      <c r="A89" s="560"/>
      <c r="B89" s="560" t="s">
        <v>293</v>
      </c>
      <c r="C89" s="559"/>
      <c r="D89" s="559"/>
      <c r="E89" s="561">
        <f>IF(E88&lt;=$C$83,$C$86,0)</f>
        <v>48.63799619531251</v>
      </c>
      <c r="F89" s="561">
        <f t="shared" ref="F89:S89" si="48">IF(F88&lt;=$C$83,$C$86,0)</f>
        <v>48.63799619531251</v>
      </c>
      <c r="G89" s="561">
        <f t="shared" si="48"/>
        <v>48.63799619531251</v>
      </c>
      <c r="H89" s="561">
        <f t="shared" si="48"/>
        <v>48.63799619531251</v>
      </c>
      <c r="I89" s="561">
        <f t="shared" si="48"/>
        <v>48.63799619531251</v>
      </c>
      <c r="J89" s="561">
        <f t="shared" si="48"/>
        <v>48.63799619531251</v>
      </c>
      <c r="K89" s="561">
        <f t="shared" si="48"/>
        <v>48.63799619531251</v>
      </c>
      <c r="L89" s="561">
        <f t="shared" si="48"/>
        <v>48.63799619531251</v>
      </c>
      <c r="M89" s="561">
        <f t="shared" si="48"/>
        <v>0</v>
      </c>
      <c r="N89" s="561">
        <f t="shared" si="48"/>
        <v>0</v>
      </c>
      <c r="O89" s="561">
        <f t="shared" si="48"/>
        <v>0</v>
      </c>
      <c r="P89" s="561">
        <f t="shared" si="48"/>
        <v>0</v>
      </c>
      <c r="Q89" s="561">
        <f t="shared" si="48"/>
        <v>0</v>
      </c>
      <c r="R89" s="561">
        <f t="shared" si="48"/>
        <v>0</v>
      </c>
      <c r="S89" s="447">
        <f t="shared" si="48"/>
        <v>0</v>
      </c>
    </row>
    <row r="90" spans="1:20" s="317" customFormat="1" x14ac:dyDescent="0.2">
      <c r="A90" s="560"/>
      <c r="B90" s="560" t="s">
        <v>294</v>
      </c>
      <c r="C90" s="563"/>
      <c r="D90" s="563"/>
      <c r="E90" s="563">
        <f>C85</f>
        <v>389.10396956250008</v>
      </c>
      <c r="F90" s="563">
        <f>E90-E89</f>
        <v>340.46597336718759</v>
      </c>
      <c r="G90" s="563">
        <f t="shared" ref="G90:S90" si="49">F90-F89</f>
        <v>291.82797717187509</v>
      </c>
      <c r="H90" s="563">
        <f t="shared" si="49"/>
        <v>243.18998097656259</v>
      </c>
      <c r="I90" s="563">
        <f t="shared" si="49"/>
        <v>194.5519847812501</v>
      </c>
      <c r="J90" s="563">
        <f t="shared" si="49"/>
        <v>145.9139885859376</v>
      </c>
      <c r="K90" s="563">
        <f t="shared" si="49"/>
        <v>97.275992390625092</v>
      </c>
      <c r="L90" s="563">
        <f t="shared" si="49"/>
        <v>48.637996195312581</v>
      </c>
      <c r="M90" s="563">
        <f t="shared" si="49"/>
        <v>7.1054273576010019E-14</v>
      </c>
      <c r="N90" s="563">
        <f t="shared" si="49"/>
        <v>7.1054273576010019E-14</v>
      </c>
      <c r="O90" s="563">
        <f t="shared" si="49"/>
        <v>7.1054273576010019E-14</v>
      </c>
      <c r="P90" s="563">
        <f t="shared" si="49"/>
        <v>7.1054273576010019E-14</v>
      </c>
      <c r="Q90" s="563">
        <f t="shared" si="49"/>
        <v>7.1054273576010019E-14</v>
      </c>
      <c r="R90" s="563">
        <f t="shared" si="49"/>
        <v>7.1054273576010019E-14</v>
      </c>
      <c r="S90" s="448">
        <f t="shared" si="49"/>
        <v>7.1054273576010019E-14</v>
      </c>
    </row>
    <row r="91" spans="1:20" s="317" customFormat="1" x14ac:dyDescent="0.2">
      <c r="A91" s="560"/>
      <c r="B91" s="560" t="s">
        <v>495</v>
      </c>
      <c r="C91" s="561"/>
      <c r="D91" s="561"/>
      <c r="E91" s="561">
        <f t="shared" ref="E91:S91" si="50">E90*$C$84</f>
        <v>35.019357260625007</v>
      </c>
      <c r="F91" s="561">
        <f t="shared" si="50"/>
        <v>30.64193760304688</v>
      </c>
      <c r="G91" s="561">
        <f t="shared" si="50"/>
        <v>26.264517945468757</v>
      </c>
      <c r="H91" s="561">
        <f t="shared" si="50"/>
        <v>21.887098287890634</v>
      </c>
      <c r="I91" s="561">
        <f t="shared" si="50"/>
        <v>17.509678630312507</v>
      </c>
      <c r="J91" s="561">
        <f t="shared" si="50"/>
        <v>13.132258972734384</v>
      </c>
      <c r="K91" s="561">
        <f t="shared" si="50"/>
        <v>8.7548393151562571</v>
      </c>
      <c r="L91" s="561">
        <f t="shared" si="50"/>
        <v>4.3774196575781321</v>
      </c>
      <c r="M91" s="561">
        <f t="shared" si="50"/>
        <v>6.394884621840901E-15</v>
      </c>
      <c r="N91" s="561">
        <f t="shared" si="50"/>
        <v>6.394884621840901E-15</v>
      </c>
      <c r="O91" s="561">
        <f t="shared" si="50"/>
        <v>6.394884621840901E-15</v>
      </c>
      <c r="P91" s="561">
        <f t="shared" si="50"/>
        <v>6.394884621840901E-15</v>
      </c>
      <c r="Q91" s="561">
        <f t="shared" si="50"/>
        <v>6.394884621840901E-15</v>
      </c>
      <c r="R91" s="561">
        <f t="shared" si="50"/>
        <v>6.394884621840901E-15</v>
      </c>
      <c r="S91" s="447">
        <f t="shared" si="50"/>
        <v>6.394884621840901E-15</v>
      </c>
    </row>
    <row r="92" spans="1:20" s="317" customFormat="1" x14ac:dyDescent="0.2">
      <c r="A92" s="347"/>
      <c r="B92" s="347"/>
      <c r="C92" s="347"/>
      <c r="D92" s="347"/>
      <c r="E92" s="347"/>
      <c r="F92" s="347"/>
      <c r="G92" s="347"/>
      <c r="H92" s="347"/>
      <c r="I92" s="347"/>
      <c r="J92" s="347"/>
      <c r="K92" s="347"/>
      <c r="L92" s="347"/>
      <c r="M92" s="347"/>
      <c r="N92" s="347"/>
      <c r="O92" s="347"/>
      <c r="P92" s="347"/>
      <c r="Q92" s="347"/>
      <c r="R92" s="347"/>
    </row>
    <row r="93" spans="1:20" s="1" customFormat="1" x14ac:dyDescent="0.2">
      <c r="A93" s="347"/>
      <c r="B93" s="347"/>
      <c r="C93" s="347"/>
      <c r="D93" s="347"/>
      <c r="E93" s="347"/>
      <c r="F93" s="347"/>
      <c r="G93" s="347"/>
      <c r="H93" s="347"/>
      <c r="I93" s="347"/>
      <c r="J93" s="347"/>
      <c r="K93" s="347"/>
      <c r="L93" s="347"/>
      <c r="M93" s="347"/>
      <c r="N93" s="347"/>
      <c r="O93" s="347"/>
      <c r="P93" s="347"/>
      <c r="Q93" s="347"/>
      <c r="R93" s="347"/>
    </row>
    <row r="94" spans="1:20" s="317" customFormat="1" x14ac:dyDescent="0.2">
      <c r="A94" s="713" t="s">
        <v>373</v>
      </c>
      <c r="B94" s="713"/>
      <c r="C94" s="713"/>
      <c r="D94" s="713"/>
      <c r="E94" s="713"/>
      <c r="F94" s="713"/>
      <c r="G94" s="713"/>
      <c r="H94" s="713"/>
      <c r="I94" s="713"/>
      <c r="J94" s="713"/>
      <c r="K94" s="713"/>
      <c r="L94" s="713"/>
      <c r="M94" s="713"/>
      <c r="N94" s="713"/>
      <c r="O94" s="713"/>
      <c r="P94" s="713"/>
      <c r="Q94" s="713"/>
      <c r="R94" s="347"/>
    </row>
    <row r="95" spans="1:20" s="317" customFormat="1" x14ac:dyDescent="0.2">
      <c r="A95" s="568" t="s">
        <v>332</v>
      </c>
      <c r="B95" s="569" t="s">
        <v>333</v>
      </c>
      <c r="C95" s="570" t="s">
        <v>362</v>
      </c>
      <c r="D95" s="570" t="s">
        <v>334</v>
      </c>
      <c r="E95" s="570" t="s">
        <v>335</v>
      </c>
      <c r="F95" s="570" t="s">
        <v>336</v>
      </c>
      <c r="G95" s="570" t="s">
        <v>337</v>
      </c>
      <c r="H95" s="570" t="s">
        <v>338</v>
      </c>
      <c r="I95" s="570" t="s">
        <v>339</v>
      </c>
      <c r="J95" s="570" t="s">
        <v>340</v>
      </c>
      <c r="K95" s="570" t="s">
        <v>341</v>
      </c>
      <c r="L95" s="570" t="s">
        <v>342</v>
      </c>
      <c r="M95" s="570">
        <v>11</v>
      </c>
      <c r="N95" s="570" t="s">
        <v>344</v>
      </c>
      <c r="O95" s="570" t="s">
        <v>345</v>
      </c>
      <c r="P95" s="570" t="s">
        <v>346</v>
      </c>
      <c r="Q95" s="570" t="s">
        <v>347</v>
      </c>
      <c r="R95" s="570" t="s">
        <v>374</v>
      </c>
      <c r="S95" s="450" t="s">
        <v>375</v>
      </c>
      <c r="T95" s="450" t="s">
        <v>376</v>
      </c>
    </row>
    <row r="96" spans="1:20" s="317" customFormat="1" x14ac:dyDescent="0.2">
      <c r="A96" s="568" t="s">
        <v>348</v>
      </c>
      <c r="B96" s="569"/>
      <c r="C96" s="571"/>
      <c r="D96" s="571"/>
      <c r="E96" s="571"/>
      <c r="F96" s="571"/>
      <c r="G96" s="571"/>
      <c r="H96" s="571"/>
      <c r="I96" s="571"/>
      <c r="J96" s="571"/>
      <c r="K96" s="571"/>
      <c r="L96" s="571"/>
      <c r="M96" s="571"/>
      <c r="N96" s="571"/>
      <c r="O96" s="571"/>
      <c r="P96" s="571"/>
      <c r="Q96" s="571"/>
      <c r="R96" s="571"/>
      <c r="S96" s="451"/>
      <c r="T96" s="451"/>
    </row>
    <row r="97" spans="1:21" s="317" customFormat="1" x14ac:dyDescent="0.2">
      <c r="A97" s="572">
        <v>1</v>
      </c>
      <c r="B97" s="573" t="s">
        <v>377</v>
      </c>
      <c r="C97" s="574">
        <f t="shared" ref="C97:T97" si="51">F24</f>
        <v>90.926467598588729</v>
      </c>
      <c r="D97" s="574">
        <f t="shared" si="51"/>
        <v>130.73384208220602</v>
      </c>
      <c r="E97" s="574">
        <f t="shared" si="51"/>
        <v>135.46464842928708</v>
      </c>
      <c r="F97" s="574">
        <f t="shared" si="51"/>
        <v>135.46464842928708</v>
      </c>
      <c r="G97" s="574">
        <f t="shared" si="51"/>
        <v>135.46464842928708</v>
      </c>
      <c r="H97" s="574">
        <f t="shared" si="51"/>
        <v>135.46464842928708</v>
      </c>
      <c r="I97" s="574">
        <f t="shared" si="51"/>
        <v>135.46464842928708</v>
      </c>
      <c r="J97" s="574">
        <f t="shared" si="51"/>
        <v>135.46464842928708</v>
      </c>
      <c r="K97" s="574">
        <f t="shared" si="51"/>
        <v>135.46464842928708</v>
      </c>
      <c r="L97" s="574">
        <f t="shared" si="51"/>
        <v>135.46464842928708</v>
      </c>
      <c r="M97" s="574">
        <f t="shared" si="51"/>
        <v>135.46464842928708</v>
      </c>
      <c r="N97" s="574">
        <f t="shared" si="51"/>
        <v>135.46464842928708</v>
      </c>
      <c r="O97" s="574">
        <f t="shared" si="51"/>
        <v>135.46464842928708</v>
      </c>
      <c r="P97" s="574">
        <f t="shared" si="51"/>
        <v>135.46464842928708</v>
      </c>
      <c r="Q97" s="574">
        <f t="shared" si="51"/>
        <v>135.46464842928708</v>
      </c>
      <c r="R97" s="574">
        <f t="shared" si="51"/>
        <v>0</v>
      </c>
      <c r="S97" s="452">
        <f t="shared" si="51"/>
        <v>0</v>
      </c>
      <c r="T97" s="452">
        <f t="shared" si="51"/>
        <v>0</v>
      </c>
    </row>
    <row r="98" spans="1:21" s="317" customFormat="1" x14ac:dyDescent="0.2">
      <c r="A98" s="572">
        <v>2</v>
      </c>
      <c r="B98" s="573" t="s">
        <v>378</v>
      </c>
      <c r="C98" s="574">
        <f t="shared" ref="C98:T98" si="52">F27</f>
        <v>29.856488775000003</v>
      </c>
      <c r="D98" s="574">
        <f t="shared" si="52"/>
        <v>29.856488775000003</v>
      </c>
      <c r="E98" s="574">
        <f t="shared" si="52"/>
        <v>29.856488775000003</v>
      </c>
      <c r="F98" s="574">
        <f t="shared" si="52"/>
        <v>29.856488775000003</v>
      </c>
      <c r="G98" s="574">
        <f t="shared" si="52"/>
        <v>29.856488775000003</v>
      </c>
      <c r="H98" s="574">
        <f t="shared" si="52"/>
        <v>29.856488775000003</v>
      </c>
      <c r="I98" s="574">
        <f t="shared" si="52"/>
        <v>29.856488775000003</v>
      </c>
      <c r="J98" s="574">
        <f t="shared" si="52"/>
        <v>29.856488775000003</v>
      </c>
      <c r="K98" s="574">
        <f t="shared" si="52"/>
        <v>29.856488775000003</v>
      </c>
      <c r="L98" s="574">
        <f t="shared" si="52"/>
        <v>29.856488775000003</v>
      </c>
      <c r="M98" s="574">
        <f t="shared" si="52"/>
        <v>29.856488775000003</v>
      </c>
      <c r="N98" s="574">
        <f t="shared" si="52"/>
        <v>29.856488775000003</v>
      </c>
      <c r="O98" s="574">
        <f t="shared" si="52"/>
        <v>29.856488775000003</v>
      </c>
      <c r="P98" s="574">
        <f t="shared" si="52"/>
        <v>29.856488775000003</v>
      </c>
      <c r="Q98" s="574">
        <f t="shared" si="52"/>
        <v>29.856488775000003</v>
      </c>
      <c r="R98" s="574">
        <f t="shared" si="52"/>
        <v>0</v>
      </c>
      <c r="S98" s="452">
        <f t="shared" si="52"/>
        <v>0</v>
      </c>
      <c r="T98" s="452">
        <f t="shared" si="52"/>
        <v>0</v>
      </c>
    </row>
    <row r="99" spans="1:21" s="317" customFormat="1" x14ac:dyDescent="0.2">
      <c r="A99" s="572">
        <v>3</v>
      </c>
      <c r="B99" s="575" t="s">
        <v>379</v>
      </c>
      <c r="C99" s="574">
        <f>Depreciation!D20</f>
        <v>70.899262500000006</v>
      </c>
      <c r="D99" s="574">
        <f>Depreciation!E20</f>
        <v>60.294373125000007</v>
      </c>
      <c r="E99" s="574">
        <f>Depreciation!F20</f>
        <v>51.277217156250003</v>
      </c>
      <c r="F99" s="574">
        <f>Depreciation!G20</f>
        <v>43.6099345828125</v>
      </c>
      <c r="G99" s="574">
        <f>Depreciation!H20</f>
        <v>37.090314395390628</v>
      </c>
      <c r="H99" s="574">
        <f>Depreciation!I20</f>
        <v>31.546450236082034</v>
      </c>
      <c r="I99" s="574">
        <f>Depreciation!J20</f>
        <v>26.832197400669731</v>
      </c>
      <c r="J99" s="574">
        <f>Depreciation!K20</f>
        <v>22.823311020569264</v>
      </c>
      <c r="K99" s="574">
        <f>Depreciation!L20</f>
        <v>19.414163274483883</v>
      </c>
      <c r="L99" s="574">
        <f>Depreciation!M20</f>
        <v>16.514952799611301</v>
      </c>
      <c r="M99" s="574">
        <f>Depreciation!N20</f>
        <v>14.049332494339611</v>
      </c>
      <c r="N99" s="574">
        <f>Depreciation!O20</f>
        <v>11.952392973391671</v>
      </c>
      <c r="O99" s="574">
        <f>Depreciation!P20</f>
        <v>10.168948345265619</v>
      </c>
      <c r="P99" s="574">
        <f>Depreciation!Q20</f>
        <v>8.6520789795702058</v>
      </c>
      <c r="Q99" s="574">
        <f>Depreciation!R20</f>
        <v>7.361892730119667</v>
      </c>
      <c r="R99" s="574">
        <f>Depreciation!S20</f>
        <v>0</v>
      </c>
      <c r="S99" s="452">
        <f>Depreciation!T20</f>
        <v>0</v>
      </c>
      <c r="T99" s="452">
        <f>Depreciation!U20</f>
        <v>0</v>
      </c>
    </row>
    <row r="100" spans="1:21" s="317" customFormat="1" x14ac:dyDescent="0.2">
      <c r="A100" s="572">
        <v>4</v>
      </c>
      <c r="B100" s="573" t="s">
        <v>497</v>
      </c>
      <c r="C100" s="574">
        <f>C97+C98-C99</f>
        <v>49.883693873588726</v>
      </c>
      <c r="D100" s="574">
        <f t="shared" ref="D100:K100" si="53">D97+D98-D99</f>
        <v>100.29595773220602</v>
      </c>
      <c r="E100" s="574">
        <f t="shared" si="53"/>
        <v>114.04392004803708</v>
      </c>
      <c r="F100" s="574">
        <f t="shared" si="53"/>
        <v>121.71120262147458</v>
      </c>
      <c r="G100" s="574">
        <f t="shared" si="53"/>
        <v>128.23082280889645</v>
      </c>
      <c r="H100" s="574">
        <f t="shared" si="53"/>
        <v>133.77468696820506</v>
      </c>
      <c r="I100" s="574">
        <f t="shared" si="53"/>
        <v>138.48893980361734</v>
      </c>
      <c r="J100" s="574">
        <f t="shared" si="53"/>
        <v>142.49782618371782</v>
      </c>
      <c r="K100" s="574">
        <f t="shared" si="53"/>
        <v>145.9069739298032</v>
      </c>
      <c r="L100" s="574">
        <f>L97+L98-L99</f>
        <v>148.80618440467578</v>
      </c>
      <c r="M100" s="574">
        <f t="shared" ref="M100" si="54">M97+M98-M99</f>
        <v>151.27180470994747</v>
      </c>
      <c r="N100" s="574">
        <f t="shared" ref="N100" si="55">N97+N98-N99</f>
        <v>153.3687442308954</v>
      </c>
      <c r="O100" s="574">
        <f t="shared" ref="O100" si="56">O97+O98-O99</f>
        <v>155.15218885902146</v>
      </c>
      <c r="P100" s="574">
        <f t="shared" ref="P100" si="57">P97+P98-P99</f>
        <v>156.66905822471688</v>
      </c>
      <c r="Q100" s="574">
        <f t="shared" ref="Q100" si="58">Q97+Q98-Q99</f>
        <v>157.95924447416741</v>
      </c>
      <c r="R100" s="574">
        <f t="shared" ref="R100" si="59">R97+R98-R99</f>
        <v>0</v>
      </c>
      <c r="S100" s="452">
        <f t="shared" ref="S100" si="60">S97+S98-S99</f>
        <v>0</v>
      </c>
      <c r="T100" s="453">
        <f t="shared" ref="T100" si="61">T97+T98-T99</f>
        <v>0</v>
      </c>
    </row>
    <row r="101" spans="1:21" s="317" customFormat="1" x14ac:dyDescent="0.2">
      <c r="A101" s="572">
        <v>5</v>
      </c>
      <c r="B101" s="573" t="s">
        <v>380</v>
      </c>
      <c r="C101" s="574">
        <v>0</v>
      </c>
      <c r="D101" s="574">
        <f>IF(C102&gt;0,0,C102)</f>
        <v>0</v>
      </c>
      <c r="E101" s="574">
        <f t="shared" ref="E101:T101" si="62">IF(D102&gt;0,0,D102)</f>
        <v>0</v>
      </c>
      <c r="F101" s="574">
        <f t="shared" si="62"/>
        <v>0</v>
      </c>
      <c r="G101" s="574">
        <f t="shared" si="62"/>
        <v>0</v>
      </c>
      <c r="H101" s="574">
        <f t="shared" si="62"/>
        <v>0</v>
      </c>
      <c r="I101" s="574">
        <f t="shared" si="62"/>
        <v>0</v>
      </c>
      <c r="J101" s="574">
        <f t="shared" si="62"/>
        <v>0</v>
      </c>
      <c r="K101" s="574">
        <f t="shared" si="62"/>
        <v>0</v>
      </c>
      <c r="L101" s="574">
        <f t="shared" si="62"/>
        <v>0</v>
      </c>
      <c r="M101" s="574">
        <f t="shared" si="62"/>
        <v>0</v>
      </c>
      <c r="N101" s="574">
        <f t="shared" si="62"/>
        <v>0</v>
      </c>
      <c r="O101" s="574">
        <f t="shared" si="62"/>
        <v>0</v>
      </c>
      <c r="P101" s="574">
        <f t="shared" si="62"/>
        <v>0</v>
      </c>
      <c r="Q101" s="574">
        <f t="shared" si="62"/>
        <v>0</v>
      </c>
      <c r="R101" s="574">
        <f t="shared" si="62"/>
        <v>0</v>
      </c>
      <c r="S101" s="453">
        <f t="shared" si="62"/>
        <v>0</v>
      </c>
      <c r="T101" s="453">
        <f t="shared" si="62"/>
        <v>0</v>
      </c>
    </row>
    <row r="102" spans="1:21" s="317" customFormat="1" x14ac:dyDescent="0.2">
      <c r="A102" s="572">
        <v>6</v>
      </c>
      <c r="B102" s="573" t="s">
        <v>381</v>
      </c>
      <c r="C102" s="574">
        <f>C100+C101</f>
        <v>49.883693873588726</v>
      </c>
      <c r="D102" s="574">
        <f t="shared" ref="D102:T102" si="63">D100+D101</f>
        <v>100.29595773220602</v>
      </c>
      <c r="E102" s="574">
        <f t="shared" si="63"/>
        <v>114.04392004803708</v>
      </c>
      <c r="F102" s="574">
        <f t="shared" si="63"/>
        <v>121.71120262147458</v>
      </c>
      <c r="G102" s="574">
        <f t="shared" si="63"/>
        <v>128.23082280889645</v>
      </c>
      <c r="H102" s="574">
        <f t="shared" si="63"/>
        <v>133.77468696820506</v>
      </c>
      <c r="I102" s="574">
        <f t="shared" si="63"/>
        <v>138.48893980361734</v>
      </c>
      <c r="J102" s="574">
        <f t="shared" si="63"/>
        <v>142.49782618371782</v>
      </c>
      <c r="K102" s="574">
        <f t="shared" si="63"/>
        <v>145.9069739298032</v>
      </c>
      <c r="L102" s="574">
        <f t="shared" si="63"/>
        <v>148.80618440467578</v>
      </c>
      <c r="M102" s="574">
        <f t="shared" si="63"/>
        <v>151.27180470994747</v>
      </c>
      <c r="N102" s="574">
        <f t="shared" si="63"/>
        <v>153.3687442308954</v>
      </c>
      <c r="O102" s="574">
        <f t="shared" si="63"/>
        <v>155.15218885902146</v>
      </c>
      <c r="P102" s="574">
        <f t="shared" si="63"/>
        <v>156.66905822471688</v>
      </c>
      <c r="Q102" s="574">
        <f t="shared" si="63"/>
        <v>157.95924447416741</v>
      </c>
      <c r="R102" s="574">
        <f t="shared" si="63"/>
        <v>0</v>
      </c>
      <c r="S102" s="453">
        <f t="shared" si="63"/>
        <v>0</v>
      </c>
      <c r="T102" s="453">
        <f t="shared" si="63"/>
        <v>0</v>
      </c>
    </row>
    <row r="103" spans="1:21" s="317" customFormat="1" x14ac:dyDescent="0.2">
      <c r="A103" s="572">
        <v>7</v>
      </c>
      <c r="B103" s="573" t="s">
        <v>382</v>
      </c>
      <c r="C103" s="574">
        <f>IF(C102&gt;0,C102*$C$51,0)</f>
        <v>17.431357987186846</v>
      </c>
      <c r="D103" s="574">
        <f t="shared" ref="D103:R103" si="64">IF(D102&gt;0,D102*$C$51,0)</f>
        <v>35.047419469942078</v>
      </c>
      <c r="E103" s="574">
        <f t="shared" si="64"/>
        <v>39.851507421586078</v>
      </c>
      <c r="F103" s="574">
        <f t="shared" si="64"/>
        <v>42.530762644048082</v>
      </c>
      <c r="G103" s="574">
        <f t="shared" si="64"/>
        <v>44.808978722340775</v>
      </c>
      <c r="H103" s="574">
        <f t="shared" si="64"/>
        <v>46.746226614169579</v>
      </c>
      <c r="I103" s="574">
        <f t="shared" si="64"/>
        <v>48.393575124976046</v>
      </c>
      <c r="J103" s="574">
        <f t="shared" si="64"/>
        <v>49.79444038163836</v>
      </c>
      <c r="K103" s="574">
        <f t="shared" si="64"/>
        <v>50.985732970030433</v>
      </c>
      <c r="L103" s="574">
        <f t="shared" si="64"/>
        <v>51.998833078369906</v>
      </c>
      <c r="M103" s="574">
        <f t="shared" si="64"/>
        <v>52.860419437844051</v>
      </c>
      <c r="N103" s="574">
        <f t="shared" si="64"/>
        <v>53.593173984044093</v>
      </c>
      <c r="O103" s="574">
        <f t="shared" si="64"/>
        <v>54.216380874896466</v>
      </c>
      <c r="P103" s="574">
        <f t="shared" si="64"/>
        <v>54.746435706045069</v>
      </c>
      <c r="Q103" s="574">
        <f t="shared" si="64"/>
        <v>55.197278389053061</v>
      </c>
      <c r="R103" s="574">
        <f t="shared" si="64"/>
        <v>0</v>
      </c>
      <c r="S103" s="452">
        <f>IF(S102&gt;0,S102*$C$84,0)</f>
        <v>0</v>
      </c>
      <c r="T103" s="452">
        <f>IF(T102&gt;0,T102*$C$84,0)</f>
        <v>0</v>
      </c>
    </row>
    <row r="104" spans="1:21" s="317" customFormat="1" x14ac:dyDescent="0.2">
      <c r="A104" s="572">
        <v>8</v>
      </c>
      <c r="B104" s="573" t="s">
        <v>383</v>
      </c>
      <c r="C104" s="574">
        <f t="shared" ref="C104:T104" si="65">IF(F28&gt;0,F28*$D$51,0)</f>
        <v>4.4503032951723522</v>
      </c>
      <c r="D104" s="574">
        <f t="shared" si="65"/>
        <v>12.157633924481043</v>
      </c>
      <c r="E104" s="574">
        <f t="shared" si="65"/>
        <v>13.730068267453643</v>
      </c>
      <c r="F104" s="574">
        <f t="shared" si="65"/>
        <v>14.494891030025691</v>
      </c>
      <c r="G104" s="574">
        <f t="shared" si="65"/>
        <v>15.259713792597744</v>
      </c>
      <c r="H104" s="574">
        <f t="shared" si="65"/>
        <v>16.024536555169792</v>
      </c>
      <c r="I104" s="574">
        <f t="shared" si="65"/>
        <v>16.789359317741841</v>
      </c>
      <c r="J104" s="574">
        <f t="shared" si="65"/>
        <v>17.55418208031389</v>
      </c>
      <c r="K104" s="574">
        <f t="shared" si="65"/>
        <v>18.319004842885946</v>
      </c>
      <c r="L104" s="574">
        <f t="shared" si="65"/>
        <v>18.319004842885946</v>
      </c>
      <c r="M104" s="574">
        <f t="shared" si="65"/>
        <v>18.319004842885946</v>
      </c>
      <c r="N104" s="574">
        <f t="shared" si="65"/>
        <v>18.319004842885946</v>
      </c>
      <c r="O104" s="574">
        <f t="shared" si="65"/>
        <v>18.319004842885946</v>
      </c>
      <c r="P104" s="574">
        <f t="shared" si="65"/>
        <v>18.319004842885946</v>
      </c>
      <c r="Q104" s="574">
        <f t="shared" si="65"/>
        <v>18.319004842885946</v>
      </c>
      <c r="R104" s="574">
        <f t="shared" si="65"/>
        <v>0</v>
      </c>
      <c r="S104" s="452">
        <f t="shared" si="65"/>
        <v>0</v>
      </c>
      <c r="T104" s="452">
        <f t="shared" si="65"/>
        <v>0</v>
      </c>
    </row>
    <row r="105" spans="1:21" s="317" customFormat="1" x14ac:dyDescent="0.2">
      <c r="A105" s="572">
        <v>9</v>
      </c>
      <c r="B105" s="573" t="s">
        <v>384</v>
      </c>
      <c r="C105" s="576">
        <f>IF(C103&gt;C104,C103,C104)</f>
        <v>17.431357987186846</v>
      </c>
      <c r="D105" s="576">
        <f t="shared" ref="D105:T105" si="66">IF(D103&gt;D104,D103,D104)</f>
        <v>35.047419469942078</v>
      </c>
      <c r="E105" s="576">
        <f t="shared" si="66"/>
        <v>39.851507421586078</v>
      </c>
      <c r="F105" s="576">
        <f t="shared" si="66"/>
        <v>42.530762644048082</v>
      </c>
      <c r="G105" s="576">
        <f t="shared" si="66"/>
        <v>44.808978722340775</v>
      </c>
      <c r="H105" s="576">
        <f t="shared" si="66"/>
        <v>46.746226614169579</v>
      </c>
      <c r="I105" s="576">
        <f t="shared" si="66"/>
        <v>48.393575124976046</v>
      </c>
      <c r="J105" s="576">
        <f t="shared" si="66"/>
        <v>49.79444038163836</v>
      </c>
      <c r="K105" s="576">
        <f t="shared" si="66"/>
        <v>50.985732970030433</v>
      </c>
      <c r="L105" s="576">
        <f t="shared" si="66"/>
        <v>51.998833078369906</v>
      </c>
      <c r="M105" s="576">
        <f t="shared" si="66"/>
        <v>52.860419437844051</v>
      </c>
      <c r="N105" s="576">
        <f t="shared" si="66"/>
        <v>53.593173984044093</v>
      </c>
      <c r="O105" s="576">
        <f t="shared" si="66"/>
        <v>54.216380874896466</v>
      </c>
      <c r="P105" s="576">
        <f t="shared" si="66"/>
        <v>54.746435706045069</v>
      </c>
      <c r="Q105" s="576">
        <f t="shared" si="66"/>
        <v>55.197278389053061</v>
      </c>
      <c r="R105" s="576">
        <f t="shared" si="66"/>
        <v>0</v>
      </c>
      <c r="S105" s="454">
        <f t="shared" si="66"/>
        <v>0</v>
      </c>
      <c r="T105" s="454">
        <f t="shared" si="66"/>
        <v>0</v>
      </c>
    </row>
    <row r="106" spans="1:21" s="317" customFormat="1" x14ac:dyDescent="0.2">
      <c r="A106" s="572">
        <v>10</v>
      </c>
      <c r="B106" s="577" t="s">
        <v>385</v>
      </c>
      <c r="C106" s="578">
        <f>IF(C104&gt;C103,SUM($C$104:C104),0)</f>
        <v>0</v>
      </c>
      <c r="D106" s="578">
        <f>IF(D104&gt;D103,SUM($C$104:D104),0)</f>
        <v>0</v>
      </c>
      <c r="E106" s="578">
        <f>IF(E104&gt;E103,SUM($C$104:E104),0)</f>
        <v>0</v>
      </c>
      <c r="F106" s="578">
        <f>IF(F104&gt;F103,SUM($C$104:F104),0)</f>
        <v>0</v>
      </c>
      <c r="G106" s="578">
        <f>IF(G104&gt;G103,SUM($C$104:G104),0)</f>
        <v>0</v>
      </c>
      <c r="H106" s="578">
        <f>IF(H104&gt;H103,SUM($C$104:H104),0)</f>
        <v>0</v>
      </c>
      <c r="I106" s="578">
        <f>IF(I104&gt;I103,SUM($C$104:I104),0)</f>
        <v>0</v>
      </c>
      <c r="J106" s="578">
        <f>IF(J104&gt;J103,SUM($C$104:J104),0)</f>
        <v>0</v>
      </c>
      <c r="K106" s="578">
        <f>IF(K104&gt;K103,SUM($C$104:K104),0)</f>
        <v>0</v>
      </c>
      <c r="L106" s="578">
        <f>IF(L104&gt;L103,SUM($C$104:L104),0)</f>
        <v>0</v>
      </c>
      <c r="M106" s="578">
        <f>IF(M104&gt;M103,SUM($C$104:M104),0)</f>
        <v>0</v>
      </c>
      <c r="N106" s="578">
        <f>IF(N104&gt;N103,SUM($C$104:N104),0)</f>
        <v>0</v>
      </c>
      <c r="O106" s="578">
        <f>IF(O104&gt;O103,SUM($C$104:O104),0)</f>
        <v>0</v>
      </c>
      <c r="P106" s="578">
        <f>IF(P104&gt;P103,SUM($C$104:P104),0)</f>
        <v>0</v>
      </c>
      <c r="Q106" s="578">
        <f>IF(Q104&gt;Q103,SUM($C$104:Q104),0)</f>
        <v>0</v>
      </c>
      <c r="R106" s="578">
        <f>IF(R104&gt;R103,SUM($C$104:R104),0)</f>
        <v>0</v>
      </c>
      <c r="S106" s="455">
        <f>IF(S104&gt;S103,SUM($C104:S$200),0)</f>
        <v>0</v>
      </c>
      <c r="T106" s="455">
        <f>IF(T104&gt;T103,SUM($C104:T$200),0)</f>
        <v>0</v>
      </c>
    </row>
    <row r="107" spans="1:21" s="317" customFormat="1" x14ac:dyDescent="0.2">
      <c r="A107" s="572">
        <v>11</v>
      </c>
      <c r="B107" s="573" t="s">
        <v>386</v>
      </c>
      <c r="C107" s="579">
        <f t="shared" ref="C107:T107" si="67">IF(C113&gt;0,C113,0)</f>
        <v>0</v>
      </c>
      <c r="D107" s="579">
        <f t="shared" si="67"/>
        <v>0</v>
      </c>
      <c r="E107" s="579">
        <f t="shared" si="67"/>
        <v>0</v>
      </c>
      <c r="F107" s="579">
        <f t="shared" si="67"/>
        <v>0</v>
      </c>
      <c r="G107" s="579">
        <f t="shared" si="67"/>
        <v>0</v>
      </c>
      <c r="H107" s="579">
        <f t="shared" si="67"/>
        <v>0</v>
      </c>
      <c r="I107" s="579">
        <f t="shared" si="67"/>
        <v>0</v>
      </c>
      <c r="J107" s="579">
        <f t="shared" si="67"/>
        <v>0</v>
      </c>
      <c r="K107" s="579">
        <f t="shared" si="67"/>
        <v>0</v>
      </c>
      <c r="L107" s="579">
        <f t="shared" si="67"/>
        <v>0</v>
      </c>
      <c r="M107" s="579">
        <f t="shared" si="67"/>
        <v>0</v>
      </c>
      <c r="N107" s="579">
        <f t="shared" si="67"/>
        <v>0</v>
      </c>
      <c r="O107" s="579">
        <f t="shared" si="67"/>
        <v>0</v>
      </c>
      <c r="P107" s="579">
        <f t="shared" si="67"/>
        <v>0</v>
      </c>
      <c r="Q107" s="579">
        <f t="shared" si="67"/>
        <v>0</v>
      </c>
      <c r="R107" s="579">
        <f t="shared" si="67"/>
        <v>0</v>
      </c>
      <c r="S107" s="456" t="e">
        <f t="shared" si="67"/>
        <v>#REF!</v>
      </c>
      <c r="T107" s="456" t="e">
        <f t="shared" si="67"/>
        <v>#REF!</v>
      </c>
    </row>
    <row r="108" spans="1:21" s="317" customFormat="1" x14ac:dyDescent="0.2">
      <c r="A108" s="572">
        <v>12</v>
      </c>
      <c r="B108" s="569" t="s">
        <v>387</v>
      </c>
      <c r="C108" s="578">
        <f>IF(C104&gt;C103,C104,C103)-C107</f>
        <v>17.431357987186846</v>
      </c>
      <c r="D108" s="578">
        <f t="shared" ref="D108:T108" si="68">IF(D104&gt;D103,D104,D103)-D107</f>
        <v>35.047419469942078</v>
      </c>
      <c r="E108" s="578">
        <f t="shared" si="68"/>
        <v>39.851507421586078</v>
      </c>
      <c r="F108" s="578">
        <f t="shared" si="68"/>
        <v>42.530762644048082</v>
      </c>
      <c r="G108" s="578">
        <f t="shared" si="68"/>
        <v>44.808978722340775</v>
      </c>
      <c r="H108" s="578">
        <f t="shared" si="68"/>
        <v>46.746226614169579</v>
      </c>
      <c r="I108" s="578">
        <f>IF(I104&gt;I103,I104,I103)-I107</f>
        <v>48.393575124976046</v>
      </c>
      <c r="J108" s="578">
        <f t="shared" si="68"/>
        <v>49.79444038163836</v>
      </c>
      <c r="K108" s="578">
        <f t="shared" si="68"/>
        <v>50.985732970030433</v>
      </c>
      <c r="L108" s="578">
        <f t="shared" si="68"/>
        <v>51.998833078369906</v>
      </c>
      <c r="M108" s="578">
        <f t="shared" si="68"/>
        <v>52.860419437844051</v>
      </c>
      <c r="N108" s="578">
        <f t="shared" si="68"/>
        <v>53.593173984044093</v>
      </c>
      <c r="O108" s="578">
        <f t="shared" si="68"/>
        <v>54.216380874896466</v>
      </c>
      <c r="P108" s="578">
        <f t="shared" si="68"/>
        <v>54.746435706045069</v>
      </c>
      <c r="Q108" s="578">
        <f t="shared" si="68"/>
        <v>55.197278389053061</v>
      </c>
      <c r="R108" s="578">
        <f t="shared" si="68"/>
        <v>0</v>
      </c>
      <c r="S108" s="457" t="e">
        <f t="shared" si="68"/>
        <v>#REF!</v>
      </c>
      <c r="T108" s="457" t="e">
        <f t="shared" si="68"/>
        <v>#REF!</v>
      </c>
    </row>
    <row r="109" spans="1:21" s="317" customFormat="1" x14ac:dyDescent="0.2">
      <c r="A109" s="629"/>
      <c r="B109" s="629"/>
      <c r="C109" s="452"/>
      <c r="D109" s="452"/>
      <c r="E109" s="452"/>
      <c r="F109" s="452"/>
      <c r="G109" s="452"/>
      <c r="H109" s="452"/>
      <c r="I109" s="452"/>
      <c r="J109" s="452"/>
      <c r="K109" s="452"/>
      <c r="L109" s="452"/>
      <c r="M109" s="452"/>
      <c r="N109" s="452"/>
      <c r="O109" s="452"/>
      <c r="P109" s="452"/>
      <c r="Q109" s="452"/>
      <c r="R109" s="452"/>
      <c r="S109" s="452"/>
      <c r="T109" s="452"/>
    </row>
    <row r="110" spans="1:21" s="1" customFormat="1" x14ac:dyDescent="0.2">
      <c r="A110" s="630"/>
      <c r="B110" s="631" t="s">
        <v>388</v>
      </c>
      <c r="C110" s="632">
        <f>IF((C103-C104)&lt;0,0,(C103-C104))</f>
        <v>12.981054692014494</v>
      </c>
      <c r="D110" s="632">
        <f t="shared" ref="D110:T110" si="69">IF((D103-D104)&lt;0,0,(D103-D104))</f>
        <v>22.889785545461034</v>
      </c>
      <c r="E110" s="632">
        <f t="shared" si="69"/>
        <v>26.121439154132435</v>
      </c>
      <c r="F110" s="632">
        <f t="shared" si="69"/>
        <v>28.03587161402239</v>
      </c>
      <c r="G110" s="632">
        <f t="shared" si="69"/>
        <v>29.549264929743032</v>
      </c>
      <c r="H110" s="632">
        <f t="shared" si="69"/>
        <v>30.721690058999787</v>
      </c>
      <c r="I110" s="632">
        <f t="shared" si="69"/>
        <v>31.604215807234205</v>
      </c>
      <c r="J110" s="632">
        <f>IF((J103-J104)&lt;0,0,(J103-J104))</f>
        <v>32.240258301324474</v>
      </c>
      <c r="K110" s="632">
        <f t="shared" si="69"/>
        <v>32.666728127144488</v>
      </c>
      <c r="L110" s="632">
        <f t="shared" si="69"/>
        <v>33.67982823548396</v>
      </c>
      <c r="M110" s="632">
        <f t="shared" si="69"/>
        <v>34.541414594958106</v>
      </c>
      <c r="N110" s="632">
        <f t="shared" si="69"/>
        <v>35.274169141158147</v>
      </c>
      <c r="O110" s="632">
        <f t="shared" si="69"/>
        <v>35.89737603201052</v>
      </c>
      <c r="P110" s="632">
        <f t="shared" si="69"/>
        <v>36.427430863159124</v>
      </c>
      <c r="Q110" s="632">
        <f t="shared" si="69"/>
        <v>36.878273546167115</v>
      </c>
      <c r="R110" s="632">
        <f t="shared" si="69"/>
        <v>0</v>
      </c>
      <c r="S110" s="633">
        <f t="shared" si="69"/>
        <v>0</v>
      </c>
      <c r="T110" s="633">
        <f t="shared" si="69"/>
        <v>0</v>
      </c>
    </row>
    <row r="111" spans="1:21" s="1" customFormat="1" x14ac:dyDescent="0.2">
      <c r="A111" s="630"/>
      <c r="B111" s="631" t="s">
        <v>389</v>
      </c>
      <c r="C111" s="632">
        <f>C110</f>
        <v>12.981054692014494</v>
      </c>
      <c r="D111" s="632">
        <f>C111+D110</f>
        <v>35.870840237475527</v>
      </c>
      <c r="E111" s="632">
        <f t="shared" ref="E111:T111" si="70">D111+E110</f>
        <v>61.992279391607966</v>
      </c>
      <c r="F111" s="632">
        <f t="shared" si="70"/>
        <v>90.028151005630349</v>
      </c>
      <c r="G111" s="632">
        <f t="shared" si="70"/>
        <v>119.57741593537338</v>
      </c>
      <c r="H111" s="632">
        <f t="shared" si="70"/>
        <v>150.29910599437318</v>
      </c>
      <c r="I111" s="632">
        <f t="shared" si="70"/>
        <v>181.90332180160738</v>
      </c>
      <c r="J111" s="632">
        <f t="shared" si="70"/>
        <v>214.14358010293185</v>
      </c>
      <c r="K111" s="632">
        <f t="shared" si="70"/>
        <v>246.81030823007634</v>
      </c>
      <c r="L111" s="632">
        <f t="shared" si="70"/>
        <v>280.49013646556028</v>
      </c>
      <c r="M111" s="632">
        <f t="shared" si="70"/>
        <v>315.03155106051838</v>
      </c>
      <c r="N111" s="632">
        <f t="shared" si="70"/>
        <v>350.30572020167654</v>
      </c>
      <c r="O111" s="632">
        <f t="shared" si="70"/>
        <v>386.20309623368706</v>
      </c>
      <c r="P111" s="632">
        <f t="shared" si="70"/>
        <v>422.63052709684621</v>
      </c>
      <c r="Q111" s="632">
        <f t="shared" si="70"/>
        <v>459.50880064301333</v>
      </c>
      <c r="R111" s="632">
        <f t="shared" si="70"/>
        <v>459.50880064301333</v>
      </c>
      <c r="S111" s="633">
        <f t="shared" si="70"/>
        <v>459.50880064301333</v>
      </c>
      <c r="T111" s="633">
        <f t="shared" si="70"/>
        <v>459.50880064301333</v>
      </c>
    </row>
    <row r="112" spans="1:21" s="1" customFormat="1" x14ac:dyDescent="0.2">
      <c r="A112" s="630"/>
      <c r="B112" s="631" t="s">
        <v>390</v>
      </c>
      <c r="C112" s="632">
        <f>IF(C104&gt;C103,C104,0)</f>
        <v>0</v>
      </c>
      <c r="D112" s="632">
        <f t="shared" ref="D112:T112" si="71">IF(D104&gt;D103,D104,0)</f>
        <v>0</v>
      </c>
      <c r="E112" s="632">
        <f t="shared" si="71"/>
        <v>0</v>
      </c>
      <c r="F112" s="632">
        <f t="shared" si="71"/>
        <v>0</v>
      </c>
      <c r="G112" s="632">
        <f t="shared" si="71"/>
        <v>0</v>
      </c>
      <c r="H112" s="632">
        <f t="shared" si="71"/>
        <v>0</v>
      </c>
      <c r="I112" s="632">
        <f t="shared" si="71"/>
        <v>0</v>
      </c>
      <c r="J112" s="632">
        <f t="shared" si="71"/>
        <v>0</v>
      </c>
      <c r="K112" s="632">
        <f t="shared" si="71"/>
        <v>0</v>
      </c>
      <c r="L112" s="632">
        <f t="shared" si="71"/>
        <v>0</v>
      </c>
      <c r="M112" s="632">
        <f t="shared" si="71"/>
        <v>0</v>
      </c>
      <c r="N112" s="632">
        <f t="shared" si="71"/>
        <v>0</v>
      </c>
      <c r="O112" s="632">
        <f t="shared" si="71"/>
        <v>0</v>
      </c>
      <c r="P112" s="632">
        <f t="shared" si="71"/>
        <v>0</v>
      </c>
      <c r="Q112" s="632">
        <f t="shared" si="71"/>
        <v>0</v>
      </c>
      <c r="R112" s="632">
        <f t="shared" si="71"/>
        <v>0</v>
      </c>
      <c r="S112" s="633">
        <f t="shared" si="71"/>
        <v>0</v>
      </c>
      <c r="T112" s="633">
        <f t="shared" si="71"/>
        <v>0</v>
      </c>
      <c r="U112" s="291">
        <f>SUM(C112:R112)</f>
        <v>0</v>
      </c>
    </row>
    <row r="113" spans="1:20" s="1" customFormat="1" x14ac:dyDescent="0.2">
      <c r="A113" s="634"/>
      <c r="B113" s="631" t="s">
        <v>391</v>
      </c>
      <c r="C113" s="632">
        <f>IF(C111&lt;$U$112,C110,C110-(C111-$U$112))</f>
        <v>0</v>
      </c>
      <c r="D113" s="632">
        <f t="shared" ref="D113:R113" si="72">IF(D111&lt;$U$112,D110,D110-(D111-$U$112))</f>
        <v>-12.981054692014492</v>
      </c>
      <c r="E113" s="632">
        <f t="shared" si="72"/>
        <v>-35.870840237475534</v>
      </c>
      <c r="F113" s="632">
        <f t="shared" si="72"/>
        <v>-61.992279391607958</v>
      </c>
      <c r="G113" s="632">
        <f t="shared" si="72"/>
        <v>-90.028151005630349</v>
      </c>
      <c r="H113" s="632">
        <f t="shared" si="72"/>
        <v>-119.57741593537339</v>
      </c>
      <c r="I113" s="632">
        <f t="shared" si="72"/>
        <v>-150.29910599437318</v>
      </c>
      <c r="J113" s="632">
        <f t="shared" si="72"/>
        <v>-181.90332180160738</v>
      </c>
      <c r="K113" s="632">
        <f t="shared" si="72"/>
        <v>-214.14358010293185</v>
      </c>
      <c r="L113" s="632">
        <f t="shared" si="72"/>
        <v>-246.81030823007632</v>
      </c>
      <c r="M113" s="632">
        <f t="shared" si="72"/>
        <v>-280.49013646556028</v>
      </c>
      <c r="N113" s="632">
        <f t="shared" si="72"/>
        <v>-315.03155106051838</v>
      </c>
      <c r="O113" s="632">
        <f t="shared" si="72"/>
        <v>-350.30572020167654</v>
      </c>
      <c r="P113" s="632">
        <f t="shared" si="72"/>
        <v>-386.20309623368706</v>
      </c>
      <c r="Q113" s="632">
        <f t="shared" si="72"/>
        <v>-422.63052709684621</v>
      </c>
      <c r="R113" s="632">
        <f t="shared" si="72"/>
        <v>-459.50880064301333</v>
      </c>
      <c r="S113" s="635" t="e">
        <f>IF(S111&lt;#REF!,S110,S110-(S111-#REF!))</f>
        <v>#REF!</v>
      </c>
      <c r="T113" s="635" t="e">
        <f>IF(T111&lt;#REF!,T110,T110-(T111-#REF!))</f>
        <v>#REF!</v>
      </c>
    </row>
    <row r="114" spans="1:20" s="1" customFormat="1" x14ac:dyDescent="0.2"/>
    <row r="115" spans="1:20" x14ac:dyDescent="0.2">
      <c r="A115" s="1"/>
      <c r="B115" s="1"/>
      <c r="C115" s="1"/>
      <c r="D115" s="1"/>
      <c r="E115" s="1"/>
      <c r="F115" s="9"/>
      <c r="G115" s="636"/>
      <c r="H115" s="700"/>
      <c r="I115" s="700"/>
      <c r="J115" s="700"/>
      <c r="K115" s="700"/>
      <c r="L115" s="700"/>
      <c r="M115" s="9"/>
      <c r="N115" s="9"/>
      <c r="O115" s="9"/>
      <c r="P115" s="9"/>
      <c r="S115" s="9"/>
      <c r="T115" s="9"/>
    </row>
    <row r="116" spans="1:20" x14ac:dyDescent="0.2">
      <c r="A116" s="1"/>
      <c r="B116" s="281" t="s">
        <v>122</v>
      </c>
      <c r="C116" s="637">
        <v>0</v>
      </c>
      <c r="D116" s="317"/>
      <c r="E116" s="1"/>
      <c r="F116" s="9"/>
      <c r="G116" s="9"/>
      <c r="H116" s="9"/>
      <c r="I116" s="9"/>
      <c r="J116" s="9"/>
      <c r="K116" s="9"/>
      <c r="L116" s="9"/>
      <c r="M116" s="9"/>
      <c r="N116" s="9"/>
      <c r="O116" s="9"/>
      <c r="P116" s="9"/>
      <c r="S116" s="9"/>
      <c r="T116" s="9"/>
    </row>
    <row r="117" spans="1:20" x14ac:dyDescent="0.2">
      <c r="A117" s="1"/>
      <c r="B117" s="281" t="s">
        <v>108</v>
      </c>
      <c r="C117" s="638">
        <v>2</v>
      </c>
      <c r="D117" s="317"/>
      <c r="E117" s="1"/>
      <c r="F117" s="9"/>
      <c r="G117" s="9"/>
      <c r="H117" s="9"/>
      <c r="I117" s="9"/>
      <c r="J117" s="639"/>
      <c r="K117" s="639"/>
      <c r="L117" s="639"/>
      <c r="M117" s="639"/>
      <c r="N117" s="639"/>
      <c r="O117" s="639"/>
      <c r="P117" s="9"/>
      <c r="S117" s="9"/>
      <c r="T117" s="9"/>
    </row>
    <row r="118" spans="1:20" x14ac:dyDescent="0.2">
      <c r="A118" s="1"/>
      <c r="B118" s="1"/>
      <c r="C118" s="1"/>
      <c r="D118" s="1"/>
      <c r="E118" s="1"/>
      <c r="F118" s="9"/>
      <c r="G118" s="9"/>
      <c r="H118" s="9"/>
      <c r="I118" s="9"/>
      <c r="J118" s="9"/>
      <c r="K118" s="9"/>
      <c r="L118" s="9"/>
      <c r="M118" s="9"/>
      <c r="N118" s="9"/>
      <c r="O118" s="9"/>
      <c r="P118" s="9"/>
      <c r="S118" s="9"/>
      <c r="T118" s="9"/>
    </row>
    <row r="119" spans="1:20" x14ac:dyDescent="0.2">
      <c r="F119" s="96"/>
      <c r="G119" s="96"/>
      <c r="H119" s="96"/>
      <c r="I119" s="96"/>
      <c r="J119" s="96"/>
      <c r="K119" s="96"/>
    </row>
  </sheetData>
  <mergeCells count="12">
    <mergeCell ref="H115:L115"/>
    <mergeCell ref="F4:T4"/>
    <mergeCell ref="A1:D1"/>
    <mergeCell ref="B5:B6"/>
    <mergeCell ref="A7:E7"/>
    <mergeCell ref="A4:B4"/>
    <mergeCell ref="A2:B2"/>
    <mergeCell ref="A3:B3"/>
    <mergeCell ref="A57:S57"/>
    <mergeCell ref="C58:D58"/>
    <mergeCell ref="A94:Q94"/>
    <mergeCell ref="B52:C5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S20"/>
  <sheetViews>
    <sheetView showGridLines="0" workbookViewId="0">
      <selection activeCell="E7" sqref="E7"/>
    </sheetView>
  </sheetViews>
  <sheetFormatPr defaultRowHeight="12.75" x14ac:dyDescent="0.2"/>
  <cols>
    <col min="1" max="1" width="9.140625" style="1"/>
    <col min="2" max="2" width="35.85546875" style="1" bestFit="1" customWidth="1"/>
    <col min="3" max="3" width="9.140625" style="1"/>
    <col min="4" max="4" width="8.85546875" style="1"/>
    <col min="5" max="16384" width="9.140625" style="1"/>
  </cols>
  <sheetData>
    <row r="3" spans="1:19" ht="15.75" x14ac:dyDescent="0.2">
      <c r="A3" s="715" t="s">
        <v>524</v>
      </c>
      <c r="B3" s="715"/>
      <c r="C3" s="715"/>
      <c r="D3" s="715"/>
      <c r="E3" s="715"/>
      <c r="F3" s="715"/>
      <c r="G3" s="715"/>
      <c r="H3" s="715"/>
      <c r="I3" s="715"/>
      <c r="J3" s="715"/>
      <c r="K3" s="715"/>
      <c r="L3" s="715"/>
      <c r="M3" s="715"/>
      <c r="N3" s="715"/>
      <c r="O3" s="715"/>
      <c r="P3" s="715"/>
      <c r="Q3" s="715"/>
      <c r="R3" s="715"/>
      <c r="S3" s="715"/>
    </row>
    <row r="4" spans="1:19" s="662" customFormat="1" x14ac:dyDescent="0.2">
      <c r="A4" s="468" t="s">
        <v>402</v>
      </c>
      <c r="B4" s="388" t="s">
        <v>349</v>
      </c>
      <c r="C4" s="661">
        <f t="shared" ref="C4:S4" si="0">C13</f>
        <v>-2</v>
      </c>
      <c r="D4" s="661">
        <f t="shared" si="0"/>
        <v>-1</v>
      </c>
      <c r="E4" s="469">
        <f t="shared" si="0"/>
        <v>1</v>
      </c>
      <c r="F4" s="469">
        <f t="shared" si="0"/>
        <v>2</v>
      </c>
      <c r="G4" s="469">
        <f t="shared" si="0"/>
        <v>3</v>
      </c>
      <c r="H4" s="469">
        <f t="shared" si="0"/>
        <v>4</v>
      </c>
      <c r="I4" s="469">
        <f t="shared" si="0"/>
        <v>5</v>
      </c>
      <c r="J4" s="469">
        <f t="shared" si="0"/>
        <v>6</v>
      </c>
      <c r="K4" s="469">
        <f t="shared" si="0"/>
        <v>7</v>
      </c>
      <c r="L4" s="469">
        <f t="shared" si="0"/>
        <v>8</v>
      </c>
      <c r="M4" s="469">
        <f t="shared" si="0"/>
        <v>9</v>
      </c>
      <c r="N4" s="469">
        <f t="shared" si="0"/>
        <v>10</v>
      </c>
      <c r="O4" s="469">
        <f t="shared" si="0"/>
        <v>11</v>
      </c>
      <c r="P4" s="469">
        <f t="shared" si="0"/>
        <v>12</v>
      </c>
      <c r="Q4" s="469">
        <f t="shared" si="0"/>
        <v>13</v>
      </c>
      <c r="R4" s="469">
        <f t="shared" si="0"/>
        <v>14</v>
      </c>
      <c r="S4" s="469">
        <f t="shared" si="0"/>
        <v>15</v>
      </c>
    </row>
    <row r="5" spans="1:19" x14ac:dyDescent="0.2">
      <c r="A5" s="346">
        <v>1</v>
      </c>
      <c r="B5" s="378" t="s">
        <v>530</v>
      </c>
      <c r="C5" s="373">
        <f>Capex!B70/2/100</f>
        <v>237.33087500000002</v>
      </c>
      <c r="D5" s="385">
        <f>Capex!B70/100</f>
        <v>474.66175000000004</v>
      </c>
      <c r="E5" s="386">
        <f>D5</f>
        <v>474.66175000000004</v>
      </c>
      <c r="F5" s="386">
        <f t="shared" ref="F5:S5" si="1">E5</f>
        <v>474.66175000000004</v>
      </c>
      <c r="G5" s="386">
        <f t="shared" si="1"/>
        <v>474.66175000000004</v>
      </c>
      <c r="H5" s="386">
        <f t="shared" si="1"/>
        <v>474.66175000000004</v>
      </c>
      <c r="I5" s="386">
        <f t="shared" si="1"/>
        <v>474.66175000000004</v>
      </c>
      <c r="J5" s="386">
        <f t="shared" si="1"/>
        <v>474.66175000000004</v>
      </c>
      <c r="K5" s="386">
        <f t="shared" si="1"/>
        <v>474.66175000000004</v>
      </c>
      <c r="L5" s="386">
        <f t="shared" si="1"/>
        <v>474.66175000000004</v>
      </c>
      <c r="M5" s="386">
        <f t="shared" si="1"/>
        <v>474.66175000000004</v>
      </c>
      <c r="N5" s="386">
        <f t="shared" si="1"/>
        <v>474.66175000000004</v>
      </c>
      <c r="O5" s="386">
        <f t="shared" si="1"/>
        <v>474.66175000000004</v>
      </c>
      <c r="P5" s="386">
        <f t="shared" si="1"/>
        <v>474.66175000000004</v>
      </c>
      <c r="Q5" s="386">
        <f t="shared" si="1"/>
        <v>474.66175000000004</v>
      </c>
      <c r="R5" s="386">
        <f t="shared" si="1"/>
        <v>474.66175000000004</v>
      </c>
      <c r="S5" s="386">
        <f t="shared" si="1"/>
        <v>474.66175000000004</v>
      </c>
    </row>
    <row r="6" spans="1:19" x14ac:dyDescent="0.2">
      <c r="A6" s="346">
        <v>2</v>
      </c>
      <c r="B6" s="378" t="s">
        <v>531</v>
      </c>
      <c r="C6" s="385">
        <v>0</v>
      </c>
      <c r="D6" s="385">
        <v>0</v>
      </c>
      <c r="E6" s="386">
        <f>'Cashflow '!F27</f>
        <v>29.856488775000003</v>
      </c>
      <c r="F6" s="386">
        <f>'Cashflow '!G27</f>
        <v>29.856488775000003</v>
      </c>
      <c r="G6" s="386">
        <f>'Cashflow '!H27</f>
        <v>29.856488775000003</v>
      </c>
      <c r="H6" s="386">
        <f>'Cashflow '!I27</f>
        <v>29.856488775000003</v>
      </c>
      <c r="I6" s="386">
        <f>'Cashflow '!J27</f>
        <v>29.856488775000003</v>
      </c>
      <c r="J6" s="386">
        <f>'Cashflow '!K27</f>
        <v>29.856488775000003</v>
      </c>
      <c r="K6" s="386">
        <f>'Cashflow '!L27</f>
        <v>29.856488775000003</v>
      </c>
      <c r="L6" s="386">
        <f>'Cashflow '!M27</f>
        <v>29.856488775000003</v>
      </c>
      <c r="M6" s="386">
        <f>'Cashflow '!N27</f>
        <v>29.856488775000003</v>
      </c>
      <c r="N6" s="386">
        <f>'Cashflow '!O27</f>
        <v>29.856488775000003</v>
      </c>
      <c r="O6" s="386">
        <f>'Cashflow '!P27</f>
        <v>29.856488775000003</v>
      </c>
      <c r="P6" s="386">
        <f>'Cashflow '!Q27</f>
        <v>29.856488775000003</v>
      </c>
      <c r="Q6" s="386">
        <f>'Cashflow '!R27</f>
        <v>29.856488775000003</v>
      </c>
      <c r="R6" s="386">
        <f>'Cashflow '!S27</f>
        <v>29.856488775000003</v>
      </c>
      <c r="S6" s="386">
        <f>'Cashflow '!T27</f>
        <v>29.856488775000003</v>
      </c>
    </row>
    <row r="7" spans="1:19" x14ac:dyDescent="0.2">
      <c r="A7" s="346">
        <v>3</v>
      </c>
      <c r="B7" s="378" t="s">
        <v>532</v>
      </c>
      <c r="C7" s="373">
        <f>C5-C6</f>
        <v>237.33087500000002</v>
      </c>
      <c r="D7" s="373">
        <f t="shared" ref="D7:S7" si="2">D5-D6</f>
        <v>474.66175000000004</v>
      </c>
      <c r="E7" s="373">
        <f t="shared" si="2"/>
        <v>444.80526122500004</v>
      </c>
      <c r="F7" s="373">
        <f t="shared" si="2"/>
        <v>444.80526122500004</v>
      </c>
      <c r="G7" s="373">
        <f t="shared" si="2"/>
        <v>444.80526122500004</v>
      </c>
      <c r="H7" s="373">
        <f t="shared" si="2"/>
        <v>444.80526122500004</v>
      </c>
      <c r="I7" s="373">
        <f t="shared" si="2"/>
        <v>444.80526122500004</v>
      </c>
      <c r="J7" s="373">
        <f t="shared" si="2"/>
        <v>444.80526122500004</v>
      </c>
      <c r="K7" s="373">
        <f t="shared" si="2"/>
        <v>444.80526122500004</v>
      </c>
      <c r="L7" s="373">
        <f t="shared" si="2"/>
        <v>444.80526122500004</v>
      </c>
      <c r="M7" s="373">
        <f t="shared" si="2"/>
        <v>444.80526122500004</v>
      </c>
      <c r="N7" s="373">
        <f t="shared" si="2"/>
        <v>444.80526122500004</v>
      </c>
      <c r="O7" s="373">
        <f t="shared" si="2"/>
        <v>444.80526122500004</v>
      </c>
      <c r="P7" s="373">
        <f t="shared" si="2"/>
        <v>444.80526122500004</v>
      </c>
      <c r="Q7" s="373">
        <f t="shared" si="2"/>
        <v>444.80526122500004</v>
      </c>
      <c r="R7" s="373">
        <f t="shared" si="2"/>
        <v>444.80526122500004</v>
      </c>
      <c r="S7" s="373">
        <f t="shared" si="2"/>
        <v>444.80526122500004</v>
      </c>
    </row>
    <row r="8" spans="1:19" x14ac:dyDescent="0.2">
      <c r="A8" s="346">
        <v>4</v>
      </c>
      <c r="B8" s="378" t="s">
        <v>533</v>
      </c>
      <c r="C8" s="373">
        <v>0</v>
      </c>
      <c r="D8" s="373">
        <v>0</v>
      </c>
      <c r="E8" s="373">
        <f>'Working Capital'!D13</f>
        <v>9.6593887657079414</v>
      </c>
      <c r="F8" s="373">
        <f>'Working Capital'!E13</f>
        <v>10.864803433077743</v>
      </c>
      <c r="G8" s="373">
        <f>'Working Capital'!F13</f>
        <v>12.672925434132447</v>
      </c>
      <c r="H8" s="373">
        <f>'Working Capital'!G13</f>
        <v>12.672925434132447</v>
      </c>
      <c r="I8" s="373">
        <f>'Working Capital'!H13</f>
        <v>12.672925434132447</v>
      </c>
      <c r="J8" s="373">
        <f>'Working Capital'!I13</f>
        <v>12.672925434132447</v>
      </c>
      <c r="K8" s="373">
        <f>'Working Capital'!J13</f>
        <v>12.672925434132447</v>
      </c>
      <c r="L8" s="373">
        <f>'Working Capital'!K13</f>
        <v>12.672925434132447</v>
      </c>
      <c r="M8" s="373">
        <f>'Working Capital'!L13</f>
        <v>12.672925434132447</v>
      </c>
      <c r="N8" s="373">
        <f>'Working Capital'!M13</f>
        <v>12.672925434132447</v>
      </c>
      <c r="O8" s="373">
        <f>'Working Capital'!N13</f>
        <v>12.672925434132447</v>
      </c>
      <c r="P8" s="373">
        <f>'Working Capital'!O13</f>
        <v>12.672925434132447</v>
      </c>
      <c r="Q8" s="373">
        <f>'Working Capital'!P13</f>
        <v>12.672925434132447</v>
      </c>
      <c r="R8" s="373">
        <f>'Working Capital'!Q13</f>
        <v>12.672925434132447</v>
      </c>
      <c r="S8" s="373">
        <f>'Working Capital'!R13</f>
        <v>12.672925434132447</v>
      </c>
    </row>
    <row r="9" spans="1:19" x14ac:dyDescent="0.2">
      <c r="A9" s="346">
        <v>5</v>
      </c>
      <c r="B9" s="378" t="s">
        <v>523</v>
      </c>
      <c r="C9" s="373">
        <v>0</v>
      </c>
      <c r="D9" s="373">
        <v>0</v>
      </c>
      <c r="E9" s="373">
        <f>'Cashflow '!E76</f>
        <v>16.699834413094905</v>
      </c>
      <c r="F9" s="373">
        <f>'Cashflow '!F76</f>
        <v>45.309735716077455</v>
      </c>
      <c r="G9" s="373">
        <f>'Cashflow '!G76</f>
        <v>49.354709615608101</v>
      </c>
      <c r="H9" s="373">
        <f>'Cashflow '!H76</f>
        <v>51.504904550987902</v>
      </c>
      <c r="I9" s="373">
        <f>'Cashflow '!I76</f>
        <v>53.604108130273346</v>
      </c>
      <c r="J9" s="373">
        <f>'Cashflow '!J76</f>
        <v>56.044279896022658</v>
      </c>
      <c r="K9" s="373">
        <f>'Cashflow '!K76</f>
        <v>58.774351042794322</v>
      </c>
      <c r="L9" s="373">
        <f>'Cashflow '!L76</f>
        <v>61.750905443710138</v>
      </c>
      <c r="M9" s="373">
        <f>'Cashflow '!M76</f>
        <v>113.57502870820869</v>
      </c>
      <c r="N9" s="373">
        <f>'Cashflow '!N76</f>
        <v>112.56192859986922</v>
      </c>
      <c r="O9" s="373">
        <f>'Cashflow '!O76</f>
        <v>111.70034224039509</v>
      </c>
      <c r="P9" s="373">
        <f>'Cashflow '!P76</f>
        <v>110.96758769419503</v>
      </c>
      <c r="Q9" s="373">
        <f>'Cashflow '!Q76</f>
        <v>110.34438080334266</v>
      </c>
      <c r="R9" s="373">
        <f>'Cashflow '!R76</f>
        <v>109.81432597219407</v>
      </c>
      <c r="S9" s="373">
        <f>'Cashflow '!S76</f>
        <v>109.36348328918606</v>
      </c>
    </row>
    <row r="10" spans="1:19" x14ac:dyDescent="0.2">
      <c r="A10" s="346">
        <v>6</v>
      </c>
      <c r="B10" s="378" t="s">
        <v>47</v>
      </c>
      <c r="C10" s="373">
        <f>SUM(C7:C9)</f>
        <v>237.33087500000002</v>
      </c>
      <c r="D10" s="373">
        <f t="shared" ref="D10:S10" si="3">SUM(D7:D9)</f>
        <v>474.66175000000004</v>
      </c>
      <c r="E10" s="373">
        <f t="shared" si="3"/>
        <v>471.16448440380287</v>
      </c>
      <c r="F10" s="373">
        <f t="shared" si="3"/>
        <v>500.97980037415522</v>
      </c>
      <c r="G10" s="373">
        <f t="shared" si="3"/>
        <v>506.83289627474056</v>
      </c>
      <c r="H10" s="373">
        <f t="shared" si="3"/>
        <v>508.98309121012039</v>
      </c>
      <c r="I10" s="373">
        <f t="shared" si="3"/>
        <v>511.08229478940581</v>
      </c>
      <c r="J10" s="373">
        <f t="shared" si="3"/>
        <v>513.52246655515512</v>
      </c>
      <c r="K10" s="373">
        <f t="shared" si="3"/>
        <v>516.25253770192683</v>
      </c>
      <c r="L10" s="373">
        <f t="shared" si="3"/>
        <v>519.22909210284263</v>
      </c>
      <c r="M10" s="373">
        <f t="shared" si="3"/>
        <v>571.05321536734118</v>
      </c>
      <c r="N10" s="373">
        <f t="shared" si="3"/>
        <v>570.04011525900171</v>
      </c>
      <c r="O10" s="373">
        <f t="shared" si="3"/>
        <v>569.17852889952758</v>
      </c>
      <c r="P10" s="373">
        <f t="shared" si="3"/>
        <v>568.44577435332747</v>
      </c>
      <c r="Q10" s="373">
        <f t="shared" si="3"/>
        <v>567.82256746247515</v>
      </c>
      <c r="R10" s="373">
        <f t="shared" si="3"/>
        <v>567.29251263132653</v>
      </c>
      <c r="S10" s="373">
        <f t="shared" si="3"/>
        <v>566.84166994831855</v>
      </c>
    </row>
    <row r="11" spans="1:19" x14ac:dyDescent="0.2">
      <c r="A11" s="372"/>
      <c r="B11" s="371"/>
      <c r="C11" s="377"/>
      <c r="D11" s="377"/>
      <c r="E11" s="375"/>
      <c r="F11" s="375"/>
      <c r="G11" s="375"/>
      <c r="H11" s="375"/>
      <c r="I11" s="375"/>
      <c r="J11" s="375"/>
      <c r="K11" s="375"/>
      <c r="L11" s="375"/>
      <c r="M11" s="375"/>
      <c r="N11" s="375"/>
      <c r="O11" s="375"/>
      <c r="P11" s="371"/>
      <c r="Q11" s="371"/>
      <c r="R11" s="371"/>
      <c r="S11" s="371"/>
    </row>
    <row r="12" spans="1:19" x14ac:dyDescent="0.2">
      <c r="A12" s="371"/>
      <c r="B12" s="371"/>
      <c r="C12" s="374"/>
      <c r="D12" s="374"/>
      <c r="E12" s="374"/>
      <c r="F12" s="374"/>
      <c r="G12" s="374"/>
      <c r="H12" s="374"/>
      <c r="I12" s="374"/>
      <c r="J12" s="374"/>
      <c r="K12" s="374"/>
      <c r="L12" s="374"/>
      <c r="M12" s="374"/>
      <c r="N12" s="374"/>
      <c r="O12" s="376"/>
      <c r="P12" s="376"/>
      <c r="Q12" s="371"/>
      <c r="R12" s="371"/>
      <c r="S12" s="371"/>
    </row>
    <row r="13" spans="1:19" x14ac:dyDescent="0.2">
      <c r="A13" s="663" t="s">
        <v>402</v>
      </c>
      <c r="B13" s="388" t="s">
        <v>350</v>
      </c>
      <c r="C13" s="346">
        <v>-2</v>
      </c>
      <c r="D13" s="346">
        <v>-1</v>
      </c>
      <c r="E13" s="379">
        <v>1</v>
      </c>
      <c r="F13" s="346">
        <v>2</v>
      </c>
      <c r="G13" s="346">
        <v>3</v>
      </c>
      <c r="H13" s="346">
        <v>4</v>
      </c>
      <c r="I13" s="346">
        <v>5</v>
      </c>
      <c r="J13" s="346">
        <v>6</v>
      </c>
      <c r="K13" s="346">
        <v>7</v>
      </c>
      <c r="L13" s="346">
        <v>8</v>
      </c>
      <c r="M13" s="346">
        <v>9</v>
      </c>
      <c r="N13" s="346">
        <v>10</v>
      </c>
      <c r="O13" s="346">
        <v>11</v>
      </c>
      <c r="P13" s="346">
        <v>12</v>
      </c>
      <c r="Q13" s="346">
        <v>13</v>
      </c>
      <c r="R13" s="346">
        <v>14</v>
      </c>
      <c r="S13" s="346">
        <v>15</v>
      </c>
    </row>
    <row r="14" spans="1:19" x14ac:dyDescent="0.2">
      <c r="A14" s="352">
        <v>1</v>
      </c>
      <c r="B14" s="380" t="s">
        <v>526</v>
      </c>
      <c r="C14" s="381">
        <f>Capex!B76/100</f>
        <v>118.66543750000001</v>
      </c>
      <c r="D14" s="381">
        <f>C14</f>
        <v>118.66543750000001</v>
      </c>
      <c r="E14" s="381">
        <f>C14</f>
        <v>118.66543750000001</v>
      </c>
      <c r="F14" s="381">
        <f t="shared" ref="F14:S14" si="4">E14</f>
        <v>118.66543750000001</v>
      </c>
      <c r="G14" s="381">
        <f t="shared" si="4"/>
        <v>118.66543750000001</v>
      </c>
      <c r="H14" s="381">
        <f t="shared" si="4"/>
        <v>118.66543750000001</v>
      </c>
      <c r="I14" s="381">
        <f t="shared" si="4"/>
        <v>118.66543750000001</v>
      </c>
      <c r="J14" s="381">
        <f t="shared" si="4"/>
        <v>118.66543750000001</v>
      </c>
      <c r="K14" s="381">
        <f t="shared" si="4"/>
        <v>118.66543750000001</v>
      </c>
      <c r="L14" s="381">
        <f t="shared" si="4"/>
        <v>118.66543750000001</v>
      </c>
      <c r="M14" s="381">
        <f t="shared" si="4"/>
        <v>118.66543750000001</v>
      </c>
      <c r="N14" s="381">
        <f t="shared" si="4"/>
        <v>118.66543750000001</v>
      </c>
      <c r="O14" s="381">
        <f t="shared" si="4"/>
        <v>118.66543750000001</v>
      </c>
      <c r="P14" s="381">
        <f t="shared" si="4"/>
        <v>118.66543750000001</v>
      </c>
      <c r="Q14" s="381">
        <f t="shared" si="4"/>
        <v>118.66543750000001</v>
      </c>
      <c r="R14" s="381">
        <f t="shared" si="4"/>
        <v>118.66543750000001</v>
      </c>
      <c r="S14" s="381">
        <f t="shared" si="4"/>
        <v>118.66543750000001</v>
      </c>
    </row>
    <row r="15" spans="1:19" x14ac:dyDescent="0.2">
      <c r="A15" s="202">
        <v>2</v>
      </c>
      <c r="B15" s="370" t="s">
        <v>529</v>
      </c>
      <c r="C15" s="382">
        <v>0</v>
      </c>
      <c r="D15" s="382">
        <v>0</v>
      </c>
      <c r="E15" s="382">
        <f>'Cashflow '!F31</f>
        <v>8.0397002498344001</v>
      </c>
      <c r="F15" s="382">
        <f>'Cashflow '!G31</f>
        <v>42.575808278066788</v>
      </c>
      <c r="G15" s="382">
        <f>'Cashflow '!H31</f>
        <v>81.307567039251097</v>
      </c>
      <c r="H15" s="382">
        <f>'Cashflow '!I31</f>
        <v>121.73749023555152</v>
      </c>
      <c r="I15" s="382">
        <f>'Cashflow '!J31</f>
        <v>164.26661701113738</v>
      </c>
      <c r="J15" s="382">
        <f>'Cashflow '!K31</f>
        <v>209.23591555247256</v>
      </c>
      <c r="K15" s="382">
        <f>'Cashflow '!L31</f>
        <v>256.93528524057939</v>
      </c>
      <c r="L15" s="382">
        <f>'Cashflow '!M31</f>
        <v>307.61120932960205</v>
      </c>
      <c r="M15" s="382">
        <f>'Cashflow '!N31</f>
        <v>361.47326048781076</v>
      </c>
      <c r="N15" s="382">
        <f>'Cashflow '!O31</f>
        <v>414.32221153768</v>
      </c>
      <c r="O15" s="382">
        <f>'Cashflow '!P31</f>
        <v>466.30957622807512</v>
      </c>
      <c r="P15" s="382">
        <f>'Cashflow '!Q31</f>
        <v>517.56418637227011</v>
      </c>
      <c r="Q15" s="382">
        <f>'Cashflow '!R31</f>
        <v>568.1955896256128</v>
      </c>
      <c r="R15" s="382">
        <f>'Cashflow '!S31</f>
        <v>618.29693804780686</v>
      </c>
      <c r="S15" s="382">
        <f>'Cashflow '!T31</f>
        <v>667.94744378699295</v>
      </c>
    </row>
    <row r="16" spans="1:19" x14ac:dyDescent="0.2">
      <c r="A16" s="202">
        <v>3</v>
      </c>
      <c r="B16" s="370" t="s">
        <v>527</v>
      </c>
      <c r="C16" s="382">
        <f>'Cashflow '!C63</f>
        <v>118.66543750000001</v>
      </c>
      <c r="D16" s="382">
        <f>'Cashflow '!D63+'Cashflow '!C63</f>
        <v>355.99631250000004</v>
      </c>
      <c r="E16" s="382">
        <f>'Cashflow '!E90</f>
        <v>389.10396956250008</v>
      </c>
      <c r="F16" s="382">
        <f>'Cashflow '!F90</f>
        <v>340.46597336718759</v>
      </c>
      <c r="G16" s="382">
        <f>'Cashflow '!G90</f>
        <v>291.82797717187509</v>
      </c>
      <c r="H16" s="382">
        <f>'Cashflow '!H90</f>
        <v>243.18998097656259</v>
      </c>
      <c r="I16" s="382">
        <f>'Cashflow '!I90</f>
        <v>194.5519847812501</v>
      </c>
      <c r="J16" s="382">
        <f>'Cashflow '!J90</f>
        <v>145.9139885859376</v>
      </c>
      <c r="K16" s="382">
        <f>'Cashflow '!K90</f>
        <v>97.275992390625092</v>
      </c>
      <c r="L16" s="382">
        <f>'Cashflow '!L90</f>
        <v>48.637996195312581</v>
      </c>
      <c r="M16" s="382">
        <f>'Cashflow '!M90</f>
        <v>7.1054273576010019E-14</v>
      </c>
      <c r="N16" s="382">
        <f>'Cashflow '!N90</f>
        <v>7.1054273576010019E-14</v>
      </c>
      <c r="O16" s="382">
        <f>'Cashflow '!O90</f>
        <v>7.1054273576010019E-14</v>
      </c>
      <c r="P16" s="382">
        <f>'Cashflow '!P90</f>
        <v>7.1054273576010019E-14</v>
      </c>
      <c r="Q16" s="382">
        <f>'Cashflow '!Q90</f>
        <v>7.1054273576010019E-14</v>
      </c>
      <c r="R16" s="382">
        <f>'Cashflow '!R90</f>
        <v>7.1054273576010019E-14</v>
      </c>
      <c r="S16" s="382">
        <f>'Cashflow '!S90</f>
        <v>7.1054273576010019E-14</v>
      </c>
    </row>
    <row r="17" spans="1:19" x14ac:dyDescent="0.2">
      <c r="A17" s="202">
        <v>5</v>
      </c>
      <c r="B17" s="383" t="s">
        <v>528</v>
      </c>
      <c r="C17" s="384">
        <v>0</v>
      </c>
      <c r="D17" s="384">
        <v>0</v>
      </c>
      <c r="E17" s="384">
        <f>'Working Capital'!D18</f>
        <v>7.244541574280956</v>
      </c>
      <c r="F17" s="384">
        <f>'Working Capital'!E18</f>
        <v>8.148602574808308</v>
      </c>
      <c r="G17" s="384">
        <f>'Working Capital'!F18</f>
        <v>9.5046940755993354</v>
      </c>
      <c r="H17" s="384">
        <f>'Working Capital'!G18</f>
        <v>9.5046940755993354</v>
      </c>
      <c r="I17" s="384">
        <f>'Working Capital'!H18</f>
        <v>9.5046940755993354</v>
      </c>
      <c r="J17" s="384">
        <f>'Working Capital'!I18</f>
        <v>9.5046940755993354</v>
      </c>
      <c r="K17" s="384">
        <f>'Working Capital'!J18</f>
        <v>9.5046940755993354</v>
      </c>
      <c r="L17" s="384">
        <f>'Working Capital'!K18</f>
        <v>9.5046940755993354</v>
      </c>
      <c r="M17" s="384">
        <f>'Working Capital'!L18</f>
        <v>9.5046940755993354</v>
      </c>
      <c r="N17" s="384">
        <f>'Working Capital'!M18</f>
        <v>9.5046940755993354</v>
      </c>
      <c r="O17" s="384">
        <f>'Working Capital'!N18</f>
        <v>9.5046940755993354</v>
      </c>
      <c r="P17" s="384">
        <f>'Working Capital'!O18</f>
        <v>9.5046940755993354</v>
      </c>
      <c r="Q17" s="384">
        <f>'Working Capital'!P18</f>
        <v>9.5046940755993354</v>
      </c>
      <c r="R17" s="384">
        <f>'Working Capital'!Q18</f>
        <v>9.5046940755993354</v>
      </c>
      <c r="S17" s="384">
        <f>'Working Capital'!R18</f>
        <v>9.5046940755993354</v>
      </c>
    </row>
    <row r="18" spans="1:19" x14ac:dyDescent="0.2">
      <c r="A18" s="346">
        <v>6</v>
      </c>
      <c r="B18" s="378" t="s">
        <v>47</v>
      </c>
      <c r="C18" s="373">
        <f>SUM(C14:C17)</f>
        <v>237.33087500000002</v>
      </c>
      <c r="D18" s="373">
        <f t="shared" ref="D18:S18" si="5">SUM(D14:D17)</f>
        <v>474.66175000000004</v>
      </c>
      <c r="E18" s="373">
        <f t="shared" si="5"/>
        <v>523.05364888661541</v>
      </c>
      <c r="F18" s="373">
        <f t="shared" si="5"/>
        <v>509.85582172006269</v>
      </c>
      <c r="G18" s="373">
        <f t="shared" si="5"/>
        <v>501.30567578672554</v>
      </c>
      <c r="H18" s="373">
        <f t="shared" si="5"/>
        <v>493.09760278771347</v>
      </c>
      <c r="I18" s="373">
        <f t="shared" si="5"/>
        <v>486.98873336798681</v>
      </c>
      <c r="J18" s="373">
        <f t="shared" si="5"/>
        <v>483.32003571400952</v>
      </c>
      <c r="K18" s="373">
        <f t="shared" si="5"/>
        <v>482.38140920680382</v>
      </c>
      <c r="L18" s="373">
        <f t="shared" si="5"/>
        <v>484.41933710051399</v>
      </c>
      <c r="M18" s="373">
        <f t="shared" si="5"/>
        <v>489.64339206341015</v>
      </c>
      <c r="N18" s="373">
        <f t="shared" si="5"/>
        <v>542.4923431132795</v>
      </c>
      <c r="O18" s="373">
        <f t="shared" si="5"/>
        <v>594.47970780367461</v>
      </c>
      <c r="P18" s="373">
        <f t="shared" si="5"/>
        <v>645.73431794786961</v>
      </c>
      <c r="Q18" s="373">
        <f t="shared" si="5"/>
        <v>696.3657212012123</v>
      </c>
      <c r="R18" s="373">
        <f t="shared" si="5"/>
        <v>746.46706962340636</v>
      </c>
      <c r="S18" s="373">
        <f t="shared" si="5"/>
        <v>796.11757536259245</v>
      </c>
    </row>
    <row r="20" spans="1:19" x14ac:dyDescent="0.2">
      <c r="B20" s="372" t="s">
        <v>534</v>
      </c>
      <c r="C20" s="664">
        <f>C10-C18</f>
        <v>0</v>
      </c>
      <c r="D20" s="664">
        <f t="shared" ref="D20:S20" si="6">D10-D18</f>
        <v>0</v>
      </c>
      <c r="E20" s="664">
        <f t="shared" si="6"/>
        <v>-51.889164482812532</v>
      </c>
      <c r="F20" s="664">
        <f t="shared" si="6"/>
        <v>-8.8760213459074748</v>
      </c>
      <c r="G20" s="664">
        <f t="shared" si="6"/>
        <v>5.5272204880150184</v>
      </c>
      <c r="H20" s="664">
        <f t="shared" si="6"/>
        <v>15.885488422406922</v>
      </c>
      <c r="I20" s="664">
        <f t="shared" si="6"/>
        <v>24.093561421418997</v>
      </c>
      <c r="J20" s="664">
        <f t="shared" si="6"/>
        <v>30.202430841145599</v>
      </c>
      <c r="K20" s="664">
        <f t="shared" si="6"/>
        <v>33.871128495123003</v>
      </c>
      <c r="L20" s="664">
        <f t="shared" si="6"/>
        <v>34.809755002328643</v>
      </c>
      <c r="M20" s="664">
        <f t="shared" si="6"/>
        <v>81.409823303931034</v>
      </c>
      <c r="N20" s="664">
        <f t="shared" si="6"/>
        <v>27.547772145722206</v>
      </c>
      <c r="O20" s="664">
        <f t="shared" si="6"/>
        <v>-25.301178904147037</v>
      </c>
      <c r="P20" s="664">
        <f t="shared" si="6"/>
        <v>-77.288543594542148</v>
      </c>
      <c r="Q20" s="664">
        <f t="shared" si="6"/>
        <v>-128.54315373873715</v>
      </c>
      <c r="R20" s="664">
        <f t="shared" si="6"/>
        <v>-179.17455699207983</v>
      </c>
      <c r="S20" s="664">
        <f t="shared" si="6"/>
        <v>-229.27590541427389</v>
      </c>
    </row>
  </sheetData>
  <mergeCells count="1">
    <mergeCell ref="A3:S3"/>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92"/>
  <sheetViews>
    <sheetView showGridLines="0" zoomScale="85" zoomScaleNormal="85" workbookViewId="0">
      <selection activeCell="D4" sqref="D4"/>
    </sheetView>
  </sheetViews>
  <sheetFormatPr defaultColWidth="9.140625" defaultRowHeight="12.75" x14ac:dyDescent="0.2"/>
  <cols>
    <col min="1" max="1" width="34.85546875" style="184" bestFit="1" customWidth="1"/>
    <col min="2" max="2" width="70" style="184" customWidth="1"/>
    <col min="3" max="3" width="40.7109375" style="184" customWidth="1"/>
    <col min="4" max="4" width="25" style="184" bestFit="1" customWidth="1"/>
    <col min="5" max="5" width="20" style="184" bestFit="1" customWidth="1"/>
    <col min="6" max="6" width="25.7109375" style="184" customWidth="1"/>
    <col min="7" max="7" width="11.140625" style="184" bestFit="1" customWidth="1"/>
    <col min="8" max="8" width="26.5703125" style="184" bestFit="1" customWidth="1"/>
    <col min="9" max="9" width="20.5703125" style="184" customWidth="1"/>
    <col min="10" max="10" width="30.7109375" style="185" bestFit="1" customWidth="1"/>
    <col min="11" max="19" width="9.140625" style="185"/>
    <col min="20" max="23" width="9.140625" style="216"/>
    <col min="24" max="16384" width="9.140625" style="185"/>
  </cols>
  <sheetData>
    <row r="1" spans="1:41" x14ac:dyDescent="0.2">
      <c r="A1" s="688" t="s">
        <v>197</v>
      </c>
      <c r="B1" s="688"/>
      <c r="C1" s="688"/>
      <c r="D1" s="688"/>
      <c r="E1" s="688"/>
      <c r="F1" s="185"/>
      <c r="G1" s="185"/>
      <c r="H1" s="185"/>
      <c r="I1" s="185"/>
    </row>
    <row r="2" spans="1:41" ht="38.25" customHeight="1" x14ac:dyDescent="0.2">
      <c r="A2" s="138" t="s">
        <v>206</v>
      </c>
      <c r="B2" s="80" t="s">
        <v>204</v>
      </c>
      <c r="C2" s="80" t="s">
        <v>198</v>
      </c>
      <c r="D2" s="80" t="s">
        <v>207</v>
      </c>
      <c r="E2" s="139" t="s">
        <v>45</v>
      </c>
      <c r="F2" s="185"/>
      <c r="G2" s="185"/>
      <c r="H2" s="185"/>
      <c r="I2" s="185"/>
    </row>
    <row r="3" spans="1:41" ht="38.25" customHeight="1" x14ac:dyDescent="0.2">
      <c r="A3" s="724" t="s">
        <v>134</v>
      </c>
      <c r="B3" s="728">
        <v>82500</v>
      </c>
      <c r="C3" s="152" t="s">
        <v>136</v>
      </c>
      <c r="D3" s="152">
        <f>Norms!$D$3*100000</f>
        <v>28749.999999999996</v>
      </c>
      <c r="E3" s="140" t="s">
        <v>46</v>
      </c>
      <c r="F3" s="185"/>
      <c r="G3" s="185"/>
      <c r="H3" s="185"/>
      <c r="I3" s="185"/>
    </row>
    <row r="4" spans="1:41" ht="38.25" customHeight="1" x14ac:dyDescent="0.2">
      <c r="A4" s="724"/>
      <c r="B4" s="728"/>
      <c r="C4" s="152" t="s">
        <v>205</v>
      </c>
      <c r="D4" s="152">
        <f>Norms!$D$4*100000</f>
        <v>8.5</v>
      </c>
      <c r="E4" s="140" t="s">
        <v>199</v>
      </c>
      <c r="F4" s="185"/>
      <c r="G4" s="185"/>
      <c r="H4" s="185"/>
      <c r="I4" s="185"/>
    </row>
    <row r="5" spans="1:41" ht="38.25" customHeight="1" x14ac:dyDescent="0.2">
      <c r="A5" s="724" t="s">
        <v>177</v>
      </c>
      <c r="B5" s="728">
        <v>100000</v>
      </c>
      <c r="C5" s="152" t="s">
        <v>187</v>
      </c>
      <c r="D5" s="152">
        <f>Norms!$D$5*100000</f>
        <v>78700</v>
      </c>
      <c r="E5" s="140" t="s">
        <v>46</v>
      </c>
      <c r="F5" s="185"/>
      <c r="G5" s="185"/>
      <c r="H5" s="185"/>
      <c r="I5" s="185"/>
    </row>
    <row r="6" spans="1:41" ht="38.25" customHeight="1" x14ac:dyDescent="0.2">
      <c r="A6" s="725"/>
      <c r="B6" s="729"/>
      <c r="C6" s="153" t="s">
        <v>136</v>
      </c>
      <c r="D6" s="153">
        <f>Norms!$D$6*100000</f>
        <v>21300</v>
      </c>
      <c r="E6" s="141" t="s">
        <v>46</v>
      </c>
      <c r="F6" s="185"/>
      <c r="G6" s="185"/>
      <c r="H6" s="185"/>
      <c r="I6" s="185"/>
    </row>
    <row r="7" spans="1:41" x14ac:dyDescent="0.2">
      <c r="A7" s="716" t="s">
        <v>222</v>
      </c>
      <c r="B7" s="716"/>
      <c r="C7" s="716"/>
      <c r="D7" s="185"/>
      <c r="E7" s="185"/>
      <c r="F7" s="185"/>
      <c r="G7" s="185"/>
      <c r="H7" s="185"/>
      <c r="I7" s="185"/>
    </row>
    <row r="8" spans="1:41" s="187" customFormat="1" x14ac:dyDescent="0.2">
      <c r="A8" s="163" t="s">
        <v>97</v>
      </c>
      <c r="B8" s="164" t="s">
        <v>1</v>
      </c>
      <c r="C8" s="193" t="s">
        <v>217</v>
      </c>
      <c r="D8" s="227" t="s">
        <v>266</v>
      </c>
      <c r="E8" s="185"/>
      <c r="F8" s="185"/>
      <c r="G8" s="185"/>
      <c r="H8" s="185"/>
      <c r="I8" s="185"/>
      <c r="J8" s="185"/>
      <c r="K8" s="186"/>
      <c r="L8" s="186"/>
      <c r="M8" s="186"/>
      <c r="N8" s="186"/>
      <c r="O8" s="186"/>
      <c r="P8" s="186"/>
      <c r="Q8" s="186"/>
      <c r="R8" s="186"/>
      <c r="S8" s="186"/>
      <c r="T8" s="217"/>
      <c r="U8" s="217"/>
      <c r="V8" s="217"/>
      <c r="W8" s="217"/>
      <c r="X8" s="186"/>
      <c r="Y8" s="186"/>
      <c r="Z8" s="186"/>
      <c r="AA8" s="186"/>
      <c r="AB8" s="186"/>
      <c r="AC8" s="186"/>
      <c r="AD8" s="186"/>
      <c r="AE8" s="186"/>
      <c r="AF8" s="186"/>
      <c r="AG8" s="186"/>
      <c r="AH8" s="186"/>
      <c r="AI8" s="186"/>
      <c r="AJ8" s="186"/>
      <c r="AK8" s="186"/>
      <c r="AL8" s="186"/>
      <c r="AM8" s="186"/>
      <c r="AN8" s="186"/>
      <c r="AO8" s="186"/>
    </row>
    <row r="9" spans="1:41" s="187" customFormat="1" ht="12.75" hidden="1" customHeight="1" x14ac:dyDescent="0.2">
      <c r="A9" s="723" t="s">
        <v>100</v>
      </c>
      <c r="B9" s="14" t="s">
        <v>0</v>
      </c>
      <c r="C9" s="165" t="e">
        <v>#DIV/0!</v>
      </c>
      <c r="D9" s="185"/>
      <c r="E9" s="185"/>
      <c r="F9" s="185"/>
      <c r="G9" s="185"/>
      <c r="H9" s="185"/>
      <c r="I9" s="185"/>
      <c r="J9" s="185"/>
      <c r="K9" s="186"/>
      <c r="L9" s="186"/>
      <c r="M9" s="186"/>
      <c r="N9" s="186"/>
      <c r="O9" s="186"/>
      <c r="P9" s="186"/>
      <c r="Q9" s="186"/>
      <c r="R9" s="186"/>
      <c r="S9" s="186"/>
      <c r="T9" s="217"/>
      <c r="U9" s="217"/>
      <c r="V9" s="217"/>
      <c r="W9" s="217"/>
      <c r="X9" s="186"/>
      <c r="Y9" s="186"/>
      <c r="Z9" s="186"/>
      <c r="AA9" s="186"/>
      <c r="AB9" s="186"/>
      <c r="AC9" s="186"/>
      <c r="AD9" s="186"/>
      <c r="AE9" s="186"/>
      <c r="AF9" s="186"/>
      <c r="AG9" s="186"/>
      <c r="AH9" s="186"/>
      <c r="AI9" s="186"/>
      <c r="AJ9" s="186"/>
      <c r="AK9" s="186"/>
      <c r="AL9" s="186"/>
      <c r="AM9" s="186"/>
      <c r="AN9" s="186"/>
      <c r="AO9" s="186"/>
    </row>
    <row r="10" spans="1:41" s="187" customFormat="1" ht="12.75" hidden="1" customHeight="1" x14ac:dyDescent="0.2">
      <c r="A10" s="724"/>
      <c r="B10" s="167" t="s">
        <v>135</v>
      </c>
      <c r="C10" s="165" t="e">
        <v>#DIV/0!</v>
      </c>
      <c r="D10" s="185"/>
      <c r="E10" s="185"/>
      <c r="F10" s="185"/>
      <c r="G10" s="185"/>
      <c r="H10" s="185"/>
      <c r="I10" s="185"/>
      <c r="J10" s="185"/>
      <c r="K10" s="186"/>
      <c r="L10" s="186"/>
      <c r="M10" s="186"/>
      <c r="N10" s="186"/>
      <c r="O10" s="186"/>
      <c r="P10" s="186"/>
      <c r="Q10" s="186"/>
      <c r="R10" s="186"/>
      <c r="S10" s="186"/>
      <c r="T10" s="217"/>
      <c r="U10" s="217"/>
      <c r="V10" s="217"/>
      <c r="W10" s="217"/>
      <c r="X10" s="186"/>
      <c r="Y10" s="186"/>
      <c r="Z10" s="186"/>
      <c r="AA10" s="186"/>
      <c r="AB10" s="186"/>
      <c r="AC10" s="186"/>
      <c r="AD10" s="186"/>
      <c r="AE10" s="186"/>
      <c r="AF10" s="186"/>
      <c r="AG10" s="186"/>
      <c r="AH10" s="186"/>
      <c r="AI10" s="186"/>
      <c r="AJ10" s="186"/>
      <c r="AK10" s="186"/>
      <c r="AL10" s="186"/>
      <c r="AM10" s="186"/>
      <c r="AN10" s="186"/>
      <c r="AO10" s="186"/>
    </row>
    <row r="11" spans="1:41" s="187" customFormat="1" x14ac:dyDescent="0.2">
      <c r="A11" s="723" t="s">
        <v>102</v>
      </c>
      <c r="B11" s="168" t="s">
        <v>238</v>
      </c>
      <c r="C11" s="165">
        <v>26536.75</v>
      </c>
      <c r="D11" s="185"/>
      <c r="E11" s="185"/>
      <c r="F11" s="185"/>
      <c r="G11" s="185"/>
      <c r="H11" s="185"/>
      <c r="I11" s="185"/>
      <c r="J11" s="185"/>
      <c r="K11" s="186"/>
      <c r="L11" s="186"/>
      <c r="M11" s="186"/>
      <c r="N11" s="186"/>
      <c r="O11" s="186"/>
      <c r="P11" s="186"/>
      <c r="Q11" s="186"/>
      <c r="R11" s="186"/>
      <c r="S11" s="186"/>
      <c r="T11" s="217"/>
      <c r="U11" s="217"/>
      <c r="V11" s="217"/>
      <c r="W11" s="217"/>
      <c r="X11" s="186"/>
      <c r="Y11" s="186"/>
      <c r="Z11" s="186"/>
      <c r="AA11" s="186"/>
      <c r="AB11" s="186"/>
      <c r="AC11" s="186"/>
      <c r="AD11" s="186"/>
      <c r="AE11" s="186"/>
      <c r="AF11" s="186"/>
      <c r="AG11" s="186"/>
      <c r="AH11" s="186"/>
      <c r="AI11" s="186"/>
      <c r="AJ11" s="186"/>
      <c r="AK11" s="186"/>
      <c r="AL11" s="186"/>
      <c r="AM11" s="186"/>
      <c r="AN11" s="186"/>
      <c r="AO11" s="186"/>
    </row>
    <row r="12" spans="1:41" s="187" customFormat="1" x14ac:dyDescent="0.2">
      <c r="A12" s="724"/>
      <c r="B12" s="170" t="s">
        <v>239</v>
      </c>
      <c r="C12" s="171">
        <v>10335.608065151127</v>
      </c>
      <c r="D12" s="185"/>
      <c r="E12" s="185"/>
      <c r="F12" s="185"/>
      <c r="G12" s="185"/>
      <c r="H12" s="185"/>
      <c r="I12" s="185"/>
      <c r="J12" s="185"/>
      <c r="K12" s="186"/>
      <c r="L12" s="186"/>
      <c r="M12" s="186"/>
      <c r="N12" s="186"/>
      <c r="O12" s="186"/>
      <c r="P12" s="186"/>
      <c r="Q12" s="186"/>
      <c r="R12" s="186"/>
      <c r="S12" s="186"/>
      <c r="T12" s="217"/>
      <c r="U12" s="217"/>
      <c r="V12" s="217"/>
      <c r="W12" s="217"/>
      <c r="X12" s="186"/>
      <c r="Y12" s="186"/>
      <c r="Z12" s="186"/>
      <c r="AA12" s="186"/>
      <c r="AB12" s="186"/>
      <c r="AC12" s="186"/>
      <c r="AD12" s="186"/>
      <c r="AE12" s="186"/>
      <c r="AF12" s="186"/>
      <c r="AG12" s="186"/>
      <c r="AH12" s="186"/>
      <c r="AI12" s="186"/>
      <c r="AJ12" s="186"/>
      <c r="AK12" s="186"/>
      <c r="AL12" s="186"/>
      <c r="AM12" s="186"/>
      <c r="AN12" s="186"/>
      <c r="AO12" s="186"/>
    </row>
    <row r="13" spans="1:41" s="187" customFormat="1" x14ac:dyDescent="0.2">
      <c r="A13" s="725"/>
      <c r="B13" s="172" t="s">
        <v>238</v>
      </c>
      <c r="C13" s="173">
        <v>29242.25</v>
      </c>
      <c r="D13" s="185"/>
      <c r="E13" s="185"/>
      <c r="F13" s="185"/>
      <c r="G13" s="185"/>
      <c r="H13" s="185"/>
      <c r="I13" s="185"/>
      <c r="J13" s="185"/>
      <c r="K13" s="186"/>
      <c r="L13" s="186"/>
      <c r="M13" s="186"/>
      <c r="N13" s="186"/>
      <c r="O13" s="186"/>
      <c r="P13" s="186"/>
      <c r="Q13" s="186"/>
      <c r="R13" s="186"/>
      <c r="S13" s="186"/>
      <c r="T13" s="217"/>
      <c r="U13" s="217"/>
      <c r="V13" s="217"/>
      <c r="W13" s="217"/>
      <c r="X13" s="186"/>
      <c r="Y13" s="186"/>
      <c r="Z13" s="186"/>
      <c r="AA13" s="186"/>
      <c r="AB13" s="186"/>
      <c r="AC13" s="186"/>
      <c r="AD13" s="186"/>
      <c r="AE13" s="186"/>
      <c r="AF13" s="186"/>
      <c r="AG13" s="186"/>
      <c r="AH13" s="186"/>
      <c r="AI13" s="186"/>
      <c r="AJ13" s="186"/>
      <c r="AK13" s="186"/>
      <c r="AL13" s="186"/>
      <c r="AM13" s="186"/>
      <c r="AN13" s="186"/>
      <c r="AO13" s="186"/>
    </row>
    <row r="14" spans="1:41" s="187" customFormat="1" x14ac:dyDescent="0.2">
      <c r="A14" s="210" t="s">
        <v>137</v>
      </c>
      <c r="B14" s="211" t="s">
        <v>240</v>
      </c>
      <c r="C14" s="212">
        <v>100000</v>
      </c>
      <c r="D14" s="213" t="s">
        <v>265</v>
      </c>
      <c r="E14" s="185"/>
      <c r="F14" s="185"/>
      <c r="G14" s="185"/>
      <c r="H14" s="185"/>
      <c r="I14" s="185"/>
      <c r="J14" s="185"/>
      <c r="K14" s="186"/>
      <c r="L14" s="186"/>
      <c r="M14" s="186"/>
      <c r="N14" s="186"/>
      <c r="O14" s="186"/>
      <c r="P14" s="186"/>
      <c r="Q14" s="186"/>
      <c r="R14" s="186"/>
      <c r="S14" s="186"/>
      <c r="T14" s="217"/>
      <c r="U14" s="217"/>
      <c r="V14" s="217"/>
      <c r="W14" s="217"/>
      <c r="X14" s="186"/>
      <c r="Y14" s="186"/>
      <c r="Z14" s="186"/>
      <c r="AA14" s="186"/>
      <c r="AB14" s="186"/>
      <c r="AC14" s="186"/>
      <c r="AD14" s="186"/>
      <c r="AE14" s="186"/>
      <c r="AF14" s="186"/>
      <c r="AG14" s="186"/>
      <c r="AH14" s="186"/>
      <c r="AI14" s="186"/>
      <c r="AJ14" s="186"/>
      <c r="AK14" s="186"/>
      <c r="AL14" s="186"/>
      <c r="AM14" s="186"/>
      <c r="AN14" s="186"/>
      <c r="AO14" s="186"/>
    </row>
    <row r="15" spans="1:41" s="187" customFormat="1" ht="15" customHeight="1" x14ac:dyDescent="0.2">
      <c r="A15" s="723" t="s">
        <v>140</v>
      </c>
      <c r="B15" s="174" t="s">
        <v>42</v>
      </c>
      <c r="C15" s="214">
        <v>1928.3693750000002</v>
      </c>
      <c r="D15" s="213" t="s">
        <v>265</v>
      </c>
      <c r="E15" s="185"/>
      <c r="F15" s="185"/>
      <c r="G15" s="185"/>
      <c r="H15" s="185"/>
      <c r="I15" s="185"/>
      <c r="J15" s="185"/>
      <c r="T15" s="218"/>
      <c r="U15" s="218"/>
      <c r="V15" s="218"/>
      <c r="W15" s="218"/>
    </row>
    <row r="16" spans="1:41" s="187" customFormat="1" x14ac:dyDescent="0.2">
      <c r="A16" s="724"/>
      <c r="B16" s="175" t="s">
        <v>41</v>
      </c>
      <c r="C16" s="215">
        <v>5387255.0749999993</v>
      </c>
      <c r="D16" s="213" t="s">
        <v>265</v>
      </c>
      <c r="E16" s="185"/>
      <c r="F16" s="185"/>
      <c r="G16" s="185"/>
      <c r="H16" s="185"/>
      <c r="I16" s="185"/>
      <c r="J16" s="185"/>
      <c r="T16" s="218"/>
      <c r="U16" s="218"/>
      <c r="V16" s="218"/>
      <c r="W16" s="218"/>
    </row>
    <row r="17" spans="1:42" s="187" customFormat="1" x14ac:dyDescent="0.2">
      <c r="A17" s="724"/>
      <c r="B17" s="175"/>
      <c r="C17" s="171"/>
      <c r="D17" s="213" t="s">
        <v>265</v>
      </c>
      <c r="E17" s="185"/>
      <c r="F17" s="185"/>
      <c r="G17" s="185"/>
      <c r="H17" s="185"/>
      <c r="I17" s="185"/>
      <c r="J17" s="185"/>
      <c r="T17" s="218"/>
      <c r="U17" s="218"/>
      <c r="V17" s="218"/>
      <c r="W17" s="218"/>
    </row>
    <row r="18" spans="1:42" s="187" customFormat="1" ht="24.75" customHeight="1" x14ac:dyDescent="0.2">
      <c r="A18" s="724"/>
      <c r="B18" s="175" t="s">
        <v>40</v>
      </c>
      <c r="C18" s="171">
        <v>338.58106500000002</v>
      </c>
      <c r="D18" s="213" t="s">
        <v>265</v>
      </c>
      <c r="E18" s="185"/>
      <c r="F18" s="185"/>
      <c r="G18" s="185"/>
      <c r="H18" s="185"/>
      <c r="I18" s="185"/>
      <c r="J18" s="185"/>
      <c r="T18" s="218"/>
      <c r="U18" s="218"/>
      <c r="V18" s="218"/>
      <c r="W18" s="218"/>
    </row>
    <row r="19" spans="1:42" s="187" customFormat="1" x14ac:dyDescent="0.2">
      <c r="A19" s="724"/>
      <c r="B19" s="175"/>
      <c r="C19" s="171"/>
      <c r="D19" s="213" t="s">
        <v>265</v>
      </c>
      <c r="E19" s="185"/>
      <c r="F19" s="185"/>
      <c r="G19" s="185"/>
      <c r="H19" s="185"/>
      <c r="I19" s="185"/>
      <c r="J19" s="185"/>
      <c r="T19" s="218"/>
      <c r="U19" s="218"/>
      <c r="V19" s="218"/>
      <c r="W19" s="218"/>
    </row>
    <row r="20" spans="1:42" s="187" customFormat="1" ht="12" customHeight="1" x14ac:dyDescent="0.2">
      <c r="A20" s="724"/>
      <c r="B20" s="175" t="s">
        <v>149</v>
      </c>
      <c r="C20" s="171" t="e">
        <v>#DIV/0!</v>
      </c>
      <c r="D20" s="213" t="s">
        <v>265</v>
      </c>
      <c r="E20" s="185"/>
      <c r="F20" s="185"/>
      <c r="G20" s="185"/>
      <c r="H20" s="185"/>
      <c r="I20" s="185"/>
      <c r="J20" s="185"/>
      <c r="T20" s="218"/>
      <c r="U20" s="218"/>
      <c r="V20" s="218"/>
      <c r="W20" s="218"/>
    </row>
    <row r="21" spans="1:42" s="187" customFormat="1" x14ac:dyDescent="0.2">
      <c r="A21" s="724"/>
      <c r="B21" s="177" t="s">
        <v>105</v>
      </c>
      <c r="C21" s="171">
        <v>43439.057500000003</v>
      </c>
      <c r="D21" s="213" t="s">
        <v>265</v>
      </c>
      <c r="E21" s="185"/>
      <c r="F21" s="185"/>
      <c r="G21" s="185"/>
      <c r="H21" s="185"/>
      <c r="I21" s="185"/>
      <c r="J21" s="185"/>
      <c r="T21" s="218"/>
      <c r="U21" s="218"/>
      <c r="V21" s="218"/>
      <c r="W21" s="218"/>
    </row>
    <row r="22" spans="1:42" s="187" customFormat="1" x14ac:dyDescent="0.2">
      <c r="A22" s="725"/>
      <c r="B22" s="178" t="s">
        <v>106</v>
      </c>
      <c r="C22" s="173">
        <v>53394802.015112996</v>
      </c>
      <c r="D22" s="213" t="s">
        <v>265</v>
      </c>
      <c r="E22" s="185"/>
      <c r="F22" s="185"/>
      <c r="G22" s="185"/>
      <c r="H22" s="185"/>
      <c r="I22" s="185"/>
      <c r="J22" s="185"/>
      <c r="T22" s="218"/>
      <c r="U22" s="218"/>
      <c r="V22" s="218"/>
      <c r="W22" s="218"/>
    </row>
    <row r="23" spans="1:42" s="187" customFormat="1" x14ac:dyDescent="0.2">
      <c r="A23" s="723" t="s">
        <v>231</v>
      </c>
      <c r="B23" s="174" t="s">
        <v>42</v>
      </c>
      <c r="C23" s="165">
        <v>267.46053949335783</v>
      </c>
      <c r="D23" s="213" t="s">
        <v>265</v>
      </c>
      <c r="E23" s="185"/>
      <c r="F23" s="185"/>
      <c r="G23" s="185"/>
      <c r="H23" s="185"/>
      <c r="I23" s="185"/>
      <c r="J23" s="185"/>
      <c r="T23" s="218"/>
      <c r="U23" s="218"/>
      <c r="V23" s="218"/>
      <c r="W23" s="218"/>
    </row>
    <row r="24" spans="1:42" s="187" customFormat="1" x14ac:dyDescent="0.2">
      <c r="A24" s="724"/>
      <c r="B24" s="175" t="s">
        <v>41</v>
      </c>
      <c r="C24" s="171">
        <v>200595.40462001838</v>
      </c>
      <c r="D24" s="213" t="s">
        <v>265</v>
      </c>
      <c r="E24" s="185"/>
      <c r="F24" s="185"/>
      <c r="G24" s="185"/>
      <c r="H24" s="185"/>
      <c r="I24" s="185"/>
      <c r="J24" s="185"/>
      <c r="T24" s="218"/>
      <c r="U24" s="218"/>
      <c r="V24" s="218"/>
      <c r="W24" s="218"/>
    </row>
    <row r="25" spans="1:42" s="187" customFormat="1" x14ac:dyDescent="0.2">
      <c r="A25" s="724"/>
      <c r="B25" s="175"/>
      <c r="C25" s="171"/>
      <c r="D25" s="213" t="s">
        <v>265</v>
      </c>
      <c r="E25" s="185"/>
      <c r="F25" s="185"/>
      <c r="G25" s="185"/>
      <c r="H25" s="185"/>
      <c r="I25" s="185"/>
      <c r="J25" s="185"/>
      <c r="T25" s="218"/>
      <c r="U25" s="218"/>
      <c r="V25" s="218"/>
      <c r="W25" s="218"/>
    </row>
    <row r="26" spans="1:42" s="187" customFormat="1" x14ac:dyDescent="0.2">
      <c r="A26" s="724"/>
      <c r="B26" s="175" t="s">
        <v>40</v>
      </c>
      <c r="C26" s="171">
        <v>80.238161848007351</v>
      </c>
      <c r="D26" s="213" t="s">
        <v>265</v>
      </c>
      <c r="E26" s="185"/>
      <c r="F26" s="185"/>
      <c r="G26" s="185"/>
      <c r="H26" s="185"/>
      <c r="I26" s="185"/>
      <c r="J26" s="185"/>
      <c r="T26" s="218"/>
      <c r="U26" s="218"/>
      <c r="V26" s="218"/>
      <c r="W26" s="218"/>
    </row>
    <row r="27" spans="1:42" s="187" customFormat="1" x14ac:dyDescent="0.2">
      <c r="A27" s="724"/>
      <c r="B27" s="175" t="s">
        <v>246</v>
      </c>
      <c r="C27" s="171">
        <v>3797.9396608056813</v>
      </c>
      <c r="D27" s="213" t="s">
        <v>265</v>
      </c>
      <c r="E27" s="185"/>
      <c r="F27" s="185"/>
      <c r="G27" s="185"/>
      <c r="H27" s="185"/>
      <c r="I27" s="185"/>
      <c r="J27" s="185"/>
      <c r="T27" s="218"/>
      <c r="U27" s="218"/>
      <c r="V27" s="218"/>
      <c r="W27" s="218"/>
    </row>
    <row r="28" spans="1:42" s="187" customFormat="1" x14ac:dyDescent="0.2">
      <c r="A28" s="724"/>
      <c r="B28" s="175" t="s">
        <v>149</v>
      </c>
      <c r="C28" s="171" t="e">
        <v>#DIV/0!</v>
      </c>
      <c r="D28" s="213" t="s">
        <v>265</v>
      </c>
      <c r="E28" s="185"/>
      <c r="F28" s="185"/>
      <c r="G28" s="185"/>
      <c r="H28" s="185"/>
      <c r="I28" s="185"/>
      <c r="J28" s="185"/>
      <c r="T28" s="218"/>
      <c r="U28" s="218"/>
      <c r="V28" s="218"/>
      <c r="W28" s="218"/>
    </row>
    <row r="29" spans="1:42" x14ac:dyDescent="0.2">
      <c r="A29" s="724"/>
      <c r="B29" s="177"/>
      <c r="C29" s="171"/>
      <c r="D29" s="213" t="s">
        <v>265</v>
      </c>
      <c r="E29" s="185"/>
      <c r="F29" s="185"/>
      <c r="G29" s="185"/>
      <c r="H29" s="185"/>
      <c r="I29" s="185"/>
    </row>
    <row r="30" spans="1:42" s="187" customFormat="1" x14ac:dyDescent="0.2">
      <c r="A30" s="725"/>
      <c r="B30" s="179" t="s">
        <v>106</v>
      </c>
      <c r="C30" s="173">
        <v>1450642.784714049</v>
      </c>
      <c r="D30" s="213" t="s">
        <v>265</v>
      </c>
      <c r="E30" s="185"/>
      <c r="F30" s="185"/>
      <c r="G30" s="185"/>
      <c r="H30" s="185"/>
      <c r="I30" s="185"/>
      <c r="J30" s="185"/>
      <c r="T30" s="218"/>
      <c r="U30" s="218"/>
      <c r="V30" s="218"/>
      <c r="W30" s="218"/>
    </row>
    <row r="31" spans="1:42" s="187" customFormat="1" ht="32.25" customHeight="1" x14ac:dyDescent="0.2">
      <c r="A31" s="157" t="s">
        <v>107</v>
      </c>
      <c r="B31" s="167" t="s">
        <v>236</v>
      </c>
      <c r="C31" s="206">
        <v>18860000</v>
      </c>
      <c r="D31" s="213" t="s">
        <v>265</v>
      </c>
      <c r="E31" s="185"/>
      <c r="F31" s="185"/>
      <c r="G31" s="185"/>
      <c r="H31" s="185"/>
      <c r="I31" s="185"/>
      <c r="J31" s="185"/>
      <c r="K31" s="186"/>
      <c r="L31" s="186"/>
      <c r="M31" s="186"/>
      <c r="N31" s="186"/>
      <c r="O31" s="186"/>
      <c r="P31" s="186"/>
      <c r="Q31" s="186"/>
      <c r="R31" s="186"/>
      <c r="S31" s="186"/>
      <c r="T31" s="217"/>
      <c r="U31" s="217"/>
      <c r="V31" s="217"/>
      <c r="W31" s="217"/>
      <c r="X31" s="186"/>
      <c r="Y31" s="186"/>
      <c r="Z31" s="186"/>
      <c r="AA31" s="186"/>
      <c r="AB31" s="186"/>
      <c r="AC31" s="186"/>
      <c r="AD31" s="186"/>
      <c r="AE31" s="186"/>
      <c r="AF31" s="186"/>
      <c r="AG31" s="186"/>
      <c r="AH31" s="186"/>
      <c r="AI31" s="186"/>
      <c r="AJ31" s="186"/>
      <c r="AK31" s="186"/>
      <c r="AL31" s="186"/>
      <c r="AM31" s="186"/>
      <c r="AN31" s="186"/>
      <c r="AO31" s="186"/>
      <c r="AP31" s="188"/>
    </row>
    <row r="32" spans="1:42" s="187" customFormat="1" ht="24" customHeight="1" x14ac:dyDescent="0.2">
      <c r="A32" s="157" t="s">
        <v>10</v>
      </c>
      <c r="B32" s="180" t="s">
        <v>235</v>
      </c>
      <c r="C32" s="206">
        <v>564200000</v>
      </c>
      <c r="D32" s="185"/>
      <c r="E32" s="185"/>
      <c r="F32" s="185"/>
      <c r="G32" s="185"/>
      <c r="H32" s="185"/>
      <c r="I32" s="185"/>
      <c r="J32" s="185"/>
      <c r="K32" s="186"/>
      <c r="L32" s="186"/>
      <c r="M32" s="186"/>
      <c r="N32" s="186"/>
      <c r="O32" s="186"/>
      <c r="P32" s="186"/>
      <c r="Q32" s="186"/>
      <c r="R32" s="186"/>
      <c r="S32" s="186"/>
      <c r="T32" s="217"/>
      <c r="U32" s="217"/>
      <c r="V32" s="217"/>
      <c r="W32" s="217"/>
      <c r="X32" s="186"/>
      <c r="Y32" s="186"/>
      <c r="Z32" s="186"/>
      <c r="AA32" s="186"/>
      <c r="AB32" s="186"/>
      <c r="AC32" s="186"/>
      <c r="AD32" s="186"/>
      <c r="AE32" s="186"/>
      <c r="AF32" s="186"/>
      <c r="AG32" s="186"/>
      <c r="AH32" s="186"/>
      <c r="AI32" s="186"/>
      <c r="AJ32" s="186"/>
      <c r="AK32" s="186"/>
      <c r="AL32" s="186"/>
      <c r="AM32" s="186"/>
      <c r="AN32" s="186"/>
      <c r="AO32" s="186"/>
    </row>
    <row r="33" spans="1:41" s="190" customFormat="1" ht="27" customHeight="1" x14ac:dyDescent="0.2">
      <c r="A33" s="157" t="s">
        <v>54</v>
      </c>
      <c r="B33" s="180" t="s">
        <v>235</v>
      </c>
      <c r="C33" s="206">
        <v>221967608.67077586</v>
      </c>
      <c r="D33" s="185"/>
      <c r="E33" s="184"/>
      <c r="F33" s="184"/>
      <c r="G33" s="185"/>
      <c r="H33" s="185"/>
      <c r="I33" s="185"/>
      <c r="J33" s="185"/>
      <c r="K33" s="189"/>
      <c r="L33" s="189"/>
      <c r="M33" s="189"/>
      <c r="N33" s="189"/>
      <c r="O33" s="189"/>
      <c r="P33" s="189"/>
      <c r="Q33" s="189"/>
      <c r="R33" s="189"/>
      <c r="S33" s="189"/>
      <c r="T33" s="219"/>
      <c r="U33" s="219"/>
      <c r="V33" s="219"/>
      <c r="W33" s="219"/>
      <c r="X33" s="189"/>
      <c r="Y33" s="189"/>
      <c r="Z33" s="189"/>
      <c r="AA33" s="189"/>
      <c r="AB33" s="189"/>
      <c r="AC33" s="189"/>
      <c r="AD33" s="189"/>
      <c r="AE33" s="189"/>
      <c r="AF33" s="189"/>
      <c r="AG33" s="189"/>
      <c r="AH33" s="189"/>
      <c r="AI33" s="189"/>
      <c r="AJ33" s="189"/>
      <c r="AK33" s="189"/>
      <c r="AL33" s="189"/>
      <c r="AM33" s="189"/>
      <c r="AN33" s="189"/>
      <c r="AO33" s="189"/>
    </row>
    <row r="34" spans="1:41" s="187" customFormat="1" x14ac:dyDescent="0.2">
      <c r="A34" s="185"/>
      <c r="B34" s="185"/>
      <c r="C34" s="185"/>
      <c r="D34" s="185"/>
      <c r="E34" s="185"/>
      <c r="F34" s="185"/>
      <c r="G34" s="185"/>
      <c r="H34" s="185"/>
      <c r="I34" s="185"/>
      <c r="J34" s="185"/>
      <c r="T34" s="218"/>
      <c r="U34" s="218"/>
      <c r="V34" s="218"/>
      <c r="W34" s="218"/>
    </row>
    <row r="35" spans="1:41" s="187" customFormat="1" x14ac:dyDescent="0.2">
      <c r="A35" s="185"/>
      <c r="B35" s="185"/>
      <c r="C35" s="185"/>
      <c r="D35" s="185"/>
      <c r="E35" s="185"/>
      <c r="F35" s="185"/>
      <c r="G35" s="185"/>
      <c r="H35" s="185"/>
      <c r="I35" s="185"/>
      <c r="T35" s="218"/>
      <c r="U35" s="218"/>
      <c r="V35" s="218"/>
      <c r="W35" s="218"/>
    </row>
    <row r="36" spans="1:41" s="187" customFormat="1" x14ac:dyDescent="0.2">
      <c r="A36" s="688" t="s">
        <v>223</v>
      </c>
      <c r="B36" s="688"/>
      <c r="C36" s="688"/>
      <c r="D36" s="688"/>
      <c r="E36" s="688"/>
      <c r="F36" s="688"/>
      <c r="G36" s="688"/>
      <c r="H36" s="688"/>
      <c r="I36" s="688"/>
      <c r="K36" s="186"/>
      <c r="T36" s="218"/>
      <c r="U36" s="218"/>
      <c r="V36" s="218"/>
      <c r="W36" s="218"/>
    </row>
    <row r="37" spans="1:41" x14ac:dyDescent="0.2">
      <c r="A37" s="726"/>
      <c r="B37" s="727"/>
      <c r="C37" s="727"/>
      <c r="D37" s="727"/>
      <c r="E37" s="156">
        <v>1</v>
      </c>
      <c r="F37" s="156">
        <v>2</v>
      </c>
      <c r="G37" s="156">
        <v>3</v>
      </c>
      <c r="H37" s="156">
        <v>4</v>
      </c>
      <c r="I37" s="156">
        <v>5</v>
      </c>
      <c r="J37" s="156">
        <v>6</v>
      </c>
      <c r="K37" s="104">
        <v>7</v>
      </c>
      <c r="L37" s="156">
        <v>8</v>
      </c>
      <c r="M37" s="104">
        <v>9</v>
      </c>
      <c r="N37" s="156">
        <v>10</v>
      </c>
      <c r="O37" s="156">
        <v>11</v>
      </c>
      <c r="P37" s="156">
        <v>12</v>
      </c>
      <c r="Q37" s="156">
        <v>13</v>
      </c>
      <c r="R37" s="104">
        <v>14</v>
      </c>
      <c r="S37" s="156">
        <v>15</v>
      </c>
      <c r="T37" s="220">
        <v>16</v>
      </c>
      <c r="U37" s="220">
        <v>17</v>
      </c>
      <c r="V37" s="220">
        <v>18</v>
      </c>
      <c r="W37" s="221">
        <v>19</v>
      </c>
    </row>
    <row r="38" spans="1:41" x14ac:dyDescent="0.2">
      <c r="A38" s="4" t="s">
        <v>12</v>
      </c>
      <c r="B38" s="152"/>
      <c r="C38" s="2"/>
      <c r="D38" s="181"/>
      <c r="E38" s="152"/>
      <c r="F38" s="152"/>
      <c r="G38" s="152"/>
      <c r="H38" s="152"/>
      <c r="I38" s="152"/>
      <c r="J38" s="152"/>
      <c r="K38" s="152"/>
      <c r="L38" s="152"/>
      <c r="M38" s="152"/>
      <c r="N38" s="152"/>
      <c r="O38" s="181"/>
      <c r="P38" s="181"/>
      <c r="Q38" s="181"/>
      <c r="R38" s="152"/>
      <c r="S38" s="152"/>
      <c r="T38" s="222"/>
      <c r="U38" s="222"/>
      <c r="V38" s="222"/>
      <c r="W38" s="219"/>
    </row>
    <row r="39" spans="1:41" x14ac:dyDescent="0.2">
      <c r="A39" s="20"/>
      <c r="B39" s="2" t="s">
        <v>13</v>
      </c>
      <c r="C39" s="152" t="s">
        <v>14</v>
      </c>
      <c r="D39" s="181"/>
      <c r="E39" s="105">
        <v>30</v>
      </c>
      <c r="F39" s="105">
        <v>30</v>
      </c>
      <c r="G39" s="105">
        <v>30</v>
      </c>
      <c r="H39" s="105">
        <v>30</v>
      </c>
      <c r="I39" s="105">
        <v>30</v>
      </c>
      <c r="J39" s="105">
        <v>30</v>
      </c>
      <c r="K39" s="105">
        <v>30</v>
      </c>
      <c r="L39" s="105">
        <v>30</v>
      </c>
      <c r="M39" s="105">
        <v>30</v>
      </c>
      <c r="N39" s="105">
        <v>30</v>
      </c>
      <c r="O39" s="105">
        <v>30</v>
      </c>
      <c r="P39" s="105">
        <v>30</v>
      </c>
      <c r="Q39" s="105">
        <v>30</v>
      </c>
      <c r="R39" s="105">
        <v>30</v>
      </c>
      <c r="S39" s="105">
        <v>30</v>
      </c>
      <c r="T39" s="223">
        <v>30</v>
      </c>
      <c r="U39" s="223">
        <v>30</v>
      </c>
      <c r="V39" s="223">
        <v>30</v>
      </c>
      <c r="W39" s="223">
        <v>30</v>
      </c>
    </row>
    <row r="40" spans="1:41" x14ac:dyDescent="0.2">
      <c r="A40" s="20"/>
      <c r="B40" s="2" t="s">
        <v>15</v>
      </c>
      <c r="C40" s="152"/>
      <c r="D40" s="181"/>
      <c r="E40" s="3">
        <f>'Cashflow '!F12</f>
        <v>201.53651519763997</v>
      </c>
      <c r="F40" s="3">
        <f>'Cashflow '!G12</f>
        <v>230.32744594016</v>
      </c>
      <c r="G40" s="3">
        <f>'Cashflow '!H12</f>
        <v>273.51384205393998</v>
      </c>
      <c r="H40" s="3">
        <f>'Cashflow '!I12</f>
        <v>273.51384205393998</v>
      </c>
      <c r="I40" s="3">
        <f>'Cashflow '!J12</f>
        <v>273.51384205393998</v>
      </c>
      <c r="J40" s="3">
        <f>'Cashflow '!K12</f>
        <v>273.51384205393998</v>
      </c>
      <c r="K40" s="3">
        <f>'Cashflow '!L12</f>
        <v>273.51384205393998</v>
      </c>
      <c r="L40" s="3">
        <f>'Cashflow '!M12</f>
        <v>273.51384205393998</v>
      </c>
      <c r="M40" s="3">
        <f>'Cashflow '!N12</f>
        <v>273.51384205393998</v>
      </c>
      <c r="N40" s="3">
        <f>'Cashflow '!O12</f>
        <v>273.51384205393998</v>
      </c>
      <c r="O40" s="3">
        <f>'Cashflow '!P12</f>
        <v>273.51384205393998</v>
      </c>
      <c r="P40" s="3">
        <f>'Cashflow '!Q12</f>
        <v>273.51384205393998</v>
      </c>
      <c r="Q40" s="3">
        <f>'Cashflow '!R12</f>
        <v>273.51384205393998</v>
      </c>
      <c r="R40" s="3" t="e">
        <f>'Cashflow '!#REF!</f>
        <v>#REF!</v>
      </c>
      <c r="S40" s="3" t="e">
        <f>'Cashflow '!#REF!</f>
        <v>#REF!</v>
      </c>
      <c r="T40" s="224" t="e">
        <f>'Cashflow '!#REF!</f>
        <v>#REF!</v>
      </c>
      <c r="U40" s="224" t="e">
        <f>'Cashflow '!#REF!</f>
        <v>#REF!</v>
      </c>
      <c r="V40" s="224" t="e">
        <f>'Cashflow '!#REF!</f>
        <v>#REF!</v>
      </c>
      <c r="W40" s="224" t="e">
        <f>'Cashflow '!#REF!</f>
        <v>#REF!</v>
      </c>
    </row>
    <row r="41" spans="1:41" x14ac:dyDescent="0.2">
      <c r="A41" s="20"/>
      <c r="B41" s="2" t="s">
        <v>16</v>
      </c>
      <c r="C41" s="152"/>
      <c r="D41" s="181"/>
      <c r="E41" s="3">
        <f>+E40/365*E39</f>
        <v>16.564645084737531</v>
      </c>
      <c r="F41" s="3">
        <f t="shared" ref="F41:W41" si="0">+F40/365*F39</f>
        <v>18.931022953985753</v>
      </c>
      <c r="G41" s="3">
        <f t="shared" si="0"/>
        <v>22.48058975785808</v>
      </c>
      <c r="H41" s="3">
        <f t="shared" si="0"/>
        <v>22.48058975785808</v>
      </c>
      <c r="I41" s="3">
        <f t="shared" si="0"/>
        <v>22.48058975785808</v>
      </c>
      <c r="J41" s="3">
        <f t="shared" si="0"/>
        <v>22.48058975785808</v>
      </c>
      <c r="K41" s="3">
        <f t="shared" si="0"/>
        <v>22.48058975785808</v>
      </c>
      <c r="L41" s="3">
        <f t="shared" si="0"/>
        <v>22.48058975785808</v>
      </c>
      <c r="M41" s="3">
        <f t="shared" si="0"/>
        <v>22.48058975785808</v>
      </c>
      <c r="N41" s="3">
        <f t="shared" si="0"/>
        <v>22.48058975785808</v>
      </c>
      <c r="O41" s="3">
        <f t="shared" si="0"/>
        <v>22.48058975785808</v>
      </c>
      <c r="P41" s="3">
        <f t="shared" si="0"/>
        <v>22.48058975785808</v>
      </c>
      <c r="Q41" s="3">
        <f t="shared" si="0"/>
        <v>22.48058975785808</v>
      </c>
      <c r="R41" s="3" t="e">
        <f t="shared" si="0"/>
        <v>#REF!</v>
      </c>
      <c r="S41" s="3" t="e">
        <f t="shared" si="0"/>
        <v>#REF!</v>
      </c>
      <c r="T41" s="224" t="e">
        <f t="shared" si="0"/>
        <v>#REF!</v>
      </c>
      <c r="U41" s="224" t="e">
        <f t="shared" si="0"/>
        <v>#REF!</v>
      </c>
      <c r="V41" s="224" t="e">
        <f t="shared" si="0"/>
        <v>#REF!</v>
      </c>
      <c r="W41" s="224" t="e">
        <f t="shared" si="0"/>
        <v>#REF!</v>
      </c>
    </row>
    <row r="42" spans="1:41" x14ac:dyDescent="0.2">
      <c r="A42" s="20"/>
      <c r="B42" s="152"/>
      <c r="C42" s="152"/>
      <c r="D42" s="181"/>
      <c r="E42" s="152"/>
      <c r="F42" s="152"/>
      <c r="G42" s="152"/>
      <c r="H42" s="152"/>
      <c r="I42" s="152"/>
      <c r="J42" s="152"/>
      <c r="K42" s="152"/>
      <c r="L42" s="152"/>
      <c r="M42" s="152"/>
      <c r="N42" s="152"/>
      <c r="O42" s="152"/>
      <c r="P42" s="152"/>
      <c r="Q42" s="152"/>
      <c r="R42" s="152"/>
      <c r="S42" s="152"/>
      <c r="T42" s="219"/>
      <c r="U42" s="219"/>
      <c r="V42" s="219"/>
      <c r="W42" s="219"/>
    </row>
    <row r="43" spans="1:41" x14ac:dyDescent="0.2">
      <c r="A43" s="4" t="s">
        <v>17</v>
      </c>
      <c r="B43" s="152"/>
      <c r="C43" s="2"/>
      <c r="D43" s="181"/>
      <c r="E43" s="152"/>
      <c r="F43" s="152"/>
      <c r="G43" s="152"/>
      <c r="H43" s="152"/>
      <c r="I43" s="152"/>
      <c r="J43" s="152"/>
      <c r="K43" s="152"/>
      <c r="L43" s="152"/>
      <c r="M43" s="152"/>
      <c r="N43" s="152"/>
      <c r="O43" s="152"/>
      <c r="P43" s="152"/>
      <c r="Q43" s="152"/>
      <c r="R43" s="152"/>
      <c r="S43" s="152"/>
      <c r="T43" s="219"/>
      <c r="U43" s="219"/>
      <c r="V43" s="219"/>
      <c r="W43" s="219"/>
    </row>
    <row r="44" spans="1:41" x14ac:dyDescent="0.2">
      <c r="A44" s="20"/>
      <c r="B44" s="2" t="s">
        <v>18</v>
      </c>
      <c r="C44" s="152" t="s">
        <v>14</v>
      </c>
      <c r="D44" s="181"/>
      <c r="E44" s="105">
        <v>20</v>
      </c>
      <c r="F44" s="105">
        <v>20</v>
      </c>
      <c r="G44" s="105">
        <v>20</v>
      </c>
      <c r="H44" s="105">
        <v>20</v>
      </c>
      <c r="I44" s="105">
        <v>20</v>
      </c>
      <c r="J44" s="105">
        <v>20</v>
      </c>
      <c r="K44" s="105">
        <v>20</v>
      </c>
      <c r="L44" s="105">
        <v>20</v>
      </c>
      <c r="M44" s="105">
        <v>20</v>
      </c>
      <c r="N44" s="105">
        <v>20</v>
      </c>
      <c r="O44" s="105">
        <v>20</v>
      </c>
      <c r="P44" s="105">
        <v>20</v>
      </c>
      <c r="Q44" s="105">
        <v>20</v>
      </c>
      <c r="R44" s="105">
        <v>20</v>
      </c>
      <c r="S44" s="105">
        <v>20</v>
      </c>
      <c r="T44" s="223">
        <v>20</v>
      </c>
      <c r="U44" s="223">
        <v>20</v>
      </c>
      <c r="V44" s="223">
        <v>20</v>
      </c>
      <c r="W44" s="223">
        <v>20</v>
      </c>
    </row>
    <row r="45" spans="1:41" x14ac:dyDescent="0.2">
      <c r="A45" s="20"/>
      <c r="B45" s="2" t="s">
        <v>19</v>
      </c>
      <c r="C45" s="152"/>
      <c r="D45" s="181"/>
      <c r="E45" s="3">
        <f>'Cashflow '!F20</f>
        <v>110.61004759905124</v>
      </c>
      <c r="F45" s="3">
        <f>'Cashflow '!G20</f>
        <v>99.593603857953994</v>
      </c>
      <c r="G45" s="3">
        <f>'Cashflow '!H20</f>
        <v>138.0491936246529</v>
      </c>
      <c r="H45" s="3">
        <f>'Cashflow '!I20</f>
        <v>138.0491936246529</v>
      </c>
      <c r="I45" s="3">
        <f>'Cashflow '!J20</f>
        <v>138.0491936246529</v>
      </c>
      <c r="J45" s="3">
        <f>'Cashflow '!K20</f>
        <v>138.0491936246529</v>
      </c>
      <c r="K45" s="3">
        <f>'Cashflow '!L20</f>
        <v>138.0491936246529</v>
      </c>
      <c r="L45" s="3">
        <f>'Cashflow '!M20</f>
        <v>138.0491936246529</v>
      </c>
      <c r="M45" s="3">
        <f>'Cashflow '!N20</f>
        <v>138.0491936246529</v>
      </c>
      <c r="N45" s="3">
        <f>'Cashflow '!O20</f>
        <v>138.0491936246529</v>
      </c>
      <c r="O45" s="3">
        <f>'Cashflow '!P20</f>
        <v>138.0491936246529</v>
      </c>
      <c r="P45" s="3">
        <f>'Cashflow '!Q20</f>
        <v>138.0491936246529</v>
      </c>
      <c r="Q45" s="3">
        <f>'Cashflow '!R20</f>
        <v>138.0491936246529</v>
      </c>
      <c r="R45" s="3" t="e">
        <f>'Cashflow '!#REF!</f>
        <v>#REF!</v>
      </c>
      <c r="S45" s="3" t="e">
        <f>'Cashflow '!#REF!</f>
        <v>#REF!</v>
      </c>
      <c r="T45" s="224" t="e">
        <f>'Cashflow '!#REF!</f>
        <v>#REF!</v>
      </c>
      <c r="U45" s="224" t="e">
        <f>'Cashflow '!#REF!</f>
        <v>#REF!</v>
      </c>
      <c r="V45" s="224" t="e">
        <f>'Cashflow '!#REF!</f>
        <v>#REF!</v>
      </c>
      <c r="W45" s="224" t="e">
        <f>'Cashflow '!#REF!</f>
        <v>#REF!</v>
      </c>
    </row>
    <row r="46" spans="1:41" x14ac:dyDescent="0.2">
      <c r="A46" s="20"/>
      <c r="B46" s="2" t="s">
        <v>20</v>
      </c>
      <c r="C46" s="152"/>
      <c r="D46" s="181"/>
      <c r="E46" s="3">
        <f>+E45/365*E44</f>
        <v>6.0608245259754101</v>
      </c>
      <c r="F46" s="3">
        <f t="shared" ref="F46:W46" si="1">+F45/365*F44</f>
        <v>5.457183773038575</v>
      </c>
      <c r="G46" s="3">
        <f t="shared" si="1"/>
        <v>7.5643393766933098</v>
      </c>
      <c r="H46" s="3">
        <f t="shared" si="1"/>
        <v>7.5643393766933098</v>
      </c>
      <c r="I46" s="3">
        <f t="shared" si="1"/>
        <v>7.5643393766933098</v>
      </c>
      <c r="J46" s="3">
        <f t="shared" si="1"/>
        <v>7.5643393766933098</v>
      </c>
      <c r="K46" s="3">
        <f t="shared" si="1"/>
        <v>7.5643393766933098</v>
      </c>
      <c r="L46" s="3">
        <f t="shared" si="1"/>
        <v>7.5643393766933098</v>
      </c>
      <c r="M46" s="3">
        <f t="shared" si="1"/>
        <v>7.5643393766933098</v>
      </c>
      <c r="N46" s="3">
        <f t="shared" si="1"/>
        <v>7.5643393766933098</v>
      </c>
      <c r="O46" s="3">
        <f t="shared" si="1"/>
        <v>7.5643393766933098</v>
      </c>
      <c r="P46" s="3">
        <f t="shared" si="1"/>
        <v>7.5643393766933098</v>
      </c>
      <c r="Q46" s="3">
        <f t="shared" si="1"/>
        <v>7.5643393766933098</v>
      </c>
      <c r="R46" s="3" t="e">
        <f t="shared" si="1"/>
        <v>#REF!</v>
      </c>
      <c r="S46" s="3" t="e">
        <f t="shared" si="1"/>
        <v>#REF!</v>
      </c>
      <c r="T46" s="224" t="e">
        <f t="shared" si="1"/>
        <v>#REF!</v>
      </c>
      <c r="U46" s="224" t="e">
        <f t="shared" si="1"/>
        <v>#REF!</v>
      </c>
      <c r="V46" s="224" t="e">
        <f t="shared" si="1"/>
        <v>#REF!</v>
      </c>
      <c r="W46" s="224" t="e">
        <f t="shared" si="1"/>
        <v>#REF!</v>
      </c>
    </row>
    <row r="47" spans="1:41" x14ac:dyDescent="0.2">
      <c r="A47" s="20"/>
      <c r="B47" s="152"/>
      <c r="C47" s="152"/>
      <c r="D47" s="181"/>
      <c r="E47" s="152"/>
      <c r="F47" s="152"/>
      <c r="G47" s="152"/>
      <c r="H47" s="152"/>
      <c r="I47" s="152"/>
      <c r="J47" s="152"/>
      <c r="K47" s="152"/>
      <c r="L47" s="152"/>
      <c r="M47" s="152"/>
      <c r="N47" s="152"/>
      <c r="O47" s="181"/>
      <c r="P47" s="181"/>
      <c r="Q47" s="181"/>
      <c r="R47" s="152"/>
      <c r="S47" s="152"/>
      <c r="T47" s="222"/>
      <c r="U47" s="222"/>
      <c r="V47" s="222"/>
      <c r="W47" s="219"/>
    </row>
    <row r="48" spans="1:41" x14ac:dyDescent="0.2">
      <c r="A48" s="4" t="s">
        <v>21</v>
      </c>
      <c r="B48" s="152"/>
      <c r="C48" s="2"/>
      <c r="D48" s="181"/>
      <c r="E48" s="152"/>
      <c r="F48" s="152"/>
      <c r="G48" s="152"/>
      <c r="H48" s="152"/>
      <c r="I48" s="152"/>
      <c r="J48" s="152"/>
      <c r="K48" s="152"/>
      <c r="L48" s="152"/>
      <c r="M48" s="152"/>
      <c r="N48" s="152"/>
      <c r="O48" s="181"/>
      <c r="P48" s="181"/>
      <c r="Q48" s="181"/>
      <c r="R48" s="152"/>
      <c r="S48" s="152"/>
      <c r="T48" s="222"/>
      <c r="U48" s="222"/>
      <c r="V48" s="222"/>
      <c r="W48" s="219"/>
    </row>
    <row r="49" spans="1:23" x14ac:dyDescent="0.2">
      <c r="A49" s="20"/>
      <c r="B49" s="2" t="s">
        <v>22</v>
      </c>
      <c r="C49" s="152" t="s">
        <v>14</v>
      </c>
      <c r="D49" s="181"/>
      <c r="E49" s="105">
        <v>10</v>
      </c>
      <c r="F49" s="105">
        <v>10</v>
      </c>
      <c r="G49" s="105">
        <v>10</v>
      </c>
      <c r="H49" s="105">
        <v>10</v>
      </c>
      <c r="I49" s="105">
        <v>10</v>
      </c>
      <c r="J49" s="105">
        <v>10</v>
      </c>
      <c r="K49" s="105">
        <v>10</v>
      </c>
      <c r="L49" s="105">
        <v>10</v>
      </c>
      <c r="M49" s="105">
        <v>10</v>
      </c>
      <c r="N49" s="105">
        <v>10</v>
      </c>
      <c r="O49" s="105">
        <v>10</v>
      </c>
      <c r="P49" s="105">
        <v>10</v>
      </c>
      <c r="Q49" s="105">
        <v>10</v>
      </c>
      <c r="R49" s="105">
        <v>10</v>
      </c>
      <c r="S49" s="105">
        <v>10</v>
      </c>
      <c r="T49" s="223">
        <v>10</v>
      </c>
      <c r="U49" s="223">
        <v>10</v>
      </c>
      <c r="V49" s="223">
        <v>10</v>
      </c>
      <c r="W49" s="223">
        <v>10</v>
      </c>
    </row>
    <row r="50" spans="1:23" x14ac:dyDescent="0.2">
      <c r="A50" s="20"/>
      <c r="B50" s="2" t="s">
        <v>23</v>
      </c>
      <c r="C50" s="152"/>
      <c r="D50" s="181"/>
      <c r="E50" s="3">
        <f>-E45</f>
        <v>-110.61004759905124</v>
      </c>
      <c r="F50" s="3">
        <f t="shared" ref="F50:W50" si="2">-F45</f>
        <v>-99.593603857953994</v>
      </c>
      <c r="G50" s="3">
        <f t="shared" si="2"/>
        <v>-138.0491936246529</v>
      </c>
      <c r="H50" s="3">
        <f t="shared" si="2"/>
        <v>-138.0491936246529</v>
      </c>
      <c r="I50" s="3">
        <f t="shared" si="2"/>
        <v>-138.0491936246529</v>
      </c>
      <c r="J50" s="3">
        <f t="shared" si="2"/>
        <v>-138.0491936246529</v>
      </c>
      <c r="K50" s="3">
        <f t="shared" si="2"/>
        <v>-138.0491936246529</v>
      </c>
      <c r="L50" s="3">
        <f t="shared" si="2"/>
        <v>-138.0491936246529</v>
      </c>
      <c r="M50" s="3">
        <f>-M45</f>
        <v>-138.0491936246529</v>
      </c>
      <c r="N50" s="3">
        <f t="shared" si="2"/>
        <v>-138.0491936246529</v>
      </c>
      <c r="O50" s="3">
        <f t="shared" si="2"/>
        <v>-138.0491936246529</v>
      </c>
      <c r="P50" s="3">
        <f t="shared" si="2"/>
        <v>-138.0491936246529</v>
      </c>
      <c r="Q50" s="3">
        <f t="shared" si="2"/>
        <v>-138.0491936246529</v>
      </c>
      <c r="R50" s="3" t="e">
        <f t="shared" si="2"/>
        <v>#REF!</v>
      </c>
      <c r="S50" s="3" t="e">
        <f t="shared" si="2"/>
        <v>#REF!</v>
      </c>
      <c r="T50" s="224" t="e">
        <f t="shared" si="2"/>
        <v>#REF!</v>
      </c>
      <c r="U50" s="224" t="e">
        <f t="shared" si="2"/>
        <v>#REF!</v>
      </c>
      <c r="V50" s="224" t="e">
        <f t="shared" si="2"/>
        <v>#REF!</v>
      </c>
      <c r="W50" s="224" t="e">
        <f t="shared" si="2"/>
        <v>#REF!</v>
      </c>
    </row>
    <row r="51" spans="1:23" x14ac:dyDescent="0.2">
      <c r="A51" s="63"/>
      <c r="B51" s="5" t="s">
        <v>23</v>
      </c>
      <c r="C51" s="153"/>
      <c r="D51" s="182"/>
      <c r="E51" s="6">
        <f>+E50/365*E49</f>
        <v>-3.0304122629877051</v>
      </c>
      <c r="F51" s="6">
        <f t="shared" ref="F51:W51" si="3">+F50/365*F49</f>
        <v>-2.7285918865192875</v>
      </c>
      <c r="G51" s="6">
        <f t="shared" si="3"/>
        <v>-3.7821696883466549</v>
      </c>
      <c r="H51" s="6">
        <f t="shared" si="3"/>
        <v>-3.7821696883466549</v>
      </c>
      <c r="I51" s="6">
        <f t="shared" si="3"/>
        <v>-3.7821696883466549</v>
      </c>
      <c r="J51" s="6">
        <f t="shared" si="3"/>
        <v>-3.7821696883466549</v>
      </c>
      <c r="K51" s="6">
        <f t="shared" si="3"/>
        <v>-3.7821696883466549</v>
      </c>
      <c r="L51" s="6">
        <f t="shared" si="3"/>
        <v>-3.7821696883466549</v>
      </c>
      <c r="M51" s="6">
        <f t="shared" si="3"/>
        <v>-3.7821696883466549</v>
      </c>
      <c r="N51" s="6">
        <f t="shared" si="3"/>
        <v>-3.7821696883466549</v>
      </c>
      <c r="O51" s="6">
        <f t="shared" si="3"/>
        <v>-3.7821696883466549</v>
      </c>
      <c r="P51" s="6">
        <f t="shared" si="3"/>
        <v>-3.7821696883466549</v>
      </c>
      <c r="Q51" s="6">
        <f t="shared" si="3"/>
        <v>-3.7821696883466549</v>
      </c>
      <c r="R51" s="6" t="e">
        <f t="shared" si="3"/>
        <v>#REF!</v>
      </c>
      <c r="S51" s="6" t="e">
        <f t="shared" si="3"/>
        <v>#REF!</v>
      </c>
      <c r="T51" s="225" t="e">
        <f t="shared" si="3"/>
        <v>#REF!</v>
      </c>
      <c r="U51" s="225" t="e">
        <f t="shared" si="3"/>
        <v>#REF!</v>
      </c>
      <c r="V51" s="225" t="e">
        <f t="shared" si="3"/>
        <v>#REF!</v>
      </c>
      <c r="W51" s="225" t="e">
        <f t="shared" si="3"/>
        <v>#REF!</v>
      </c>
    </row>
    <row r="52" spans="1:23" x14ac:dyDescent="0.2">
      <c r="A52" s="153"/>
      <c r="B52" s="5"/>
      <c r="C52" s="153"/>
      <c r="F52" s="191"/>
      <c r="G52" s="191"/>
      <c r="H52" s="191"/>
      <c r="I52" s="191"/>
      <c r="J52" s="191"/>
      <c r="K52" s="191"/>
    </row>
    <row r="53" spans="1:23" ht="22.5" customHeight="1" x14ac:dyDescent="0.2">
      <c r="A53" s="731" t="s">
        <v>224</v>
      </c>
      <c r="B53" s="731"/>
      <c r="C53" s="731"/>
    </row>
    <row r="54" spans="1:23" x14ac:dyDescent="0.2">
      <c r="A54" s="702" t="s">
        <v>212</v>
      </c>
      <c r="B54" s="703"/>
      <c r="C54" s="732"/>
    </row>
    <row r="55" spans="1:23" x14ac:dyDescent="0.2">
      <c r="A55" s="151" t="s">
        <v>38</v>
      </c>
      <c r="B55" s="151" t="s">
        <v>52</v>
      </c>
      <c r="C55" s="151" t="s">
        <v>51</v>
      </c>
    </row>
    <row r="56" spans="1:23" x14ac:dyDescent="0.2">
      <c r="A56" s="8">
        <v>1</v>
      </c>
      <c r="B56" s="36" t="s">
        <v>139</v>
      </c>
      <c r="C56" s="37">
        <f>(Norms!C35*Norms!D35)/10^7</f>
        <v>1.053251999989181E-4</v>
      </c>
    </row>
    <row r="57" spans="1:23" x14ac:dyDescent="0.2">
      <c r="A57" s="107"/>
      <c r="B57" s="155" t="s">
        <v>48</v>
      </c>
      <c r="C57" s="108">
        <f>SUM(C56:C56)</f>
        <v>1.053251999989181E-4</v>
      </c>
    </row>
    <row r="58" spans="1:23" x14ac:dyDescent="0.2">
      <c r="A58" s="702" t="s">
        <v>212</v>
      </c>
      <c r="B58" s="703"/>
      <c r="C58" s="732"/>
    </row>
    <row r="59" spans="1:23" x14ac:dyDescent="0.2">
      <c r="A59" s="151" t="s">
        <v>38</v>
      </c>
      <c r="B59" s="151" t="s">
        <v>52</v>
      </c>
      <c r="C59" s="151" t="s">
        <v>51</v>
      </c>
    </row>
    <row r="60" spans="1:23" x14ac:dyDescent="0.2">
      <c r="A60" s="8">
        <v>1</v>
      </c>
      <c r="B60" s="36" t="s">
        <v>226</v>
      </c>
      <c r="C60" s="37">
        <f>(Norms!C39*Norms!D39)/10^7</f>
        <v>287.90920210000002</v>
      </c>
    </row>
    <row r="61" spans="1:23" x14ac:dyDescent="0.2">
      <c r="A61" s="107"/>
      <c r="B61" s="155" t="s">
        <v>48</v>
      </c>
      <c r="C61" s="108">
        <f>SUM(C60:C60)</f>
        <v>287.90920210000002</v>
      </c>
    </row>
    <row r="62" spans="1:23" ht="18" customHeight="1" x14ac:dyDescent="0.2">
      <c r="A62" s="143"/>
      <c r="B62" s="143"/>
      <c r="C62" s="143"/>
    </row>
    <row r="63" spans="1:23" x14ac:dyDescent="0.2">
      <c r="A63" s="688" t="s">
        <v>225</v>
      </c>
      <c r="B63" s="688"/>
    </row>
    <row r="64" spans="1:23" x14ac:dyDescent="0.2">
      <c r="A64" s="98" t="s">
        <v>26</v>
      </c>
      <c r="B64" s="100" t="s">
        <v>28</v>
      </c>
    </row>
    <row r="65" spans="1:10" x14ac:dyDescent="0.2">
      <c r="A65" s="7" t="s">
        <v>29</v>
      </c>
      <c r="B65" s="31">
        <f>Norms!B43*Norms!C43</f>
        <v>35</v>
      </c>
    </row>
    <row r="66" spans="1:10" x14ac:dyDescent="0.2">
      <c r="A66" s="7" t="s">
        <v>30</v>
      </c>
      <c r="B66" s="31">
        <f>Norms!B44*Norms!C44</f>
        <v>50</v>
      </c>
    </row>
    <row r="67" spans="1:10" x14ac:dyDescent="0.2">
      <c r="A67" s="7" t="s">
        <v>31</v>
      </c>
      <c r="B67" s="31">
        <f>Norms!B45*Norms!C45</f>
        <v>60</v>
      </c>
    </row>
    <row r="68" spans="1:10" x14ac:dyDescent="0.2">
      <c r="A68" s="7" t="s">
        <v>32</v>
      </c>
      <c r="B68" s="31">
        <f>Norms!B46*Norms!C46</f>
        <v>32</v>
      </c>
    </row>
    <row r="69" spans="1:10" x14ac:dyDescent="0.2">
      <c r="A69" s="209" t="s">
        <v>33</v>
      </c>
      <c r="B69" s="31">
        <f>Norms!B47*Norms!C47</f>
        <v>42</v>
      </c>
    </row>
    <row r="70" spans="1:10" x14ac:dyDescent="0.2">
      <c r="A70" s="7" t="s">
        <v>34</v>
      </c>
      <c r="B70" s="31">
        <f>Norms!B48*Norms!C48</f>
        <v>70</v>
      </c>
    </row>
    <row r="71" spans="1:10" x14ac:dyDescent="0.2">
      <c r="A71" s="101" t="s">
        <v>37</v>
      </c>
      <c r="B71" s="103">
        <f>SUM(B65:B70)/100</f>
        <v>2.89</v>
      </c>
    </row>
    <row r="72" spans="1:10" x14ac:dyDescent="0.2">
      <c r="A72" s="183"/>
      <c r="B72" s="183"/>
    </row>
    <row r="73" spans="1:10" x14ac:dyDescent="0.2">
      <c r="A73" s="717" t="s">
        <v>221</v>
      </c>
      <c r="B73" s="717"/>
    </row>
    <row r="74" spans="1:10" x14ac:dyDescent="0.2">
      <c r="A74" s="718" t="s">
        <v>227</v>
      </c>
      <c r="B74" s="719"/>
    </row>
    <row r="75" spans="1:10" x14ac:dyDescent="0.2">
      <c r="A75" s="135" t="s">
        <v>84</v>
      </c>
      <c r="B75" s="136" t="s">
        <v>85</v>
      </c>
    </row>
    <row r="76" spans="1:10" x14ac:dyDescent="0.2">
      <c r="A76" s="70" t="s">
        <v>86</v>
      </c>
      <c r="B76" s="226" t="e">
        <f>$B$78*Norms!#REF!</f>
        <v>#REF!</v>
      </c>
    </row>
    <row r="77" spans="1:10" x14ac:dyDescent="0.2">
      <c r="A77" s="70" t="s">
        <v>87</v>
      </c>
      <c r="B77" s="226" t="e">
        <f>$B$78*Norms!#REF!</f>
        <v>#REF!</v>
      </c>
    </row>
    <row r="78" spans="1:10" x14ac:dyDescent="0.2">
      <c r="A78" s="42" t="s">
        <v>47</v>
      </c>
      <c r="B78" s="194" t="e">
        <f>Capex!#REF!</f>
        <v>#REF!</v>
      </c>
    </row>
    <row r="79" spans="1:10" x14ac:dyDescent="0.2">
      <c r="A79" s="40"/>
      <c r="B79" s="144"/>
    </row>
    <row r="80" spans="1:10" x14ac:dyDescent="0.2">
      <c r="A80" s="720" t="s">
        <v>221</v>
      </c>
      <c r="B80" s="721"/>
      <c r="C80" s="721"/>
      <c r="D80" s="721"/>
      <c r="E80" s="721"/>
      <c r="F80" s="721"/>
      <c r="G80" s="721"/>
      <c r="H80" s="721"/>
      <c r="I80" s="721"/>
      <c r="J80" s="722"/>
    </row>
    <row r="81" spans="1:10" x14ac:dyDescent="0.2">
      <c r="A81" s="733" t="s">
        <v>228</v>
      </c>
      <c r="B81" s="734"/>
      <c r="C81" s="734"/>
      <c r="D81" s="734"/>
      <c r="E81" s="734"/>
      <c r="F81" s="734"/>
      <c r="G81" s="734"/>
      <c r="H81" s="734"/>
      <c r="I81" s="734"/>
      <c r="J81" s="735"/>
    </row>
    <row r="82" spans="1:10" x14ac:dyDescent="0.2">
      <c r="A82" s="145" t="s">
        <v>88</v>
      </c>
      <c r="B82" s="195">
        <v>0.1</v>
      </c>
      <c r="C82" s="146"/>
      <c r="D82" s="146"/>
      <c r="E82" s="146"/>
      <c r="F82" s="146"/>
      <c r="G82" s="146"/>
      <c r="H82" s="146"/>
      <c r="I82" s="146"/>
      <c r="J82" s="147"/>
    </row>
    <row r="83" spans="1:10" x14ac:dyDescent="0.2">
      <c r="A83" s="70" t="s">
        <v>89</v>
      </c>
      <c r="B83" s="146"/>
      <c r="C83" s="146"/>
      <c r="D83" s="146"/>
      <c r="E83" s="146"/>
      <c r="F83" s="146"/>
      <c r="G83" s="146"/>
      <c r="H83" s="146"/>
      <c r="I83" s="146"/>
      <c r="J83" s="147"/>
    </row>
    <row r="84" spans="1:10" x14ac:dyDescent="0.2">
      <c r="A84" s="38" t="s">
        <v>90</v>
      </c>
      <c r="B84" s="40" t="s">
        <v>61</v>
      </c>
      <c r="C84" s="40" t="s">
        <v>62</v>
      </c>
      <c r="D84" s="40" t="s">
        <v>63</v>
      </c>
      <c r="E84" s="40" t="s">
        <v>64</v>
      </c>
      <c r="F84" s="40" t="s">
        <v>65</v>
      </c>
      <c r="G84" s="40" t="s">
        <v>66</v>
      </c>
      <c r="H84" s="40" t="s">
        <v>67</v>
      </c>
      <c r="I84" s="40" t="s">
        <v>68</v>
      </c>
      <c r="J84" s="41" t="s">
        <v>69</v>
      </c>
    </row>
    <row r="85" spans="1:10" x14ac:dyDescent="0.2">
      <c r="A85" s="154" t="s">
        <v>91</v>
      </c>
      <c r="B85" s="59" t="e">
        <f>B77</f>
        <v>#REF!</v>
      </c>
      <c r="C85" s="59" t="e">
        <f>B85-B87</f>
        <v>#REF!</v>
      </c>
      <c r="D85" s="59" t="e">
        <f t="shared" ref="D85:J85" si="4">+C86-C88</f>
        <v>#REF!</v>
      </c>
      <c r="E85" s="59" t="e">
        <f t="shared" si="4"/>
        <v>#REF!</v>
      </c>
      <c r="F85" s="59" t="e">
        <f t="shared" si="4"/>
        <v>#REF!</v>
      </c>
      <c r="G85" s="59" t="e">
        <f t="shared" si="4"/>
        <v>#REF!</v>
      </c>
      <c r="H85" s="59" t="e">
        <f t="shared" si="4"/>
        <v>#REF!</v>
      </c>
      <c r="I85" s="59" t="e">
        <f t="shared" si="4"/>
        <v>#REF!</v>
      </c>
      <c r="J85" s="60" t="e">
        <f t="shared" si="4"/>
        <v>#REF!</v>
      </c>
    </row>
    <row r="86" spans="1:10" x14ac:dyDescent="0.2">
      <c r="A86" s="148"/>
      <c r="B86" s="59"/>
      <c r="C86" s="59" t="e">
        <f t="shared" ref="C86:J86" si="5">+C85-C87</f>
        <v>#REF!</v>
      </c>
      <c r="D86" s="59" t="e">
        <f t="shared" si="5"/>
        <v>#REF!</v>
      </c>
      <c r="E86" s="59" t="e">
        <f t="shared" si="5"/>
        <v>#REF!</v>
      </c>
      <c r="F86" s="59" t="e">
        <f t="shared" si="5"/>
        <v>#REF!</v>
      </c>
      <c r="G86" s="59" t="e">
        <f t="shared" si="5"/>
        <v>#REF!</v>
      </c>
      <c r="H86" s="59" t="e">
        <f t="shared" si="5"/>
        <v>#REF!</v>
      </c>
      <c r="I86" s="59" t="e">
        <f t="shared" si="5"/>
        <v>#REF!</v>
      </c>
      <c r="J86" s="60" t="e">
        <f t="shared" si="5"/>
        <v>#REF!</v>
      </c>
    </row>
    <row r="87" spans="1:10" x14ac:dyDescent="0.2">
      <c r="A87" s="730" t="s">
        <v>92</v>
      </c>
      <c r="B87" s="59">
        <v>0</v>
      </c>
      <c r="C87" s="59" t="e">
        <f>+$B$85/15</f>
        <v>#REF!</v>
      </c>
      <c r="D87" s="59" t="e">
        <f t="shared" ref="D87:J88" si="6">+$B$85/15</f>
        <v>#REF!</v>
      </c>
      <c r="E87" s="59" t="e">
        <f t="shared" si="6"/>
        <v>#REF!</v>
      </c>
      <c r="F87" s="59" t="e">
        <f t="shared" si="6"/>
        <v>#REF!</v>
      </c>
      <c r="G87" s="59" t="e">
        <f t="shared" si="6"/>
        <v>#REF!</v>
      </c>
      <c r="H87" s="59" t="e">
        <f t="shared" si="6"/>
        <v>#REF!</v>
      </c>
      <c r="I87" s="59" t="e">
        <f t="shared" si="6"/>
        <v>#REF!</v>
      </c>
      <c r="J87" s="60" t="e">
        <f t="shared" si="6"/>
        <v>#REF!</v>
      </c>
    </row>
    <row r="88" spans="1:10" x14ac:dyDescent="0.2">
      <c r="A88" s="730"/>
      <c r="B88" s="59">
        <v>0</v>
      </c>
      <c r="C88" s="59" t="e">
        <f>+$B$85/15</f>
        <v>#REF!</v>
      </c>
      <c r="D88" s="59" t="e">
        <f t="shared" si="6"/>
        <v>#REF!</v>
      </c>
      <c r="E88" s="59" t="e">
        <f t="shared" si="6"/>
        <v>#REF!</v>
      </c>
      <c r="F88" s="59" t="e">
        <f t="shared" si="6"/>
        <v>#REF!</v>
      </c>
      <c r="G88" s="59" t="e">
        <f t="shared" si="6"/>
        <v>#REF!</v>
      </c>
      <c r="H88" s="59" t="e">
        <f t="shared" si="6"/>
        <v>#REF!</v>
      </c>
      <c r="I88" s="59" t="e">
        <f t="shared" si="6"/>
        <v>#REF!</v>
      </c>
      <c r="J88" s="60" t="e">
        <f t="shared" si="6"/>
        <v>#REF!</v>
      </c>
    </row>
    <row r="89" spans="1:10" x14ac:dyDescent="0.2">
      <c r="A89" s="154" t="s">
        <v>93</v>
      </c>
      <c r="B89" s="59">
        <f t="shared" ref="B89:J89" si="7">SUM(B87:B88)</f>
        <v>0</v>
      </c>
      <c r="C89" s="59" t="e">
        <f t="shared" si="7"/>
        <v>#REF!</v>
      </c>
      <c r="D89" s="59" t="e">
        <f t="shared" si="7"/>
        <v>#REF!</v>
      </c>
      <c r="E89" s="59" t="e">
        <f t="shared" si="7"/>
        <v>#REF!</v>
      </c>
      <c r="F89" s="59" t="e">
        <f t="shared" si="7"/>
        <v>#REF!</v>
      </c>
      <c r="G89" s="59" t="e">
        <f t="shared" si="7"/>
        <v>#REF!</v>
      </c>
      <c r="H89" s="59" t="e">
        <f t="shared" si="7"/>
        <v>#REF!</v>
      </c>
      <c r="I89" s="59" t="e">
        <f t="shared" si="7"/>
        <v>#REF!</v>
      </c>
      <c r="J89" s="60" t="e">
        <f t="shared" si="7"/>
        <v>#REF!</v>
      </c>
    </row>
    <row r="90" spans="1:10" x14ac:dyDescent="0.2">
      <c r="A90" s="730" t="s">
        <v>94</v>
      </c>
      <c r="B90" s="59" t="e">
        <f>+B85*$B$82/2</f>
        <v>#REF!</v>
      </c>
      <c r="C90" s="59" t="e">
        <f t="shared" ref="C90:J91" si="8">+C85*$B$82/2</f>
        <v>#REF!</v>
      </c>
      <c r="D90" s="59" t="e">
        <f t="shared" si="8"/>
        <v>#REF!</v>
      </c>
      <c r="E90" s="59" t="e">
        <f t="shared" si="8"/>
        <v>#REF!</v>
      </c>
      <c r="F90" s="59" t="e">
        <f t="shared" si="8"/>
        <v>#REF!</v>
      </c>
      <c r="G90" s="59" t="e">
        <f t="shared" si="8"/>
        <v>#REF!</v>
      </c>
      <c r="H90" s="59" t="e">
        <f t="shared" si="8"/>
        <v>#REF!</v>
      </c>
      <c r="I90" s="59" t="e">
        <f t="shared" si="8"/>
        <v>#REF!</v>
      </c>
      <c r="J90" s="60" t="e">
        <f t="shared" si="8"/>
        <v>#REF!</v>
      </c>
    </row>
    <row r="91" spans="1:10" x14ac:dyDescent="0.2">
      <c r="A91" s="730"/>
      <c r="B91" s="59" t="e">
        <f>+B90</f>
        <v>#REF!</v>
      </c>
      <c r="C91" s="59" t="e">
        <f>+C86*$B$82/2</f>
        <v>#REF!</v>
      </c>
      <c r="D91" s="59" t="e">
        <f t="shared" si="8"/>
        <v>#REF!</v>
      </c>
      <c r="E91" s="59" t="e">
        <f t="shared" si="8"/>
        <v>#REF!</v>
      </c>
      <c r="F91" s="59" t="e">
        <f t="shared" si="8"/>
        <v>#REF!</v>
      </c>
      <c r="G91" s="59" t="e">
        <f t="shared" si="8"/>
        <v>#REF!</v>
      </c>
      <c r="H91" s="59" t="e">
        <f t="shared" si="8"/>
        <v>#REF!</v>
      </c>
      <c r="I91" s="59" t="e">
        <f t="shared" si="8"/>
        <v>#REF!</v>
      </c>
      <c r="J91" s="60" t="e">
        <f t="shared" si="8"/>
        <v>#REF!</v>
      </c>
    </row>
    <row r="92" spans="1:10" x14ac:dyDescent="0.2">
      <c r="A92" s="149" t="s">
        <v>95</v>
      </c>
      <c r="B92" s="150" t="e">
        <f>+B90+B91</f>
        <v>#REF!</v>
      </c>
      <c r="C92" s="150" t="e">
        <f>+C90+C91</f>
        <v>#REF!</v>
      </c>
      <c r="D92" s="150" t="e">
        <f>+D90+D91</f>
        <v>#REF!</v>
      </c>
      <c r="E92" s="150" t="e">
        <f>+E90+E91</f>
        <v>#REF!</v>
      </c>
      <c r="F92" s="150" t="e">
        <f>+F90+F91</f>
        <v>#REF!</v>
      </c>
      <c r="G92" s="150" t="e">
        <f>+G90+12</f>
        <v>#REF!</v>
      </c>
      <c r="H92" s="150" t="e">
        <f>+H90+12</f>
        <v>#REF!</v>
      </c>
      <c r="I92" s="150" t="e">
        <f>+I90+12</f>
        <v>#REF!</v>
      </c>
      <c r="J92" s="137" t="e">
        <f>+J90+12</f>
        <v>#REF!</v>
      </c>
    </row>
  </sheetData>
  <mergeCells count="22">
    <mergeCell ref="A87:A88"/>
    <mergeCell ref="A90:A91"/>
    <mergeCell ref="A53:C53"/>
    <mergeCell ref="A54:C54"/>
    <mergeCell ref="A58:C58"/>
    <mergeCell ref="A81:J81"/>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S13"/>
  <sheetViews>
    <sheetView showGridLines="0" workbookViewId="0">
      <selection activeCell="J12" sqref="J12"/>
    </sheetView>
  </sheetViews>
  <sheetFormatPr defaultRowHeight="15" x14ac:dyDescent="0.25"/>
  <cols>
    <col min="2" max="2" width="18.140625" bestFit="1" customWidth="1"/>
    <col min="3" max="3" width="19" bestFit="1" customWidth="1"/>
  </cols>
  <sheetData>
    <row r="2" spans="1:19" x14ac:dyDescent="0.25">
      <c r="A2" s="244" t="s">
        <v>287</v>
      </c>
      <c r="B2" s="245"/>
      <c r="C2" s="246"/>
      <c r="D2" s="246"/>
      <c r="E2" s="246"/>
      <c r="F2" s="246"/>
      <c r="G2" s="246"/>
      <c r="H2" s="246"/>
      <c r="I2" s="246"/>
      <c r="J2" s="246"/>
      <c r="K2" s="246"/>
      <c r="L2" s="246"/>
      <c r="M2" s="246"/>
      <c r="N2" s="246"/>
      <c r="O2" s="246"/>
      <c r="P2" s="246"/>
      <c r="Q2" s="246"/>
      <c r="R2" s="246"/>
    </row>
    <row r="3" spans="1:19" x14ac:dyDescent="0.25">
      <c r="A3" s="247"/>
      <c r="B3" s="248"/>
      <c r="C3" s="246"/>
      <c r="D3" s="246"/>
      <c r="E3" s="246"/>
      <c r="F3" s="246"/>
      <c r="G3" s="246"/>
      <c r="H3" s="246"/>
      <c r="I3" s="246"/>
      <c r="J3" s="246"/>
      <c r="K3" s="246"/>
      <c r="L3" s="246"/>
      <c r="M3" s="246"/>
      <c r="N3" s="246"/>
      <c r="O3" s="246"/>
      <c r="P3" s="246"/>
      <c r="Q3" s="246"/>
      <c r="R3" s="246"/>
    </row>
    <row r="4" spans="1:19" x14ac:dyDescent="0.25">
      <c r="A4" s="246"/>
      <c r="B4" s="249" t="s">
        <v>288</v>
      </c>
      <c r="C4" s="250">
        <v>1</v>
      </c>
      <c r="D4" s="246"/>
      <c r="E4" s="246"/>
      <c r="F4" s="246"/>
      <c r="G4" s="246"/>
      <c r="H4" s="246">
        <f>31*42</f>
        <v>1302</v>
      </c>
      <c r="I4" s="246"/>
      <c r="J4" s="246"/>
      <c r="K4" s="246"/>
      <c r="L4" s="246"/>
      <c r="M4" s="246"/>
      <c r="N4" s="246"/>
      <c r="O4" s="246"/>
      <c r="P4" s="246"/>
      <c r="Q4" s="246"/>
      <c r="R4" s="246"/>
    </row>
    <row r="5" spans="1:19" x14ac:dyDescent="0.25">
      <c r="A5" s="246"/>
      <c r="B5" s="251" t="s">
        <v>289</v>
      </c>
      <c r="C5" s="252">
        <v>8</v>
      </c>
      <c r="D5" s="246"/>
      <c r="E5" s="246"/>
      <c r="F5" s="246"/>
      <c r="G5" s="246"/>
      <c r="H5" s="246"/>
      <c r="I5" s="246"/>
      <c r="J5" s="246"/>
      <c r="K5" s="246"/>
      <c r="L5" s="246"/>
      <c r="M5" s="246"/>
      <c r="N5" s="246"/>
      <c r="O5" s="246"/>
      <c r="P5" s="246"/>
      <c r="Q5" s="246"/>
      <c r="R5" s="246"/>
    </row>
    <row r="6" spans="1:19" x14ac:dyDescent="0.25">
      <c r="A6" s="246"/>
      <c r="B6" s="251" t="s">
        <v>280</v>
      </c>
      <c r="C6" s="253">
        <v>0.11</v>
      </c>
      <c r="D6" s="246"/>
      <c r="E6" s="246"/>
      <c r="F6" s="246"/>
      <c r="G6" s="246"/>
      <c r="H6" s="246"/>
      <c r="I6" s="246"/>
      <c r="J6" s="246"/>
      <c r="K6" s="246"/>
      <c r="L6" s="246"/>
      <c r="M6" s="246"/>
      <c r="N6" s="246"/>
      <c r="O6" s="246"/>
      <c r="P6" s="246"/>
      <c r="Q6" s="246"/>
      <c r="R6" s="246"/>
    </row>
    <row r="7" spans="1:19" x14ac:dyDescent="0.25">
      <c r="A7" s="246"/>
      <c r="B7" s="251" t="s">
        <v>290</v>
      </c>
      <c r="C7" s="254" t="e">
        <f>Norms!#REF!</f>
        <v>#REF!</v>
      </c>
      <c r="D7" s="255"/>
      <c r="E7" s="246"/>
      <c r="F7" s="246"/>
      <c r="G7" s="246"/>
      <c r="H7" s="246"/>
      <c r="I7" s="246"/>
      <c r="J7" s="246"/>
      <c r="K7" s="246"/>
      <c r="L7" s="246"/>
      <c r="M7" s="246"/>
      <c r="N7" s="246"/>
      <c r="O7" s="246"/>
      <c r="P7" s="246"/>
      <c r="Q7" s="246"/>
      <c r="R7" s="246"/>
    </row>
    <row r="8" spans="1:19" x14ac:dyDescent="0.25">
      <c r="A8" s="246"/>
      <c r="B8" s="251" t="s">
        <v>291</v>
      </c>
      <c r="C8" s="254" t="e">
        <f>C7/C5</f>
        <v>#REF!</v>
      </c>
      <c r="D8" s="246"/>
      <c r="E8" s="246"/>
      <c r="F8" s="246"/>
      <c r="G8" s="246"/>
      <c r="H8" s="246"/>
      <c r="I8" s="246"/>
      <c r="J8" s="246"/>
      <c r="K8" s="246"/>
      <c r="L8" s="246"/>
      <c r="M8" s="246"/>
      <c r="N8" s="246"/>
      <c r="O8" s="246"/>
      <c r="P8" s="246"/>
      <c r="Q8" s="246"/>
      <c r="R8" s="246"/>
    </row>
    <row r="9" spans="1:19" x14ac:dyDescent="0.25">
      <c r="A9" s="246"/>
      <c r="B9" s="246"/>
      <c r="C9" s="246"/>
      <c r="D9" s="246"/>
      <c r="E9" s="246"/>
      <c r="F9" s="246"/>
      <c r="G9" s="246"/>
      <c r="H9" s="246"/>
      <c r="I9" s="246"/>
      <c r="J9" s="246"/>
      <c r="K9" s="246"/>
      <c r="L9" s="246"/>
      <c r="M9" s="246"/>
      <c r="N9" s="246"/>
      <c r="O9" s="246"/>
      <c r="P9" s="246"/>
      <c r="Q9" s="246"/>
      <c r="R9" s="246"/>
    </row>
    <row r="10" spans="1:19" x14ac:dyDescent="0.25">
      <c r="A10" s="256"/>
      <c r="B10" s="256"/>
      <c r="C10" s="257" t="s">
        <v>292</v>
      </c>
      <c r="D10" s="258">
        <v>-1</v>
      </c>
      <c r="E10" s="258">
        <v>1</v>
      </c>
      <c r="F10" s="258">
        <v>2</v>
      </c>
      <c r="G10" s="258">
        <v>3</v>
      </c>
      <c r="H10" s="258">
        <v>4</v>
      </c>
      <c r="I10" s="258">
        <v>5</v>
      </c>
      <c r="J10" s="258">
        <v>6</v>
      </c>
      <c r="K10" s="258">
        <v>7</v>
      </c>
      <c r="L10" s="258">
        <v>8</v>
      </c>
      <c r="M10" s="258">
        <v>9</v>
      </c>
      <c r="N10" s="258">
        <v>10</v>
      </c>
      <c r="O10" s="258">
        <v>11</v>
      </c>
      <c r="P10" s="258">
        <v>12</v>
      </c>
      <c r="Q10" s="258">
        <v>13</v>
      </c>
      <c r="R10" s="258">
        <v>14</v>
      </c>
      <c r="S10" s="258">
        <v>15</v>
      </c>
    </row>
    <row r="11" spans="1:19" x14ac:dyDescent="0.25">
      <c r="A11" s="251"/>
      <c r="B11" s="251" t="s">
        <v>293</v>
      </c>
      <c r="C11" s="250"/>
      <c r="D11" s="250"/>
      <c r="E11" s="252" t="e">
        <f>IF(E10&lt;=$C$5,$C$8,0)</f>
        <v>#REF!</v>
      </c>
      <c r="F11" s="252" t="e">
        <f t="shared" ref="F11:S11" si="0">IF(F10&lt;=$C$5,$C$8,0)</f>
        <v>#REF!</v>
      </c>
      <c r="G11" s="252" t="e">
        <f t="shared" si="0"/>
        <v>#REF!</v>
      </c>
      <c r="H11" s="252" t="e">
        <f t="shared" si="0"/>
        <v>#REF!</v>
      </c>
      <c r="I11" s="252" t="e">
        <f t="shared" si="0"/>
        <v>#REF!</v>
      </c>
      <c r="J11" s="252" t="e">
        <f t="shared" si="0"/>
        <v>#REF!</v>
      </c>
      <c r="K11" s="252" t="e">
        <f t="shared" si="0"/>
        <v>#REF!</v>
      </c>
      <c r="L11" s="252" t="e">
        <f t="shared" si="0"/>
        <v>#REF!</v>
      </c>
      <c r="M11" s="252">
        <f t="shared" si="0"/>
        <v>0</v>
      </c>
      <c r="N11" s="252">
        <f t="shared" si="0"/>
        <v>0</v>
      </c>
      <c r="O11" s="252">
        <f t="shared" si="0"/>
        <v>0</v>
      </c>
      <c r="P11" s="252">
        <f t="shared" si="0"/>
        <v>0</v>
      </c>
      <c r="Q11" s="252">
        <f t="shared" si="0"/>
        <v>0</v>
      </c>
      <c r="R11" s="252">
        <f t="shared" si="0"/>
        <v>0</v>
      </c>
      <c r="S11" s="252">
        <f t="shared" si="0"/>
        <v>0</v>
      </c>
    </row>
    <row r="12" spans="1:19" x14ac:dyDescent="0.25">
      <c r="A12" s="251"/>
      <c r="B12" s="251" t="s">
        <v>294</v>
      </c>
      <c r="C12" s="254">
        <v>0</v>
      </c>
      <c r="D12" s="254" t="e">
        <f>Norms!#REF!</f>
        <v>#REF!</v>
      </c>
      <c r="E12" s="254" t="e">
        <f>C7</f>
        <v>#REF!</v>
      </c>
      <c r="F12" s="254" t="e">
        <f>E12-E11</f>
        <v>#REF!</v>
      </c>
      <c r="G12" s="254" t="e">
        <f t="shared" ref="G12:S12" si="1">F12-F11</f>
        <v>#REF!</v>
      </c>
      <c r="H12" s="254" t="e">
        <f t="shared" si="1"/>
        <v>#REF!</v>
      </c>
      <c r="I12" s="254" t="e">
        <f>H12-H11</f>
        <v>#REF!</v>
      </c>
      <c r="J12" s="254" t="e">
        <f t="shared" si="1"/>
        <v>#REF!</v>
      </c>
      <c r="K12" s="254" t="e">
        <f>J12-J11</f>
        <v>#REF!</v>
      </c>
      <c r="L12" s="254" t="e">
        <f t="shared" si="1"/>
        <v>#REF!</v>
      </c>
      <c r="M12" s="254" t="e">
        <f t="shared" si="1"/>
        <v>#REF!</v>
      </c>
      <c r="N12" s="254" t="e">
        <f t="shared" si="1"/>
        <v>#REF!</v>
      </c>
      <c r="O12" s="254" t="e">
        <f t="shared" si="1"/>
        <v>#REF!</v>
      </c>
      <c r="P12" s="254" t="e">
        <f t="shared" si="1"/>
        <v>#REF!</v>
      </c>
      <c r="Q12" s="254" t="e">
        <f t="shared" si="1"/>
        <v>#REF!</v>
      </c>
      <c r="R12" s="254" t="e">
        <f t="shared" si="1"/>
        <v>#REF!</v>
      </c>
      <c r="S12" s="254" t="e">
        <f t="shared" si="1"/>
        <v>#REF!</v>
      </c>
    </row>
    <row r="13" spans="1:19" x14ac:dyDescent="0.25">
      <c r="A13" s="251"/>
      <c r="B13" s="251" t="s">
        <v>280</v>
      </c>
      <c r="C13" s="252">
        <v>0</v>
      </c>
      <c r="D13" s="252" t="e">
        <f>D12*$C$6</f>
        <v>#REF!</v>
      </c>
      <c r="E13" s="252" t="e">
        <f t="shared" ref="E13:S13" si="2">E12*$C$6</f>
        <v>#REF!</v>
      </c>
      <c r="F13" s="252" t="e">
        <f t="shared" si="2"/>
        <v>#REF!</v>
      </c>
      <c r="G13" s="252" t="e">
        <f t="shared" si="2"/>
        <v>#REF!</v>
      </c>
      <c r="H13" s="252" t="e">
        <f t="shared" si="2"/>
        <v>#REF!</v>
      </c>
      <c r="I13" s="252" t="e">
        <f t="shared" si="2"/>
        <v>#REF!</v>
      </c>
      <c r="J13" s="252" t="e">
        <f t="shared" si="2"/>
        <v>#REF!</v>
      </c>
      <c r="K13" s="252" t="e">
        <f t="shared" si="2"/>
        <v>#REF!</v>
      </c>
      <c r="L13" s="252" t="e">
        <f t="shared" si="2"/>
        <v>#REF!</v>
      </c>
      <c r="M13" s="252" t="e">
        <f t="shared" si="2"/>
        <v>#REF!</v>
      </c>
      <c r="N13" s="252" t="e">
        <f t="shared" si="2"/>
        <v>#REF!</v>
      </c>
      <c r="O13" s="252" t="e">
        <f t="shared" si="2"/>
        <v>#REF!</v>
      </c>
      <c r="P13" s="252" t="e">
        <f t="shared" si="2"/>
        <v>#REF!</v>
      </c>
      <c r="Q13" s="252" t="e">
        <f t="shared" si="2"/>
        <v>#REF!</v>
      </c>
      <c r="R13" s="252" t="e">
        <f t="shared" si="2"/>
        <v>#REF!</v>
      </c>
      <c r="S13" s="252" t="e">
        <f t="shared" si="2"/>
        <v>#REF!</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Raw Materials Requirement </vt:lpstr>
      <vt:lpstr>Basis</vt:lpstr>
      <vt:lpstr>Norms</vt:lpstr>
      <vt:lpstr>Capex</vt:lpstr>
      <vt:lpstr>Opex</vt:lpstr>
      <vt:lpstr>Cashflow </vt:lpstr>
      <vt:lpstr>Balance Sheet</vt:lpstr>
      <vt:lpstr>Reference Values</vt:lpstr>
      <vt:lpstr>Interest Cal.</vt:lpstr>
      <vt:lpstr>Profitability</vt:lpstr>
      <vt:lpstr> Breakeven Point</vt:lpstr>
      <vt:lpstr>DSCR</vt:lpstr>
      <vt:lpstr>ITC-GST</vt:lpstr>
      <vt:lpstr>Depreciation</vt:lpstr>
      <vt:lpstr>Working Capital</vt:lpstr>
      <vt:lpstr>IRR</vt:lpstr>
      <vt:lpstr>Sensitivity Analysis</vt:lpstr>
      <vt:lpstr>' Breakeven Point'!Print_Area</vt:lpstr>
      <vt:lpstr>DSCR!Print_Area</vt:lpstr>
      <vt:lpstr>Profitability!Print_Area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2023-03-06T06:17:20Z</dcterms:modified>
</cp:coreProperties>
</file>