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Final Kribhco\"/>
    </mc:Choice>
  </mc:AlternateContent>
  <xr:revisionPtr revIDLastSave="0" documentId="13_ncr:1_{F717F12A-3D6B-4210-B622-7103818DC155}" xr6:coauthVersionLast="47" xr6:coauthVersionMax="47" xr10:uidLastSave="{00000000-0000-0000-0000-000000000000}"/>
  <bookViews>
    <workbookView xWindow="-120" yWindow="-120" windowWidth="20730" windowHeight="11160" tabRatio="916" firstSheet="1" activeTab="14" xr2:uid="{00000000-000D-0000-FFFF-FFFF00000000}"/>
  </bookViews>
  <sheets>
    <sheet name="Raw Materials Requirement " sheetId="98" state="hidden" r:id="rId1"/>
    <sheet name="Basis" sheetId="102" r:id="rId2"/>
    <sheet name="Norms" sheetId="99" r:id="rId3"/>
    <sheet name="Capex" sheetId="16" r:id="rId4"/>
    <sheet name="Opex" sheetId="13" r:id="rId5"/>
    <sheet name="Depreciation" sheetId="108" r:id="rId6"/>
    <sheet name="ITC-GST" sheetId="113" r:id="rId7"/>
    <sheet name="Working Capital" sheetId="110" r:id="rId8"/>
    <sheet name="Reference Values" sheetId="101" state="hidden" r:id="rId9"/>
    <sheet name="Interest Cal." sheetId="103" state="hidden" r:id="rId10"/>
    <sheet name="Profitability" sheetId="56" state="hidden" r:id="rId11"/>
    <sheet name=" Breakeven Point" sheetId="57" state="hidden" r:id="rId12"/>
    <sheet name="DSCR" sheetId="58" state="hidden" r:id="rId13"/>
    <sheet name="Cashflow " sheetId="39" r:id="rId14"/>
    <sheet name="IRR" sheetId="111" r:id="rId15"/>
    <sheet name="Balance Sheet" sheetId="112" r:id="rId16"/>
    <sheet name="Sensitivity Analysis" sheetId="114" r:id="rId17"/>
  </sheets>
  <externalReferences>
    <externalReference r:id="rId18"/>
    <externalReference r:id="rId19"/>
    <externalReference r:id="rId20"/>
    <externalReference r:id="rId21"/>
    <externalReference r:id="rId22"/>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1">' Breakeven Point'!$A$1:$B$11</definedName>
    <definedName name="_xlnm.Print_Area" localSheetId="12">DSCR!$A$1:$J$17</definedName>
    <definedName name="_xlnm.Print_Area" localSheetId="10">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13" l="1"/>
  <c r="H37" i="99"/>
  <c r="H35" i="99"/>
  <c r="B11" i="16"/>
  <c r="J9" i="99"/>
  <c r="H14" i="16"/>
  <c r="B49" i="99" l="1"/>
  <c r="O7" i="98" l="1"/>
  <c r="N7" i="98"/>
  <c r="L9" i="98"/>
  <c r="I6" i="98"/>
  <c r="F33" i="114"/>
  <c r="E33" i="114"/>
  <c r="D33" i="114"/>
  <c r="C33" i="114"/>
  <c r="F31" i="114"/>
  <c r="E31" i="114"/>
  <c r="D31" i="114"/>
  <c r="C31" i="114"/>
  <c r="F29" i="114"/>
  <c r="E29" i="114"/>
  <c r="D29" i="114"/>
  <c r="C29" i="114"/>
  <c r="J12" i="114"/>
  <c r="M16" i="114"/>
  <c r="L16" i="114"/>
  <c r="K16" i="114"/>
  <c r="J16" i="114"/>
  <c r="M14" i="114"/>
  <c r="L14" i="114"/>
  <c r="K14" i="114"/>
  <c r="J14" i="114"/>
  <c r="M11" i="114"/>
  <c r="M12" i="114" s="1"/>
  <c r="L12" i="114"/>
  <c r="K12" i="114"/>
  <c r="D12" i="114"/>
  <c r="E12" i="114"/>
  <c r="F12" i="114"/>
  <c r="C12" i="114"/>
  <c r="F16" i="114"/>
  <c r="E16" i="114"/>
  <c r="D16" i="114"/>
  <c r="C16" i="114"/>
  <c r="F14" i="114"/>
  <c r="E14" i="114"/>
  <c r="D14" i="114"/>
  <c r="C14" i="114"/>
  <c r="F40" i="16"/>
  <c r="F43" i="16" s="1"/>
  <c r="I4" i="16"/>
  <c r="J4" i="16"/>
  <c r="F44" i="16" l="1"/>
  <c r="F42" i="16"/>
  <c r="R21" i="113"/>
  <c r="Q21" i="113"/>
  <c r="P21" i="113"/>
  <c r="O21" i="113"/>
  <c r="N21" i="113"/>
  <c r="M21" i="113"/>
  <c r="L21" i="113"/>
  <c r="K21" i="113"/>
  <c r="J21" i="113"/>
  <c r="I21" i="113"/>
  <c r="F45" i="16" l="1"/>
  <c r="C55" i="39"/>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80" i="16"/>
  <c r="E15" i="39"/>
  <c r="E14" i="39"/>
  <c r="C12" i="110"/>
  <c r="C11" i="110"/>
  <c r="B12" i="108"/>
  <c r="B19" i="108" s="1"/>
  <c r="B11" i="108"/>
  <c r="B18" i="108" s="1"/>
  <c r="B10" i="108"/>
  <c r="B17" i="108" s="1"/>
  <c r="C87"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3" i="13"/>
  <c r="F13" i="13"/>
  <c r="G13" i="13"/>
  <c r="H13" i="13"/>
  <c r="I13" i="13"/>
  <c r="J13" i="13"/>
  <c r="K13" i="13"/>
  <c r="L13" i="13"/>
  <c r="M13" i="13"/>
  <c r="N13" i="13"/>
  <c r="O13" i="13"/>
  <c r="P13" i="13"/>
  <c r="Q13" i="13"/>
  <c r="R13" i="13"/>
  <c r="D13" i="13"/>
  <c r="E4" i="13" l="1"/>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7" i="16"/>
  <c r="B6" i="16"/>
  <c r="T59" i="39" l="1"/>
  <c r="B29" i="16"/>
  <c r="B40" i="16" l="1"/>
  <c r="B43" i="16" s="1"/>
  <c r="B20" i="16"/>
  <c r="D20" i="16" s="1"/>
  <c r="D22" i="16" s="1"/>
  <c r="H4" i="103"/>
  <c r="B41" i="16" l="1"/>
  <c r="E43" i="16"/>
  <c r="B27" i="16"/>
  <c r="B4" i="16"/>
  <c r="B44" i="16"/>
  <c r="B42" i="16"/>
  <c r="C4" i="108" l="1"/>
  <c r="B45" i="16"/>
  <c r="B28" i="16" s="1"/>
  <c r="D18" i="108" l="1"/>
  <c r="E18" i="108" s="1"/>
  <c r="F18" i="108" s="1"/>
  <c r="O11" i="108"/>
  <c r="L11" i="108"/>
  <c r="I11" i="108"/>
  <c r="P11" i="108"/>
  <c r="M11" i="108"/>
  <c r="J11" i="108"/>
  <c r="F11" i="108"/>
  <c r="Q11" i="108"/>
  <c r="G11" i="108"/>
  <c r="R11" i="108"/>
  <c r="K11" i="108"/>
  <c r="N11" i="108"/>
  <c r="H11" i="108"/>
  <c r="D11" i="108"/>
  <c r="E11" i="108"/>
  <c r="B32" i="16"/>
  <c r="B5" i="16"/>
  <c r="M11" i="103"/>
  <c r="N11" i="103"/>
  <c r="O11" i="103"/>
  <c r="P11" i="103"/>
  <c r="Q11" i="103"/>
  <c r="R11" i="103"/>
  <c r="S11" i="103"/>
  <c r="D15" i="13" l="1"/>
  <c r="E15" i="13" s="1"/>
  <c r="F15" i="13" s="1"/>
  <c r="G15" i="13" s="1"/>
  <c r="H15" i="13" s="1"/>
  <c r="I15" i="13" s="1"/>
  <c r="J15" i="13" s="1"/>
  <c r="K15" i="13" s="1"/>
  <c r="L15" i="13" s="1"/>
  <c r="M15" i="13" s="1"/>
  <c r="N15" i="13" s="1"/>
  <c r="O15" i="13" s="1"/>
  <c r="P15" i="13" s="1"/>
  <c r="Q15" i="13" s="1"/>
  <c r="R15" i="13" s="1"/>
  <c r="C19" i="113"/>
  <c r="C3" i="108"/>
  <c r="B34" i="16"/>
  <c r="B9" i="16" s="1"/>
  <c r="G18" i="108"/>
  <c r="H18" i="108" s="1"/>
  <c r="G28" i="99"/>
  <c r="C7" i="13"/>
  <c r="C24" i="13" s="1"/>
  <c r="E34" i="98"/>
  <c r="B34" i="98"/>
  <c r="B11" i="58"/>
  <c r="D44" i="99"/>
  <c r="D45" i="99"/>
  <c r="D46" i="99"/>
  <c r="D47" i="99"/>
  <c r="D48" i="99"/>
  <c r="D43" i="99"/>
  <c r="D39" i="99"/>
  <c r="E39" i="99" s="1"/>
  <c r="F6" i="99"/>
  <c r="B24" i="13" s="1"/>
  <c r="F5" i="99"/>
  <c r="F4" i="99"/>
  <c r="F3" i="99"/>
  <c r="B7" i="13" s="1"/>
  <c r="D35" i="99"/>
  <c r="E35" i="99" s="1"/>
  <c r="F23" i="98"/>
  <c r="F27" i="98"/>
  <c r="G11" i="99"/>
  <c r="G21" i="113" l="1"/>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1" i="16"/>
  <c r="C36" i="39"/>
  <c r="C11" i="16"/>
  <c r="B77"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5" i="16"/>
  <c r="D86" i="16"/>
  <c r="D84" i="16"/>
  <c r="D83"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3" i="16"/>
  <c r="D87" i="16"/>
  <c r="F19" i="108"/>
  <c r="F20" i="108" s="1"/>
  <c r="E99" i="39" s="1"/>
  <c r="F7" i="112" l="1"/>
  <c r="E7" i="112"/>
  <c r="H27" i="39"/>
  <c r="G6" i="112" s="1"/>
  <c r="G7" i="112" s="1"/>
  <c r="F65" i="39"/>
  <c r="G5" i="111"/>
  <c r="G30" i="111" s="1"/>
  <c r="D98" i="39"/>
  <c r="G19" i="108"/>
  <c r="G20" i="108" s="1"/>
  <c r="F99" i="39" s="1"/>
  <c r="F83" i="16"/>
  <c r="H83" i="16"/>
  <c r="I27" i="39" l="1"/>
  <c r="H6" i="112" s="1"/>
  <c r="H7" i="112" s="1"/>
  <c r="G65" i="39"/>
  <c r="H5" i="111"/>
  <c r="H30" i="111" s="1"/>
  <c r="E98" i="39"/>
  <c r="H19" i="108"/>
  <c r="H20" i="108" s="1"/>
  <c r="G99" i="39" s="1"/>
  <c r="I83" i="16"/>
  <c r="J27" i="39" l="1"/>
  <c r="I6" i="112" s="1"/>
  <c r="I7" i="112" s="1"/>
  <c r="H65" i="39"/>
  <c r="F98" i="39"/>
  <c r="I5" i="111"/>
  <c r="I30" i="111" s="1"/>
  <c r="I19" i="108"/>
  <c r="I20" i="108" s="1"/>
  <c r="H99" i="39" s="1"/>
  <c r="K83"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31" i="13" s="1"/>
  <c r="D32" i="13" s="1"/>
  <c r="D75" i="39"/>
  <c r="C75" i="39"/>
  <c r="Q20" i="108" l="1"/>
  <c r="P99" i="39" s="1"/>
  <c r="L18" i="39"/>
  <c r="H7" i="56" s="1"/>
  <c r="J25" i="13"/>
  <c r="J31" i="13" s="1"/>
  <c r="J32" i="13" s="1"/>
  <c r="H18" i="39"/>
  <c r="F25" i="13"/>
  <c r="F31" i="13" s="1"/>
  <c r="F32" i="13" s="1"/>
  <c r="J18" i="39"/>
  <c r="F7" i="56" s="1"/>
  <c r="H25" i="13"/>
  <c r="H31" i="13" s="1"/>
  <c r="H32" i="13" s="1"/>
  <c r="S18" i="39"/>
  <c r="Q25" i="13"/>
  <c r="Q31" i="13" s="1"/>
  <c r="Q32" i="13" s="1"/>
  <c r="M18" i="39"/>
  <c r="K25" i="13"/>
  <c r="K31" i="13" s="1"/>
  <c r="K32" i="13" s="1"/>
  <c r="G18" i="39"/>
  <c r="E25" i="13"/>
  <c r="E31" i="13" s="1"/>
  <c r="E32" i="13" s="1"/>
  <c r="R18" i="39"/>
  <c r="P25" i="13"/>
  <c r="P31" i="13" s="1"/>
  <c r="P32" i="13" s="1"/>
  <c r="P18" i="39"/>
  <c r="N25" i="13"/>
  <c r="N31" i="13" s="1"/>
  <c r="N32" i="13" s="1"/>
  <c r="O18" i="39"/>
  <c r="M25" i="13"/>
  <c r="M31" i="13" s="1"/>
  <c r="M32" i="13" s="1"/>
  <c r="T18" i="39"/>
  <c r="R25" i="13"/>
  <c r="R31" i="13" s="1"/>
  <c r="R32" i="13" s="1"/>
  <c r="Q18" i="39"/>
  <c r="O25" i="13"/>
  <c r="O31" i="13" s="1"/>
  <c r="O32" i="13" s="1"/>
  <c r="N18" i="39"/>
  <c r="L25" i="13"/>
  <c r="L31" i="13" s="1"/>
  <c r="L32" i="13" s="1"/>
  <c r="I18" i="39"/>
  <c r="E7" i="56" s="1"/>
  <c r="G25" i="13"/>
  <c r="G31" i="13" s="1"/>
  <c r="G32" i="13" s="1"/>
  <c r="K18" i="39"/>
  <c r="I25" i="13"/>
  <c r="I31" i="13" s="1"/>
  <c r="I32" i="13" s="1"/>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3" i="16"/>
  <c r="E84" i="16" s="1"/>
  <c r="H84" i="16" s="1"/>
  <c r="C63" i="39" s="1"/>
  <c r="C64" i="39"/>
  <c r="C22" i="111"/>
  <c r="D36" i="111" s="1"/>
  <c r="D14" i="112" l="1"/>
  <c r="E40" i="111"/>
  <c r="C16" i="112"/>
  <c r="C18" i="112" s="1"/>
  <c r="C20" i="112" s="1"/>
  <c r="C66" i="39"/>
  <c r="F14" i="112"/>
  <c r="I84" i="16"/>
  <c r="F84" i="16"/>
  <c r="G84" i="16" s="1"/>
  <c r="E85" i="16" s="1"/>
  <c r="C76" i="39" l="1"/>
  <c r="K84" i="16"/>
  <c r="H85" i="16"/>
  <c r="F85" i="16"/>
  <c r="G85" i="16" s="1"/>
  <c r="E86" i="16" s="1"/>
  <c r="E87" i="16" s="1"/>
  <c r="G14" i="112"/>
  <c r="H14" i="112" l="1"/>
  <c r="H86" i="16"/>
  <c r="D63" i="39" s="1"/>
  <c r="F86" i="16"/>
  <c r="I85" i="16"/>
  <c r="D16" i="112" l="1"/>
  <c r="D18" i="112" s="1"/>
  <c r="D20" i="112" s="1"/>
  <c r="D66" i="39"/>
  <c r="D76" i="39" s="1"/>
  <c r="H87" i="16"/>
  <c r="G86" i="16"/>
  <c r="F87" i="16"/>
  <c r="G87" i="16" s="1"/>
  <c r="I86" i="16"/>
  <c r="I14" i="112"/>
  <c r="K85" i="16"/>
  <c r="J14" i="112" l="1"/>
  <c r="I87" i="16"/>
  <c r="K86" i="16"/>
  <c r="K87" i="16" s="1"/>
  <c r="B72" i="16" l="1"/>
  <c r="B13" i="16"/>
  <c r="K14" i="112"/>
  <c r="B73" i="16" l="1"/>
  <c r="D11" i="111" s="1"/>
  <c r="D12" i="111" s="1"/>
  <c r="B76" i="16"/>
  <c r="L14" i="112"/>
  <c r="C37" i="39"/>
  <c r="C39" i="39" s="1"/>
  <c r="B14" i="16"/>
  <c r="E11" i="111" l="1"/>
  <c r="E12" i="111" s="1"/>
  <c r="E13" i="111" s="1"/>
  <c r="E16" i="111" s="1"/>
  <c r="B78" i="16"/>
  <c r="J83" i="16"/>
  <c r="C23" i="111"/>
  <c r="C85" i="39"/>
  <c r="J84" i="16"/>
  <c r="J85" i="16"/>
  <c r="J86" i="16"/>
  <c r="J87"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R29" i="13" s="1"/>
  <c r="L19" i="39"/>
  <c r="J11" i="110"/>
  <c r="J13" i="110" s="1"/>
  <c r="J18" i="13"/>
  <c r="J29" i="13" s="1"/>
  <c r="M19" i="39"/>
  <c r="K18" i="13"/>
  <c r="K29" i="13" s="1"/>
  <c r="K11" i="110"/>
  <c r="K13" i="110" s="1"/>
  <c r="S19" i="39"/>
  <c r="Q18" i="13"/>
  <c r="Q29" i="13" s="1"/>
  <c r="Q11" i="110"/>
  <c r="Q13" i="110" s="1"/>
  <c r="K19" i="39"/>
  <c r="I18" i="13"/>
  <c r="I29" i="13" s="1"/>
  <c r="I11" i="110"/>
  <c r="I13" i="110" s="1"/>
  <c r="I19" i="39"/>
  <c r="G18" i="13"/>
  <c r="G29" i="13" s="1"/>
  <c r="G11" i="110"/>
  <c r="G13" i="110" s="1"/>
  <c r="P19" i="39"/>
  <c r="N18" i="13"/>
  <c r="N29" i="13" s="1"/>
  <c r="N11" i="110"/>
  <c r="N13" i="110" s="1"/>
  <c r="G19" i="39"/>
  <c r="E18" i="13"/>
  <c r="E29" i="13" s="1"/>
  <c r="E11" i="110"/>
  <c r="E13" i="110" s="1"/>
  <c r="C8" i="39"/>
  <c r="D8" i="39"/>
  <c r="E9" i="39"/>
  <c r="E25" i="56"/>
  <c r="F25" i="56"/>
  <c r="D25" i="56"/>
  <c r="D44" i="39"/>
  <c r="O19" i="39"/>
  <c r="M18" i="13"/>
  <c r="M29" i="13" s="1"/>
  <c r="M11" i="110"/>
  <c r="M13" i="110" s="1"/>
  <c r="N19" i="39"/>
  <c r="L18" i="13"/>
  <c r="L29" i="13" s="1"/>
  <c r="L11" i="110"/>
  <c r="L13" i="110" s="1"/>
  <c r="Q19" i="39"/>
  <c r="O18" i="13"/>
  <c r="O29" i="13" s="1"/>
  <c r="O11" i="110"/>
  <c r="O13" i="110" s="1"/>
  <c r="N14" i="112"/>
  <c r="H19" i="39"/>
  <c r="F18" i="13"/>
  <c r="F29" i="13" s="1"/>
  <c r="F11" i="110"/>
  <c r="F13" i="110" s="1"/>
  <c r="R19" i="39"/>
  <c r="P18" i="13"/>
  <c r="P29" i="13" s="1"/>
  <c r="P11" i="110"/>
  <c r="P13" i="110" s="1"/>
  <c r="J19" i="39"/>
  <c r="H18" i="13"/>
  <c r="H29" i="13" s="1"/>
  <c r="H11" i="110"/>
  <c r="H13" i="110" s="1"/>
  <c r="F19" i="39"/>
  <c r="D18" i="13"/>
  <c r="D11" i="110"/>
  <c r="D13" i="110" s="1"/>
  <c r="D26" i="13" l="1"/>
  <c r="D29" i="13"/>
  <c r="D30" i="13" s="1"/>
  <c r="E30" i="13" s="1"/>
  <c r="D27" i="13"/>
  <c r="D28" i="13" s="1"/>
  <c r="E26" i="13"/>
  <c r="E16" i="112"/>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K20" i="39"/>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17" i="110" l="1"/>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4"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G42" i="111" l="1"/>
  <c r="I40" i="111"/>
  <c r="I41" i="111" s="1"/>
  <c r="I42" i="111" s="1"/>
  <c r="G15" i="112"/>
  <c r="G18" i="112" s="1"/>
  <c r="G20" i="112" s="1"/>
  <c r="I31" i="39"/>
  <c r="D13" i="111"/>
  <c r="C25" i="111"/>
  <c r="G16" i="111"/>
  <c r="K77" i="39"/>
  <c r="J40" i="111" l="1"/>
  <c r="J41" i="111" s="1"/>
  <c r="J42" i="111" s="1"/>
  <c r="D43" i="111" s="1"/>
  <c r="H15" i="112"/>
  <c r="H18" i="112" s="1"/>
  <c r="H20" i="112" s="1"/>
  <c r="J31" i="39"/>
  <c r="L77" i="39"/>
  <c r="G17" i="111"/>
  <c r="G18" i="111" s="1"/>
  <c r="H16" i="111"/>
  <c r="K40" i="111" l="1"/>
  <c r="K41" i="111" s="1"/>
  <c r="K42" i="111" s="1"/>
  <c r="M77" i="39"/>
  <c r="I15" i="112"/>
  <c r="I18" i="112" s="1"/>
  <c r="I20" i="112" s="1"/>
  <c r="K31" i="39"/>
  <c r="H17" i="111"/>
  <c r="H18" i="111" s="1"/>
  <c r="I16" i="111"/>
  <c r="L40" i="111" l="1"/>
  <c r="M40" i="111" s="1"/>
  <c r="J15" i="112"/>
  <c r="J18" i="112" s="1"/>
  <c r="J20" i="112" s="1"/>
  <c r="L31" i="39"/>
  <c r="N77" i="39"/>
  <c r="I17" i="111"/>
  <c r="I18" i="111" s="1"/>
  <c r="J16" i="111"/>
  <c r="L41" i="111" l="1"/>
  <c r="L42" i="111" s="1"/>
  <c r="K15" i="112"/>
  <c r="K18" i="112" s="1"/>
  <c r="K20" i="112" s="1"/>
  <c r="M31" i="39"/>
  <c r="O77" i="39"/>
  <c r="M41" i="111"/>
  <c r="M42" i="111" s="1"/>
  <c r="N40" i="111"/>
  <c r="J17" i="111"/>
  <c r="J18" i="111" s="1"/>
  <c r="D19" i="111" s="1"/>
  <c r="K16" i="111"/>
  <c r="L15" i="112" l="1"/>
  <c r="L18" i="112" s="1"/>
  <c r="L20" i="112" s="1"/>
  <c r="N31" i="39"/>
  <c r="P77" i="39"/>
  <c r="K17" i="111"/>
  <c r="K18"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<sst xmlns="http://schemas.openxmlformats.org/spreadsheetml/2006/main" count="989" uniqueCount="601">
  <si>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</si>
  <si>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</si>
  <si>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</si>
  <si>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</si>
  <si>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</si>
  <si>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</si>
  <si>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</si>
  <si>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</si>
  <si>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</si>
  <si>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</si>
  <si>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</si>
  <si>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</si>
  <si>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</si>
  <si>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</si>
  <si>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</si>
  <si>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</si>
  <si>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</si>
  <si>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</si>
  <si>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</si>
  <si>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</si>
  <si>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</si>
  <si>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</si>
  <si>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</si>
  <si>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</si>
  <si>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</si>
  <si>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</si>
  <si>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</si>
  <si>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</si>
  <si>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</si>
  <si>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</si>
  <si>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</si>
  <si>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</si>
  <si>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</si>
  <si>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</si>
  <si>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</si>
  <si>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</si>
  <si>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</si>
  <si>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</si>
  <si>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</si>
  <si>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</si>
  <si>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</si>
  <si>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</si>
  <si>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</si>
  <si>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</si>
  <si>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</si>
  <si>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</si>
  <si>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</si>
  <si>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</si>
  <si>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</si>
  <si>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</si>
  <si>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</si>
  <si>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</si>
  <si>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</si>
  <si>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</si>
  <si>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</si>
  <si>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</si>
  <si>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</si>
  <si>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</si>
  <si>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</si>
  <si>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</si>
  <si>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</si>
  <si>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</si>
  <si>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</si>
  <si>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</si>
  <si>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</si>
  <si>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</si>
  <si>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</si>
  <si>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</si>
  <si>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</si>
  <si>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</si>
  <si>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</si>
  <si>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</si>
  <si>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</si>
  <si>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</si>
  <si>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</si>
  <si>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</si>
  <si>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</si>
  <si>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</si>
  <si>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</si>
  <si>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</si>
  <si>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</si>
  <si>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</si>
  <si>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</si>
  <si>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</si>
  <si>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</si>
  <si>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</si>
  <si>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</si>
  <si>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</si>
  <si>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</si>
  <si>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</si>
  <si>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</si>
  <si>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</si>
  <si>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</si>
  <si>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</si>
  <si>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</si>
  <si>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</si>
  <si>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</si>
  <si>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</si>
  <si>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</si>
  <si>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</si>
  <si>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</si>
  <si>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</si>
  <si>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</si>
  <si>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</si>
  <si>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</si>
  <si>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</si>
  <si>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</si>
  <si>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</si>
  <si>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</si>
  <si>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</si>
  <si>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</si>
  <si>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</si>
  <si>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</si>
  <si>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</si>
  <si>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</si>
  <si>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</si>
  <si>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</si>
  <si>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</si>
  <si>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</si>
  <si>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</si>
  <si>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</si>
  <si>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</si>
  <si>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</si>
  <si>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</si>
  <si>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</si>
  <si>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</si>
  <si>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</si>
  <si>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</si>
  <si>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</si>
  <si>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</si>
  <si>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</si>
  <si>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</si>
  <si>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</si>
  <si>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</si>
  <si>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</si>
  <si>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</si>
  <si>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</si>
  <si>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</si>
  <si>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</si>
  <si>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</si>
  <si>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</si>
  <si>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</si>
  <si>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</si>
  <si>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</si>
  <si>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</si>
  <si>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</si>
  <si>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</si>
  <si>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</si>
  <si>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</si>
  <si>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</si>
  <si>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</si>
  <si>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</si>
  <si>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</si>
  <si>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</si>
  <si>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</si>
  <si>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</si>
  <si>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</si>
  <si>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</si>
  <si>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</si>
  <si>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</si>
  <si>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</si>
  <si>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</si>
  <si>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</si>
  <si>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</si>
  <si>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</si>
  <si>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</si>
  <si>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</si>
  <si>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</si>
  <si>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</si>
  <si>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</si>
  <si>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</si>
  <si>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</si>
  <si>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</si>
  <si>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</si>
  <si>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</si>
  <si>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</si>
  <si>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</si>
  <si>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</si>
  <si>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</si>
  <si>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</si>
  <si>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</si>
  <si>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</si>
  <si>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</si>
  <si>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</si>
  <si>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</si>
  <si>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</si>
  <si>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</si>
  <si>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</si>
  <si>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</si>
  <si>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</si>
  <si>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</si>
  <si>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</si>
  <si>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</si>
  <si>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</si>
  <si>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</si>
  <si>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</si>
  <si>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</si>
  <si>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</si>
  <si>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</si>
  <si>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</si>
  <si>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</si>
  <si>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</si>
  <si>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</si>
  <si>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</si>
  <si>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</si>
  <si>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</si>
  <si>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</si>
  <si>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</si>
  <si>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</si>
  <si>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</si>
  <si>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</si>
  <si>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</si>
  <si>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</si>
  <si>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</si>
  <si>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</si>
  <si>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</si>
  <si>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</si>
  <si>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</si>
  <si>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</si>
  <si>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</si>
  <si>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</si>
  <si>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</si>
  <si>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</si>
  <si>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</si>
  <si>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</si>
  <si>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</si>
  <si>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</si>
  <si>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</si>
  <si>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</si>
  <si>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</si>
  <si>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</si>
  <si>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</si>
  <si>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</si>
  <si>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</si>
  <si>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</si>
  <si>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</si>
  <si>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</si>
  <si>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</si>
  <si>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</si>
  <si>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</si>
  <si>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</si>
  <si>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</si>
  <si>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</si>
  <si>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</si>
  <si>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</si>
  <si>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</si>
  <si>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</si>
  <si>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</si>
  <si>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</si>
  <si>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</si>
  <si>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</si>
  <si>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</si>
  <si>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</si>
  <si>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</si>
  <si>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</si>
  <si>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</si>
  <si>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</si>
  <si>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</si>
  <si>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</si>
  <si>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</si>
  <si>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</si>
  <si>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</si>
  <si>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</si>
  <si>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</si>
  <si>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</si>
  <si>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</si>
  <si>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</si>
  <si>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</si>
  <si>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</si>
  <si>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</si>
  <si>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</si>
  <si>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</si>
  <si>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</si>
  <si>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</si>
  <si>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</si>
  <si>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</si>
  <si>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</si>
  <si>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</si>
  <si>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</si>
  <si>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</si>
  <si>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</si>
  <si>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</si>
  <si>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</si>
  <si>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</si>
  <si>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</si>
  <si>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</si>
  <si>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</si>
  <si>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</si>
  <si>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</si>
  <si>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</si>
  <si>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</si>
  <si>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</si>
  <si>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</si>
  <si>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</si>
  <si>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</si>
  <si>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</si>
  <si>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</si>
  <si>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</si>
  <si>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</si>
  <si>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</si>
  <si>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</si>
  <si>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</si>
  <si>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</si>
  <si>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</si>
  <si>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</si>
  <si>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</si>
  <si>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</si>
  <si>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</si>
  <si>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</si>
  <si>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</si>
  <si>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</si>
  <si>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</si>
  <si>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</si>
  <si>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</si>
  <si>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</si>
  <si>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</si>
  <si>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</si>
  <si>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</si>
  <si>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</si>
  <si>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</si>
  <si>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</si>
  <si>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</si>
  <si>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</si>
  <si>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</si>
  <si>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</si>
  <si>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</si>
  <si>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</si>
  <si>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</si>
  <si>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</si>
  <si>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</si>
  <si>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</si>
  <si>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</si>
  <si>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</si>
  <si>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</si>
  <si>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</si>
  <si>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</si>
  <si>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</si>
  <si>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</si>
  <si>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</si>
  <si>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</si>
  <si>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</si>
  <si>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</si>
  <si>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</si>
  <si>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</si>
  <si>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</si>
  <si>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</si>
  <si>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</si>
  <si>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</si>
  <si>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</si>
  <si>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</si>
  <si>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</si>
  <si>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</si>
  <si>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</si>
  <si>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</si>
  <si>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</si>
  <si>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</si>
  <si>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</si>
  <si>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</si>
  <si>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</si>
  <si>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</si>
  <si>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</si>
  <si>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</si>
  <si>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</si>
  <si>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</si>
  <si>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</si>
  <si>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</si>
  <si>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</si>
  <si>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</si>
  <si>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</si>
  <si>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</si>
  <si>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</si>
  <si>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</si>
  <si>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</si>
  <si>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</si>
  <si>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</si>
  <si>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</si>
  <si>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</si>
  <si>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</si>
  <si>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</si>
  <si>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</si>
  <si>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</si>
  <si>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</si>
  <si>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</si>
  <si>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</si>
  <si>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</si>
  <si>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</si>
  <si>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</si>
  <si>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</si>
  <si>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</si>
  <si>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</si>
  <si>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</si>
  <si>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</si>
  <si>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</si>
  <si>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</si>
  <si>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</si>
  <si>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</si>
  <si>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</si>
  <si>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</si>
  <si>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</si>
  <si>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</si>
  <si>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</si>
  <si>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</si>
  <si>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</si>
  <si>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</si>
  <si>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</si>
  <si>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</si>
  <si>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</si>
  <si>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</si>
  <si>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</si>
  <si>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</si>
  <si>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</si>
  <si>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</si>
  <si>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</si>
  <si>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</si>
  <si>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</si>
  <si>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</si>
  <si>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</si>
  <si>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</si>
  <si>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</si>
  <si>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</si>
  <si>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</si>
  <si>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</si>
  <si>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</si>
  <si>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</si>
  <si>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</si>
  <si>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</si>
  <si>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DM Water plant</t>
  </si>
  <si>
    <t>STG for power generation</t>
  </si>
  <si>
    <t>Storage tanks-WNA</t>
  </si>
  <si>
    <t>Storage tank-AN</t>
  </si>
  <si>
    <t>Instrument air package</t>
  </si>
  <si>
    <t>Sl No.</t>
  </si>
  <si>
    <t>Capacity</t>
  </si>
  <si>
    <t>Cost, Rs Cr.</t>
  </si>
  <si>
    <t>DM water tank</t>
  </si>
  <si>
    <t>M3/hr</t>
  </si>
  <si>
    <t>m3/hr</t>
  </si>
  <si>
    <t>MW</t>
  </si>
  <si>
    <t>NM3/hr</t>
  </si>
  <si>
    <t>M3</t>
  </si>
  <si>
    <t>m3</t>
  </si>
  <si>
    <t>Units</t>
  </si>
  <si>
    <t>WTP plusTreated water tank</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</si>
  <si>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</si>
  <si>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</si>
  <si>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</si>
  <si>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</si>
  <si>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</si>
  <si>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</si>
  <si>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</si>
  <si>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</si>
  <si>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</si>
  <si>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</si>
  <si>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</si>
  <si>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</si>
  <si>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</si>
  <si>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</si>
  <si>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</si>
  <si>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</si>
  <si>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</si>
  <si>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</si>
  <si>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</si>
  <si>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</si>
  <si>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</si>
  <si>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</si>
  <si>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</si>
  <si>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</si>
  <si>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</si>
  <si>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</si>
  <si>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</si>
  <si>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</si>
  <si>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</si>
  <si>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</si>
  <si>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</si>
  <si>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</si>
  <si>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</si>
  <si>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</si>
  <si>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</si>
  <si>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</si>
  <si>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</si>
  <si>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</si>
  <si>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</si>
  <si>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</si>
  <si>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</si>
  <si>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</si>
  <si>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</si>
  <si>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</si>
  <si>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</si>
  <si>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</si>
  <si>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</si>
  <si>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</si>
  <si>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</si>
  <si>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</si>
  <si>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</si>
  <si>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</si>
  <si>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</si>
  <si>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</si>
  <si>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</si>
  <si>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</si>
  <si>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</si>
  <si>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</si>
  <si>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</si>
  <si>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</si>
  <si>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</si>
  <si>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</si>
  <si>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</si>
  <si>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</si>
  <si>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</si>
  <si>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</si>
  <si>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</si>
  <si>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</si>
  <si>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</si>
  <si>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</si>
  <si>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</si>
  <si>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</si>
  <si>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</si>
  <si>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</si>
  <si>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</si>
  <si>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</si>
  <si>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</si>
  <si>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</si>
  <si>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</si>
  <si>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</si>
  <si>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</si>
  <si>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</si>
  <si>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</si>
  <si>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</si>
  <si>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</si>
  <si>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</si>
  <si>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</si>
  <si>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</si>
  <si>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</si>
  <si>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</si>
  <si>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</si>
  <si>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</si>
  <si>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</si>
  <si>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</si>
  <si>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</si>
  <si>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</si>
  <si>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</si>
  <si>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</si>
  <si>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</si>
  <si>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</si>
  <si>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</si>
  <si>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</si>
  <si>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</si>
  <si>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</si>
  <si>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</si>
  <si>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</si>
  <si>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</si>
  <si>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</si>
  <si>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</si>
  <si>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</si>
  <si>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</si>
  <si>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</si>
  <si>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</si>
  <si>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</si>
  <si>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</si>
  <si>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</si>
  <si>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</si>
  <si>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</si>
  <si>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</si>
  <si>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</si>
  <si>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</si>
  <si>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</si>
  <si>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</si>
  <si>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</si>
  <si>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</si>
  <si>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</si>
  <si>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</si>
  <si>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</si>
  <si>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</si>
  <si>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</si>
  <si>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</si>
  <si>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</si>
  <si>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</si>
  <si>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</si>
  <si>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</si>
  <si>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</si>
  <si>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</si>
  <si>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</si>
  <si>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</si>
  <si>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</si>
  <si>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</si>
  <si>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</si>
  <si>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</si>
  <si>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</si>
  <si>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</si>
  <si>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</si>
  <si>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</si>
  <si>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</si>
  <si>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82500 MTPA Weak Nitric Acid</t>
  </si>
  <si>
    <t>100000 MTPA Ammonium Nitrate Plant</t>
  </si>
  <si>
    <t>Salary and Wages</t>
  </si>
  <si>
    <t>Increase in the Margin Money</t>
  </si>
  <si>
    <t>2x125</t>
  </si>
  <si>
    <t>Sewage Treatment Plant</t>
  </si>
  <si>
    <t>KLD</t>
  </si>
  <si>
    <t>Effluent Treatment plant with ZLD facility</t>
  </si>
  <si>
    <t>M3/day</t>
  </si>
  <si>
    <t xml:space="preserve">WNA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</si>
</sst>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s>
  <fonts count="63"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
      <b/>
      <sz val="11"/>
      <color theme="1"/>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59">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46" fillId="18" borderId="0" xfId="0" applyNumberFormat="1" applyFont="1" applyFill="1"/>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3" fontId="48" fillId="0" borderId="0" xfId="0" applyNumberFormat="1" applyFont="1" applyAlignment="1">
      <alignment horizontal="center"/>
    </xf>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71" fontId="5" fillId="0" borderId="2" xfId="0" applyNumberFormat="1" applyFont="1" applyBorder="1" applyAlignment="1">
      <alignment horizontal="center"/>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1" fontId="2" fillId="14" borderId="12" xfId="0" applyNumberFormat="1" applyFont="1" applyFill="1" applyBorder="1" applyAlignment="1">
      <alignment horizontal="center"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5"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5" fillId="13" borderId="2" xfId="0" applyFont="1" applyFill="1" applyBorder="1"/>
    <xf numFmtId="0" fontId="2" fillId="0" borderId="2" xfId="0" applyFont="1" applyBorder="1" applyAlignment="1">
      <alignment vertical="center"/>
    </xf>
    <xf numFmtId="0" fontId="2" fillId="0" borderId="29" xfId="0" applyFont="1" applyBorder="1" applyAlignment="1">
      <alignment horizontal="center" vertical="center"/>
    </xf>
    <xf numFmtId="3" fontId="3" fillId="0" borderId="2" xfId="0" applyNumberFormat="1" applyFont="1" applyBorder="1"/>
    <xf numFmtId="0" fontId="2" fillId="0" borderId="29" xfId="0" applyFont="1" applyBorder="1" applyAlignment="1">
      <alignment vertical="center"/>
    </xf>
    <xf numFmtId="0" fontId="2" fillId="0" borderId="29" xfId="0" applyFont="1" applyBorder="1" applyAlignment="1">
      <alignment horizontal="left" vertical="center"/>
    </xf>
    <xf numFmtId="1" fontId="8" fillId="0" borderId="0" xfId="0" applyNumberFormat="1" applyFont="1" applyAlignment="1">
      <alignment horizontal="center"/>
    </xf>
    <xf numFmtId="0" fontId="61" fillId="18" borderId="0" xfId="0" applyFont="1" applyFill="1"/>
    <xf numFmtId="0" fontId="62" fillId="13" borderId="0" xfId="0" applyFont="1" applyFill="1"/>
    <xf numFmtId="2" fontId="62" fillId="13" borderId="0" xfId="0" applyNumberFormat="1" applyFont="1" applyFill="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45" fillId="15" borderId="1" xfId="0" applyFont="1" applyFill="1" applyBorder="1" applyAlignment="1">
      <alignment horizontal="center"/>
    </xf>
    <xf numFmtId="0" fontId="45" fillId="15" borderId="2" xfId="0" applyFont="1" applyFill="1" applyBorder="1" applyAlignment="1">
      <alignment horizontal="center"/>
    </xf>
    <xf numFmtId="0" fontId="8"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45" fillId="15" borderId="0" xfId="0" applyFont="1" applyFill="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0" fontId="58" fillId="14" borderId="2" xfId="0" applyFont="1" applyFill="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a:t>
          </a:r>
          <a:r>
            <a:rPr lang="en-IN" sz="1000" i="1" baseline="0">
              <a:solidFill>
                <a:schemeClr val="dk1"/>
              </a:solidFill>
              <a:effectLst/>
              <a:latin typeface="Arial" panose="020B0604020202020204" pitchFamily="34" charset="0"/>
              <a:ea typeface="+mn-ea"/>
              <a:cs typeface="Arial" panose="020B0604020202020204" pitchFamily="34" charset="0"/>
            </a:rPr>
            <a:t> Salaries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topLeftCell="G1" workbookViewId="0">
      <selection activeCell="O8" sqref="O8"/>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90" t="s">
        <v>134</v>
      </c>
      <c r="C2" s="690"/>
      <c r="D2" s="690"/>
      <c r="E2" s="690"/>
      <c r="F2" s="690"/>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90" t="s">
        <v>189</v>
      </c>
      <c r="C4" s="690"/>
      <c r="D4" s="690"/>
      <c r="E4" s="690"/>
      <c r="F4" s="690"/>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90" t="s">
        <v>182</v>
      </c>
      <c r="C7" s="690"/>
      <c r="D7" s="690"/>
      <c r="E7" s="690"/>
      <c r="F7" s="690"/>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88" t="s">
        <v>167</v>
      </c>
      <c r="C10" s="688"/>
      <c r="D10" s="688"/>
      <c r="E10" s="688"/>
      <c r="F10" s="688"/>
      <c r="G10">
        <f>300*330</f>
        <v>99000</v>
      </c>
      <c r="H10" s="81" t="s">
        <v>200</v>
      </c>
      <c r="I10" s="81" t="s">
        <v>201</v>
      </c>
      <c r="J10" s="81" t="s">
        <v>202</v>
      </c>
      <c r="K10" s="89"/>
    </row>
    <row r="11" spans="2:15" ht="57" customHeight="1" x14ac:dyDescent="0.25">
      <c r="B11" s="84" t="s">
        <v>165</v>
      </c>
      <c r="C11" s="686" t="s">
        <v>164</v>
      </c>
      <c r="D11" s="686"/>
      <c r="E11" s="686"/>
      <c r="F11" s="686"/>
      <c r="H11" s="689" t="s">
        <v>163</v>
      </c>
      <c r="I11" s="689"/>
      <c r="J11" s="689"/>
    </row>
    <row r="12" spans="2:15" ht="31.5" customHeight="1" x14ac:dyDescent="0.25">
      <c r="B12" s="84" t="s">
        <v>162</v>
      </c>
      <c r="C12" s="686" t="s">
        <v>161</v>
      </c>
      <c r="D12" s="686"/>
      <c r="E12" s="686"/>
      <c r="F12" s="686"/>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87" t="s">
        <v>154</v>
      </c>
      <c r="C15" s="687"/>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30">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1" t="s">
        <v>269</v>
      </c>
      <c r="D27" s="231" t="s">
        <v>272</v>
      </c>
      <c r="F27">
        <f>0.28/1000</f>
        <v>2.8000000000000003E-4</v>
      </c>
    </row>
    <row r="28" spans="1:67" ht="16.5" thickBot="1" x14ac:dyDescent="0.3">
      <c r="A28" s="231" t="s">
        <v>270</v>
      </c>
      <c r="D28" s="231" t="s">
        <v>273</v>
      </c>
    </row>
    <row r="29" spans="1:67" ht="15.75" thickBot="1" x14ac:dyDescent="0.3">
      <c r="A29" s="232" t="s">
        <v>213</v>
      </c>
      <c r="B29" s="233">
        <v>28412</v>
      </c>
      <c r="D29" s="236" t="s">
        <v>213</v>
      </c>
      <c r="E29" s="237">
        <v>25699</v>
      </c>
    </row>
    <row r="30" spans="1:67" ht="15.75" thickBot="1" x14ac:dyDescent="0.3">
      <c r="A30" s="234" t="s">
        <v>214</v>
      </c>
      <c r="B30" s="235">
        <v>29925</v>
      </c>
      <c r="D30" s="238" t="s">
        <v>214</v>
      </c>
      <c r="E30" s="239">
        <v>26033</v>
      </c>
    </row>
    <row r="31" spans="1:67" ht="15.75" thickBot="1" x14ac:dyDescent="0.3">
      <c r="A31" s="234" t="s">
        <v>215</v>
      </c>
      <c r="B31" s="235">
        <v>29764</v>
      </c>
      <c r="D31" s="238" t="s">
        <v>215</v>
      </c>
      <c r="E31" s="239">
        <v>28157</v>
      </c>
    </row>
    <row r="32" spans="1:67" ht="15.75" thickBot="1" x14ac:dyDescent="0.3">
      <c r="A32" s="234" t="s">
        <v>216</v>
      </c>
      <c r="B32" s="235">
        <v>28868</v>
      </c>
      <c r="D32" s="238" t="s">
        <v>216</v>
      </c>
      <c r="E32" s="239">
        <v>26258</v>
      </c>
    </row>
    <row r="33" spans="1:5" ht="15.75" thickBot="1" x14ac:dyDescent="0.3">
      <c r="A33" s="234" t="s">
        <v>271</v>
      </c>
      <c r="B33" s="235">
        <v>49740</v>
      </c>
      <c r="D33" s="238" t="s">
        <v>271</v>
      </c>
      <c r="E33" s="239">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5" t="s">
        <v>287</v>
      </c>
      <c r="B2" s="246"/>
      <c r="C2" s="247"/>
      <c r="D2" s="247"/>
      <c r="E2" s="247"/>
      <c r="F2" s="247"/>
      <c r="G2" s="247"/>
      <c r="H2" s="247"/>
      <c r="I2" s="247"/>
      <c r="J2" s="247"/>
      <c r="K2" s="247"/>
      <c r="L2" s="247"/>
      <c r="M2" s="247"/>
      <c r="N2" s="247"/>
      <c r="O2" s="247"/>
      <c r="P2" s="247"/>
      <c r="Q2" s="247"/>
      <c r="R2" s="247"/>
    </row>
    <row r="3" spans="1:19" x14ac:dyDescent="0.25">
      <c r="A3" s="248"/>
      <c r="B3" s="249"/>
      <c r="C3" s="247"/>
      <c r="D3" s="247"/>
      <c r="E3" s="247"/>
      <c r="F3" s="247"/>
      <c r="G3" s="247"/>
      <c r="H3" s="247"/>
      <c r="I3" s="247"/>
      <c r="J3" s="247"/>
      <c r="K3" s="247"/>
      <c r="L3" s="247"/>
      <c r="M3" s="247"/>
      <c r="N3" s="247"/>
      <c r="O3" s="247"/>
      <c r="P3" s="247"/>
      <c r="Q3" s="247"/>
      <c r="R3" s="247"/>
    </row>
    <row r="4" spans="1:19" x14ac:dyDescent="0.25">
      <c r="A4" s="247"/>
      <c r="B4" s="250" t="s">
        <v>288</v>
      </c>
      <c r="C4" s="251">
        <v>1</v>
      </c>
      <c r="D4" s="247"/>
      <c r="E4" s="247"/>
      <c r="F4" s="247"/>
      <c r="G4" s="247"/>
      <c r="H4" s="247">
        <f>31*42</f>
        <v>1302</v>
      </c>
      <c r="I4" s="247"/>
      <c r="J4" s="247"/>
      <c r="K4" s="247"/>
      <c r="L4" s="247"/>
      <c r="M4" s="247"/>
      <c r="N4" s="247"/>
      <c r="O4" s="247"/>
      <c r="P4" s="247"/>
      <c r="Q4" s="247"/>
      <c r="R4" s="247"/>
    </row>
    <row r="5" spans="1:19" x14ac:dyDescent="0.25">
      <c r="A5" s="247"/>
      <c r="B5" s="252" t="s">
        <v>289</v>
      </c>
      <c r="C5" s="253">
        <v>8</v>
      </c>
      <c r="D5" s="247"/>
      <c r="E5" s="247"/>
      <c r="F5" s="247"/>
      <c r="G5" s="247"/>
      <c r="H5" s="247"/>
      <c r="I5" s="247"/>
      <c r="J5" s="247"/>
      <c r="K5" s="247"/>
      <c r="L5" s="247"/>
      <c r="M5" s="247"/>
      <c r="N5" s="247"/>
      <c r="O5" s="247"/>
      <c r="P5" s="247"/>
      <c r="Q5" s="247"/>
      <c r="R5" s="247"/>
    </row>
    <row r="6" spans="1:19" x14ac:dyDescent="0.25">
      <c r="A6" s="247"/>
      <c r="B6" s="252" t="s">
        <v>280</v>
      </c>
      <c r="C6" s="254">
        <v>0.11</v>
      </c>
      <c r="D6" s="247"/>
      <c r="E6" s="247"/>
      <c r="F6" s="247"/>
      <c r="G6" s="247"/>
      <c r="H6" s="247"/>
      <c r="I6" s="247"/>
      <c r="J6" s="247"/>
      <c r="K6" s="247"/>
      <c r="L6" s="247"/>
      <c r="M6" s="247"/>
      <c r="N6" s="247"/>
      <c r="O6" s="247"/>
      <c r="P6" s="247"/>
      <c r="Q6" s="247"/>
      <c r="R6" s="247"/>
    </row>
    <row r="7" spans="1:19" x14ac:dyDescent="0.25">
      <c r="A7" s="247"/>
      <c r="B7" s="252" t="s">
        <v>290</v>
      </c>
      <c r="C7" s="255" t="e">
        <f>Norms!#REF!</f>
        <v>#REF!</v>
      </c>
      <c r="D7" s="256"/>
      <c r="E7" s="247"/>
      <c r="F7" s="247"/>
      <c r="G7" s="247"/>
      <c r="H7" s="247"/>
      <c r="I7" s="247"/>
      <c r="J7" s="247"/>
      <c r="K7" s="247"/>
      <c r="L7" s="247"/>
      <c r="M7" s="247"/>
      <c r="N7" s="247"/>
      <c r="O7" s="247"/>
      <c r="P7" s="247"/>
      <c r="Q7" s="247"/>
      <c r="R7" s="247"/>
    </row>
    <row r="8" spans="1:19" x14ac:dyDescent="0.25">
      <c r="A8" s="247"/>
      <c r="B8" s="252" t="s">
        <v>291</v>
      </c>
      <c r="C8" s="255" t="e">
        <f>C7/C5</f>
        <v>#REF!</v>
      </c>
      <c r="D8" s="247"/>
      <c r="E8" s="247"/>
      <c r="F8" s="247"/>
      <c r="G8" s="247"/>
      <c r="H8" s="247"/>
      <c r="I8" s="247"/>
      <c r="J8" s="247"/>
      <c r="K8" s="247"/>
      <c r="L8" s="247"/>
      <c r="M8" s="247"/>
      <c r="N8" s="247"/>
      <c r="O8" s="247"/>
      <c r="P8" s="247"/>
      <c r="Q8" s="247"/>
      <c r="R8" s="247"/>
    </row>
    <row r="9" spans="1:19" x14ac:dyDescent="0.25">
      <c r="A9" s="247"/>
      <c r="B9" s="247"/>
      <c r="C9" s="247"/>
      <c r="D9" s="247"/>
      <c r="E9" s="247"/>
      <c r="F9" s="247"/>
      <c r="G9" s="247"/>
      <c r="H9" s="247"/>
      <c r="I9" s="247"/>
      <c r="J9" s="247"/>
      <c r="K9" s="247"/>
      <c r="L9" s="247"/>
      <c r="M9" s="247"/>
      <c r="N9" s="247"/>
      <c r="O9" s="247"/>
      <c r="P9" s="247"/>
      <c r="Q9" s="247"/>
      <c r="R9" s="247"/>
    </row>
    <row r="10" spans="1:19" x14ac:dyDescent="0.25">
      <c r="A10" s="257"/>
      <c r="B10" s="257"/>
      <c r="C10" s="258" t="s">
        <v>292</v>
      </c>
      <c r="D10" s="259">
        <v>-1</v>
      </c>
      <c r="E10" s="259">
        <v>1</v>
      </c>
      <c r="F10" s="259">
        <v>2</v>
      </c>
      <c r="G10" s="259">
        <v>3</v>
      </c>
      <c r="H10" s="259">
        <v>4</v>
      </c>
      <c r="I10" s="259">
        <v>5</v>
      </c>
      <c r="J10" s="259">
        <v>6</v>
      </c>
      <c r="K10" s="259">
        <v>7</v>
      </c>
      <c r="L10" s="259">
        <v>8</v>
      </c>
      <c r="M10" s="259">
        <v>9</v>
      </c>
      <c r="N10" s="259">
        <v>10</v>
      </c>
      <c r="O10" s="259">
        <v>11</v>
      </c>
      <c r="P10" s="259">
        <v>12</v>
      </c>
      <c r="Q10" s="259">
        <v>13</v>
      </c>
      <c r="R10" s="259">
        <v>14</v>
      </c>
      <c r="S10" s="259">
        <v>15</v>
      </c>
    </row>
    <row r="11" spans="1:19" x14ac:dyDescent="0.25">
      <c r="A11" s="252"/>
      <c r="B11" s="252" t="s">
        <v>293</v>
      </c>
      <c r="C11" s="251"/>
      <c r="D11" s="251"/>
      <c r="E11" s="253" t="e">
        <f>IF(E10&lt;=$C$5,$C$8,0)</f>
        <v>#REF!</v>
      </c>
      <c r="F11" s="253" t="e">
        <f t="shared" ref="F11:S11" si="0">IF(F10&lt;=$C$5,$C$8,0)</f>
        <v>#REF!</v>
      </c>
      <c r="G11" s="253" t="e">
        <f t="shared" si="0"/>
        <v>#REF!</v>
      </c>
      <c r="H11" s="253" t="e">
        <f t="shared" si="0"/>
        <v>#REF!</v>
      </c>
      <c r="I11" s="253" t="e">
        <f t="shared" si="0"/>
        <v>#REF!</v>
      </c>
      <c r="J11" s="253" t="e">
        <f t="shared" si="0"/>
        <v>#REF!</v>
      </c>
      <c r="K11" s="253" t="e">
        <f t="shared" si="0"/>
        <v>#REF!</v>
      </c>
      <c r="L11" s="253" t="e">
        <f t="shared" si="0"/>
        <v>#REF!</v>
      </c>
      <c r="M11" s="253">
        <f t="shared" si="0"/>
        <v>0</v>
      </c>
      <c r="N11" s="253">
        <f t="shared" si="0"/>
        <v>0</v>
      </c>
      <c r="O11" s="253">
        <f t="shared" si="0"/>
        <v>0</v>
      </c>
      <c r="P11" s="253">
        <f t="shared" si="0"/>
        <v>0</v>
      </c>
      <c r="Q11" s="253">
        <f t="shared" si="0"/>
        <v>0</v>
      </c>
      <c r="R11" s="253">
        <f t="shared" si="0"/>
        <v>0</v>
      </c>
      <c r="S11" s="253">
        <f t="shared" si="0"/>
        <v>0</v>
      </c>
    </row>
    <row r="12" spans="1:19" x14ac:dyDescent="0.25">
      <c r="A12" s="252"/>
      <c r="B12" s="252" t="s">
        <v>294</v>
      </c>
      <c r="C12" s="255">
        <v>0</v>
      </c>
      <c r="D12" s="255" t="e">
        <f>Norms!#REF!</f>
        <v>#REF!</v>
      </c>
      <c r="E12" s="255" t="e">
        <f>C7</f>
        <v>#REF!</v>
      </c>
      <c r="F12" s="255" t="e">
        <f>E12-E11</f>
        <v>#REF!</v>
      </c>
      <c r="G12" s="255" t="e">
        <f t="shared" ref="G12:S12" si="1">F12-F11</f>
        <v>#REF!</v>
      </c>
      <c r="H12" s="255" t="e">
        <f t="shared" si="1"/>
        <v>#REF!</v>
      </c>
      <c r="I12" s="255" t="e">
        <f>H12-H11</f>
        <v>#REF!</v>
      </c>
      <c r="J12" s="255" t="e">
        <f t="shared" si="1"/>
        <v>#REF!</v>
      </c>
      <c r="K12" s="255" t="e">
        <f>J12-J11</f>
        <v>#REF!</v>
      </c>
      <c r="L12" s="255" t="e">
        <f t="shared" si="1"/>
        <v>#REF!</v>
      </c>
      <c r="M12" s="255" t="e">
        <f t="shared" si="1"/>
        <v>#REF!</v>
      </c>
      <c r="N12" s="255" t="e">
        <f t="shared" si="1"/>
        <v>#REF!</v>
      </c>
      <c r="O12" s="255" t="e">
        <f t="shared" si="1"/>
        <v>#REF!</v>
      </c>
      <c r="P12" s="255" t="e">
        <f t="shared" si="1"/>
        <v>#REF!</v>
      </c>
      <c r="Q12" s="255" t="e">
        <f t="shared" si="1"/>
        <v>#REF!</v>
      </c>
      <c r="R12" s="255" t="e">
        <f t="shared" si="1"/>
        <v>#REF!</v>
      </c>
      <c r="S12" s="255" t="e">
        <f t="shared" si="1"/>
        <v>#REF!</v>
      </c>
    </row>
    <row r="13" spans="1:19" x14ac:dyDescent="0.25">
      <c r="A13" s="252"/>
      <c r="B13" s="252" t="s">
        <v>280</v>
      </c>
      <c r="C13" s="253">
        <v>0</v>
      </c>
      <c r="D13" s="253" t="e">
        <f>D12*$C$6</f>
        <v>#REF!</v>
      </c>
      <c r="E13" s="253" t="e">
        <f t="shared" ref="E13:S13" si="2">E12*$C$6</f>
        <v>#REF!</v>
      </c>
      <c r="F13" s="253" t="e">
        <f t="shared" si="2"/>
        <v>#REF!</v>
      </c>
      <c r="G13" s="253" t="e">
        <f t="shared" si="2"/>
        <v>#REF!</v>
      </c>
      <c r="H13" s="253" t="e">
        <f t="shared" si="2"/>
        <v>#REF!</v>
      </c>
      <c r="I13" s="253" t="e">
        <f t="shared" si="2"/>
        <v>#REF!</v>
      </c>
      <c r="J13" s="253" t="e">
        <f t="shared" si="2"/>
        <v>#REF!</v>
      </c>
      <c r="K13" s="253" t="e">
        <f t="shared" si="2"/>
        <v>#REF!</v>
      </c>
      <c r="L13" s="253" t="e">
        <f t="shared" si="2"/>
        <v>#REF!</v>
      </c>
      <c r="M13" s="253" t="e">
        <f t="shared" si="2"/>
        <v>#REF!</v>
      </c>
      <c r="N13" s="253" t="e">
        <f t="shared" si="2"/>
        <v>#REF!</v>
      </c>
      <c r="O13" s="253" t="e">
        <f t="shared" si="2"/>
        <v>#REF!</v>
      </c>
      <c r="P13" s="253" t="e">
        <f t="shared" si="2"/>
        <v>#REF!</v>
      </c>
      <c r="Q13" s="253" t="e">
        <f t="shared" si="2"/>
        <v>#REF!</v>
      </c>
      <c r="R13" s="253" t="e">
        <f t="shared" si="2"/>
        <v>#REF!</v>
      </c>
      <c r="S13" s="253" t="e">
        <f t="shared" si="2"/>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10" t="s">
        <v>230</v>
      </c>
      <c r="B1" s="711"/>
      <c r="C1" s="711"/>
      <c r="D1" s="711"/>
      <c r="E1" s="711"/>
      <c r="F1" s="711"/>
      <c r="G1" s="711"/>
      <c r="H1" s="711"/>
      <c r="I1" s="711"/>
      <c r="J1" s="711"/>
      <c r="K1" s="712"/>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7">
        <f>'Cashflow '!O3</f>
        <v>0.95</v>
      </c>
    </row>
    <row r="3" spans="1:12" ht="18.75" customHeight="1" x14ac:dyDescent="0.2">
      <c r="A3" s="728" t="s">
        <v>60</v>
      </c>
      <c r="B3" s="729"/>
      <c r="C3" s="729"/>
      <c r="D3" s="729"/>
      <c r="E3" s="729"/>
      <c r="F3" s="729"/>
      <c r="G3" s="729"/>
      <c r="H3" s="729"/>
      <c r="I3" s="729"/>
      <c r="J3" s="729"/>
      <c r="K3" s="730"/>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620.29890284128692</v>
      </c>
      <c r="C5" s="59">
        <f>'Cashflow '!G12</f>
        <v>708.9130318186136</v>
      </c>
      <c r="D5" s="59">
        <f>'Cashflow '!H12</f>
        <v>841.83422528460369</v>
      </c>
      <c r="E5" s="59">
        <f>'Cashflow '!I12</f>
        <v>841.83422528460369</v>
      </c>
      <c r="F5" s="59">
        <f>'Cashflow '!J12</f>
        <v>840.24811882662345</v>
      </c>
      <c r="G5" s="59">
        <f>'Cashflow '!K12</f>
        <v>823.1215688266235</v>
      </c>
      <c r="H5" s="59">
        <f>'Cashflow '!L12</f>
        <v>823.1215688266235</v>
      </c>
      <c r="I5" s="59">
        <f>'Cashflow '!M12</f>
        <v>823.1215688266235</v>
      </c>
      <c r="J5" s="59">
        <f>'Cashflow '!N12</f>
        <v>823.1215688266235</v>
      </c>
      <c r="K5" s="60">
        <f>'Cashflow '!O12</f>
        <v>823.1215688266235</v>
      </c>
      <c r="L5" s="123"/>
    </row>
    <row r="6" spans="1:12" s="116" customFormat="1" ht="21" customHeight="1" x14ac:dyDescent="0.2">
      <c r="A6" s="38" t="s">
        <v>126</v>
      </c>
      <c r="B6" s="59">
        <f t="shared" ref="B6:K6" si="0">SUM(B7:B8)</f>
        <v>239.25656937281246</v>
      </c>
      <c r="C6" s="59">
        <f t="shared" si="0"/>
        <v>216.88897179825003</v>
      </c>
      <c r="D6" s="59">
        <f t="shared" si="0"/>
        <v>302.94852366979688</v>
      </c>
      <c r="E6" s="59">
        <f t="shared" si="0"/>
        <v>302.94852366979688</v>
      </c>
      <c r="F6" s="59">
        <f t="shared" si="0"/>
        <v>302.94852366979688</v>
      </c>
      <c r="G6" s="59">
        <f t="shared" si="0"/>
        <v>302.94852366979688</v>
      </c>
      <c r="H6" s="59">
        <f t="shared" si="0"/>
        <v>302.94852366979688</v>
      </c>
      <c r="I6" s="59">
        <f t="shared" si="0"/>
        <v>302.94852366979688</v>
      </c>
      <c r="J6" s="59">
        <f t="shared" si="0"/>
        <v>302.94852366979688</v>
      </c>
      <c r="K6" s="60">
        <f t="shared" si="0"/>
        <v>302.94852366979688</v>
      </c>
      <c r="L6" s="123"/>
    </row>
    <row r="7" spans="1:12" s="116" customFormat="1" ht="21" customHeight="1" x14ac:dyDescent="0.2">
      <c r="A7" s="20" t="s">
        <v>279</v>
      </c>
      <c r="B7" s="59">
        <f>'Cashflow '!F18</f>
        <v>221.50989262499996</v>
      </c>
      <c r="C7" s="59">
        <f>'Cashflow '!G18</f>
        <v>202.52333040000002</v>
      </c>
      <c r="D7" s="59">
        <f>'Cashflow '!H18</f>
        <v>285.589540134375</v>
      </c>
      <c r="E7" s="59">
        <f>'Cashflow '!I18</f>
        <v>285.589540134375</v>
      </c>
      <c r="F7" s="59">
        <f>'Cashflow '!J18</f>
        <v>285.589540134375</v>
      </c>
      <c r="G7" s="59">
        <f>'Cashflow '!K18</f>
        <v>285.589540134375</v>
      </c>
      <c r="H7" s="59">
        <f>'Cashflow '!L18</f>
        <v>285.589540134375</v>
      </c>
      <c r="I7" s="59">
        <f>'Cashflow '!M18</f>
        <v>285.589540134375</v>
      </c>
      <c r="J7" s="59">
        <f>'Cashflow '!N18</f>
        <v>285.589540134375</v>
      </c>
      <c r="K7" s="60">
        <f>'Cashflow '!O18</f>
        <v>285.589540134375</v>
      </c>
      <c r="L7" s="123"/>
    </row>
    <row r="8" spans="1:12" s="116" customFormat="1" ht="21" customHeight="1" x14ac:dyDescent="0.2">
      <c r="A8" s="20" t="s">
        <v>278</v>
      </c>
      <c r="B8" s="59">
        <f>'Cashflow '!F19</f>
        <v>17.746676747812501</v>
      </c>
      <c r="C8" s="59">
        <f>'Cashflow '!G19</f>
        <v>14.36564139825</v>
      </c>
      <c r="D8" s="59">
        <f>'Cashflow '!H19</f>
        <v>17.358983535421878</v>
      </c>
      <c r="E8" s="59">
        <f>'Cashflow '!I19</f>
        <v>17.358983535421878</v>
      </c>
      <c r="F8" s="59">
        <f>'Cashflow '!J19</f>
        <v>17.358983535421878</v>
      </c>
      <c r="G8" s="59">
        <f>'Cashflow '!K19</f>
        <v>17.358983535421878</v>
      </c>
      <c r="H8" s="59">
        <f>'Cashflow '!L19</f>
        <v>17.358983535421878</v>
      </c>
      <c r="I8" s="59">
        <f>'Cashflow '!M19</f>
        <v>17.358983535421878</v>
      </c>
      <c r="J8" s="59">
        <f>'Cashflow '!N19</f>
        <v>17.358983535421878</v>
      </c>
      <c r="K8" s="60">
        <f>'Cashflow '!O19</f>
        <v>17.358983535421878</v>
      </c>
      <c r="L8" s="123"/>
    </row>
    <row r="9" spans="1:12" ht="21" customHeight="1" x14ac:dyDescent="0.2">
      <c r="A9" s="38" t="s">
        <v>127</v>
      </c>
      <c r="B9" s="59">
        <f t="shared" ref="B9:K9" si="1">B5-B6</f>
        <v>381.04233346847445</v>
      </c>
      <c r="C9" s="59">
        <f t="shared" si="1"/>
        <v>492.02406002036355</v>
      </c>
      <c r="D9" s="59">
        <f t="shared" si="1"/>
        <v>538.88570161480675</v>
      </c>
      <c r="E9" s="59">
        <f t="shared" si="1"/>
        <v>538.88570161480675</v>
      </c>
      <c r="F9" s="59">
        <f t="shared" si="1"/>
        <v>537.29959515682663</v>
      </c>
      <c r="G9" s="59">
        <f t="shared" si="1"/>
        <v>520.17304515682667</v>
      </c>
      <c r="H9" s="59">
        <f t="shared" si="1"/>
        <v>520.17304515682667</v>
      </c>
      <c r="I9" s="59">
        <f t="shared" si="1"/>
        <v>520.17304515682667</v>
      </c>
      <c r="J9" s="59">
        <f t="shared" si="1"/>
        <v>520.17304515682667</v>
      </c>
      <c r="K9" s="60">
        <f t="shared" si="1"/>
        <v>520.17304515682667</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25" t="s">
        <v>243</v>
      </c>
      <c r="B16" s="726"/>
      <c r="C16" s="726"/>
      <c r="D16" s="726"/>
      <c r="E16" s="726"/>
      <c r="F16" s="726"/>
      <c r="G16" s="229" t="s">
        <v>267</v>
      </c>
      <c r="H16" s="125"/>
      <c r="I16" s="125"/>
      <c r="J16" s="125"/>
      <c r="K16" s="125"/>
    </row>
    <row r="17" spans="1:11" ht="21" customHeight="1" x14ac:dyDescent="0.2">
      <c r="A17" s="242" t="s">
        <v>59</v>
      </c>
      <c r="B17" s="243">
        <f>'Cashflow '!I3</f>
        <v>0.95</v>
      </c>
      <c r="C17" s="243"/>
      <c r="D17" s="243"/>
      <c r="E17" s="243"/>
      <c r="F17" s="244"/>
      <c r="H17" s="125"/>
      <c r="I17" s="125"/>
      <c r="J17" s="125"/>
      <c r="K17" s="125"/>
    </row>
    <row r="18" spans="1:11" ht="21" customHeight="1" x14ac:dyDescent="0.2">
      <c r="A18" s="728" t="s">
        <v>60</v>
      </c>
      <c r="B18" s="729"/>
      <c r="C18" s="729"/>
      <c r="D18" s="729"/>
      <c r="E18" s="729"/>
      <c r="F18" s="730"/>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841.83422528460369</v>
      </c>
      <c r="C20" s="59">
        <f>B20-(B20*0.05)</f>
        <v>799.74251402037351</v>
      </c>
      <c r="D20" s="59">
        <f>E5</f>
        <v>841.83422528460369</v>
      </c>
      <c r="E20" s="59">
        <f>B20-(B20*0.05)</f>
        <v>799.74251402037351</v>
      </c>
      <c r="F20" s="60">
        <f>E5</f>
        <v>841.83422528460369</v>
      </c>
      <c r="H20" s="125"/>
      <c r="I20" s="125"/>
      <c r="J20" s="125"/>
      <c r="K20" s="125"/>
    </row>
    <row r="21" spans="1:11" ht="21" customHeight="1" x14ac:dyDescent="0.2">
      <c r="A21" s="38" t="s">
        <v>126</v>
      </c>
      <c r="B21" s="59">
        <f>SUM(B22:B23)</f>
        <v>302.94852366979688</v>
      </c>
      <c r="C21" s="59">
        <f>SUM(C22:C23)</f>
        <v>302.94852366979688</v>
      </c>
      <c r="D21" s="59">
        <f>SUM(D22:D23)</f>
        <v>331.50747768323436</v>
      </c>
      <c r="E21" s="59">
        <f>SUM(E22:E23)</f>
        <v>331.50747768323436</v>
      </c>
      <c r="F21" s="60">
        <f>B21+(B21*0.05)</f>
        <v>318.09594985328675</v>
      </c>
      <c r="H21" s="125"/>
      <c r="I21" s="125"/>
      <c r="J21" s="125"/>
      <c r="K21" s="125"/>
    </row>
    <row r="22" spans="1:11" ht="21" customHeight="1" x14ac:dyDescent="0.2">
      <c r="A22" s="20" t="s">
        <v>279</v>
      </c>
      <c r="B22" s="59">
        <f t="shared" ref="B22:B29" si="6">E7</f>
        <v>285.589540134375</v>
      </c>
      <c r="C22" s="59">
        <f>E7</f>
        <v>285.589540134375</v>
      </c>
      <c r="D22" s="59">
        <f>B22+(B22*0.1)</f>
        <v>314.14849414781247</v>
      </c>
      <c r="E22" s="59">
        <f>B22+(B22*0.1)</f>
        <v>314.14849414781247</v>
      </c>
      <c r="F22" s="60">
        <f>E7</f>
        <v>285.589540134375</v>
      </c>
      <c r="H22" s="125"/>
      <c r="I22" s="125"/>
      <c r="J22" s="125"/>
      <c r="K22" s="125"/>
    </row>
    <row r="23" spans="1:11" ht="21" customHeight="1" x14ac:dyDescent="0.2">
      <c r="A23" s="20" t="s">
        <v>278</v>
      </c>
      <c r="B23" s="59">
        <f t="shared" si="6"/>
        <v>17.358983535421878</v>
      </c>
      <c r="C23" s="59">
        <f>E8</f>
        <v>17.358983535421878</v>
      </c>
      <c r="D23" s="59">
        <f>E8</f>
        <v>17.358983535421878</v>
      </c>
      <c r="E23" s="59">
        <f>E8</f>
        <v>17.358983535421878</v>
      </c>
      <c r="F23" s="60">
        <f>E8</f>
        <v>17.358983535421878</v>
      </c>
      <c r="H23" s="125"/>
      <c r="I23" s="125"/>
      <c r="J23" s="125"/>
      <c r="K23" s="125"/>
    </row>
    <row r="24" spans="1:11" ht="21" customHeight="1" x14ac:dyDescent="0.2">
      <c r="A24" s="38" t="s">
        <v>127</v>
      </c>
      <c r="B24" s="59">
        <f>B20-B21</f>
        <v>538.88570161480675</v>
      </c>
      <c r="C24" s="59">
        <f>C20-C21</f>
        <v>496.79399035057662</v>
      </c>
      <c r="D24" s="59">
        <f>D20-D21</f>
        <v>510.32674760136933</v>
      </c>
      <c r="E24" s="59">
        <f>E20-E21</f>
        <v>468.23503633713915</v>
      </c>
      <c r="F24" s="60">
        <f>F20-F21</f>
        <v>523.73827543131688</v>
      </c>
      <c r="H24" s="125"/>
      <c r="I24" s="125"/>
      <c r="J24" s="125"/>
      <c r="K24" s="125"/>
    </row>
    <row r="25" spans="1:11" ht="21" customHeight="1" x14ac:dyDescent="0.2">
      <c r="A25" s="38" t="s">
        <v>129</v>
      </c>
      <c r="B25" s="59" t="e">
        <f t="shared" si="6"/>
        <v>#REF!</v>
      </c>
      <c r="C25" s="59" t="e">
        <f>E10</f>
        <v>#REF!</v>
      </c>
      <c r="D25" s="59">
        <f>'Cashflow '!$E$8/10</f>
        <v>60.686034956250012</v>
      </c>
      <c r="E25" s="59">
        <f>'Cashflow '!$E$8/10</f>
        <v>60.686034956250012</v>
      </c>
      <c r="F25" s="60">
        <f>'Cashflow '!$E$8/10</f>
        <v>60.686034956250012</v>
      </c>
      <c r="H25" s="125"/>
      <c r="I25" s="125"/>
      <c r="J25" s="125"/>
      <c r="K25" s="125"/>
    </row>
    <row r="26" spans="1:11" ht="21" customHeight="1" x14ac:dyDescent="0.2">
      <c r="A26" s="38" t="s">
        <v>130</v>
      </c>
      <c r="B26" s="59" t="e">
        <f>B24-B25</f>
        <v>#REF!</v>
      </c>
      <c r="C26" s="59" t="e">
        <f t="shared" ref="C26:F26" si="7">C24-C25</f>
        <v>#REF!</v>
      </c>
      <c r="D26" s="59">
        <f t="shared" si="7"/>
        <v>449.64071264511932</v>
      </c>
      <c r="E26" s="59">
        <f t="shared" si="7"/>
        <v>407.54900138088914</v>
      </c>
      <c r="F26" s="60">
        <f t="shared" si="7"/>
        <v>463.05224047506687</v>
      </c>
      <c r="H26" s="125"/>
      <c r="I26" s="125"/>
      <c r="J26" s="125"/>
      <c r="K26" s="125"/>
    </row>
    <row r="27" spans="1:11" ht="21" customHeight="1" x14ac:dyDescent="0.2">
      <c r="A27" s="38" t="s">
        <v>71</v>
      </c>
      <c r="B27" s="59" t="e">
        <f>B26*0.25</f>
        <v>#REF!</v>
      </c>
      <c r="C27" s="59" t="e">
        <f t="shared" ref="C27:F27" si="8">C26*0.25</f>
        <v>#REF!</v>
      </c>
      <c r="D27" s="59">
        <f t="shared" si="8"/>
        <v>112.41017816127983</v>
      </c>
      <c r="E27" s="59">
        <f t="shared" si="8"/>
        <v>101.88725034522228</v>
      </c>
      <c r="F27" s="60">
        <f t="shared" si="8"/>
        <v>115.76306011876672</v>
      </c>
      <c r="H27" s="125"/>
      <c r="I27" s="125"/>
      <c r="J27" s="125"/>
      <c r="K27" s="125"/>
    </row>
    <row r="28" spans="1:11" ht="21" customHeight="1" x14ac:dyDescent="0.2">
      <c r="A28" s="38" t="s">
        <v>72</v>
      </c>
      <c r="B28" s="59" t="e">
        <f>B26-B27</f>
        <v>#REF!</v>
      </c>
      <c r="C28" s="59" t="e">
        <f t="shared" ref="C28:F28" si="9">C26-C27</f>
        <v>#REF!</v>
      </c>
      <c r="D28" s="59">
        <f t="shared" si="9"/>
        <v>337.23053448383951</v>
      </c>
      <c r="E28" s="59">
        <f t="shared" si="9"/>
        <v>305.66175103566684</v>
      </c>
      <c r="F28" s="60">
        <f t="shared" si="9"/>
        <v>347.28918035630016</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40" t="s">
        <v>38</v>
      </c>
      <c r="B31" s="241" t="s">
        <v>115</v>
      </c>
      <c r="C31" s="241" t="s">
        <v>233</v>
      </c>
      <c r="D31" s="241"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200">
        <v>1</v>
      </c>
      <c r="B35" s="33" t="s">
        <v>282</v>
      </c>
      <c r="C35" s="159" t="e">
        <f>C30</f>
        <v>#REF!</v>
      </c>
      <c r="D35" s="161" t="e">
        <f>(C35-$C$33)/$C$33</f>
        <v>#REF!</v>
      </c>
      <c r="E35" s="128"/>
      <c r="F35" s="128"/>
      <c r="G35" s="128"/>
    </row>
    <row r="36" spans="1:7" ht="17.25" customHeight="1" x14ac:dyDescent="0.2">
      <c r="A36" s="200">
        <v>2</v>
      </c>
      <c r="B36" s="33" t="s">
        <v>283</v>
      </c>
      <c r="C36" s="159" t="e">
        <f>D30</f>
        <v>#REF!</v>
      </c>
      <c r="D36" s="161" t="e">
        <f t="shared" ref="D36:D38" si="10">(C36-$C$33)/$C$33</f>
        <v>#REF!</v>
      </c>
      <c r="E36" s="128"/>
      <c r="F36" s="128"/>
      <c r="G36" s="128"/>
    </row>
    <row r="37" spans="1:7" ht="17.25" customHeight="1" x14ac:dyDescent="0.2">
      <c r="A37" s="200">
        <v>3</v>
      </c>
      <c r="B37" s="33" t="s">
        <v>284</v>
      </c>
      <c r="C37" s="159" t="e">
        <f>E30</f>
        <v>#REF!</v>
      </c>
      <c r="D37" s="161" t="e">
        <f t="shared" si="10"/>
        <v>#REF!</v>
      </c>
      <c r="E37" s="128"/>
      <c r="F37" s="128"/>
      <c r="G37" s="128"/>
    </row>
    <row r="38" spans="1:7" ht="17.25" customHeight="1" x14ac:dyDescent="0.2">
      <c r="A38" s="201">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31" t="s">
        <v>229</v>
      </c>
      <c r="B1" s="732"/>
      <c r="C1" s="127"/>
      <c r="D1" s="127"/>
      <c r="E1" s="127"/>
      <c r="F1" s="127"/>
      <c r="G1" s="127"/>
      <c r="H1" s="127"/>
    </row>
    <row r="2" spans="1:8" ht="20.100000000000001" customHeight="1" x14ac:dyDescent="0.2">
      <c r="A2" s="733" t="s">
        <v>244</v>
      </c>
      <c r="B2" s="734"/>
    </row>
    <row r="3" spans="1:8" ht="20.100000000000001" customHeight="1" x14ac:dyDescent="0.2">
      <c r="A3" s="43" t="s">
        <v>73</v>
      </c>
      <c r="B3" s="44">
        <f>'Cashflow '!I12</f>
        <v>841.83422528460369</v>
      </c>
      <c r="C3" s="129"/>
    </row>
    <row r="4" spans="1:8" ht="20.100000000000001" customHeight="1" x14ac:dyDescent="0.2">
      <c r="A4" s="43" t="s">
        <v>74</v>
      </c>
      <c r="B4" s="47">
        <f>'Cashflow '!I18</f>
        <v>285.589540134375</v>
      </c>
      <c r="C4" s="131"/>
    </row>
    <row r="5" spans="1:8" ht="20.100000000000001" customHeight="1" x14ac:dyDescent="0.2">
      <c r="A5" s="43" t="s">
        <v>241</v>
      </c>
      <c r="B5" s="44">
        <f>+B3-B4</f>
        <v>556.24468515022863</v>
      </c>
      <c r="C5" s="132"/>
      <c r="D5" s="130"/>
    </row>
    <row r="6" spans="1:8" ht="20.100000000000001" customHeight="1" x14ac:dyDescent="0.2">
      <c r="A6" s="43" t="s">
        <v>77</v>
      </c>
      <c r="B6" s="45"/>
      <c r="C6" s="131"/>
      <c r="D6" s="130"/>
    </row>
    <row r="7" spans="1:8" ht="20.100000000000001" customHeight="1" x14ac:dyDescent="0.2">
      <c r="A7" s="46" t="s">
        <v>4</v>
      </c>
      <c r="B7" s="47">
        <f>'Cashflow '!I19</f>
        <v>17.358983535421878</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36" t="s">
        <v>242</v>
      </c>
      <c r="B12" s="737"/>
      <c r="C12" s="737"/>
      <c r="D12" s="737"/>
      <c r="E12" s="737"/>
      <c r="F12" s="737"/>
    </row>
    <row r="13" spans="1:8" ht="20.100000000000001" hidden="1" customHeight="1" x14ac:dyDescent="0.2">
      <c r="A13" s="738" t="s">
        <v>244</v>
      </c>
      <c r="B13" s="739"/>
      <c r="C13" s="739"/>
      <c r="D13" s="739"/>
      <c r="E13" s="739"/>
      <c r="F13" s="740"/>
    </row>
    <row r="14" spans="1:8" ht="20.100000000000001" hidden="1" customHeight="1" x14ac:dyDescent="0.2">
      <c r="A14" s="43"/>
      <c r="B14" s="198"/>
      <c r="C14" s="55">
        <v>1</v>
      </c>
      <c r="D14" s="55">
        <v>2</v>
      </c>
      <c r="E14" s="55">
        <v>3</v>
      </c>
      <c r="F14" s="56">
        <v>4</v>
      </c>
    </row>
    <row r="15" spans="1:8" ht="17.25" hidden="1" customHeight="1" x14ac:dyDescent="0.2">
      <c r="A15" s="43" t="s">
        <v>73</v>
      </c>
      <c r="B15" s="10">
        <f>B3</f>
        <v>841.83422528460369</v>
      </c>
      <c r="C15" s="10">
        <f>B15-B15*0.11</f>
        <v>749.23246050329726</v>
      </c>
      <c r="D15" s="10">
        <f>B15</f>
        <v>841.83422528460369</v>
      </c>
      <c r="E15" s="10">
        <f>B15-B15*0.05</f>
        <v>799.74251402037351</v>
      </c>
      <c r="F15" s="44">
        <f>B15</f>
        <v>841.83422528460369</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17.358983535421878</v>
      </c>
      <c r="C24" s="12">
        <f>B24</f>
        <v>17.358983535421878</v>
      </c>
      <c r="D24" s="12">
        <f t="shared" ref="D24:F25" si="1">C24</f>
        <v>17.358983535421878</v>
      </c>
      <c r="E24" s="12">
        <f t="shared" si="1"/>
        <v>17.358983535421878</v>
      </c>
      <c r="F24" s="47">
        <f t="shared" si="1"/>
        <v>17.358983535421878</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9" t="s">
        <v>38</v>
      </c>
      <c r="B29" s="735" t="s">
        <v>115</v>
      </c>
      <c r="C29" s="735"/>
    </row>
    <row r="30" spans="1:6" hidden="1" x14ac:dyDescent="0.2">
      <c r="A30" s="57"/>
      <c r="B30" s="32" t="s">
        <v>109</v>
      </c>
      <c r="C30" s="65" t="s">
        <v>110</v>
      </c>
    </row>
    <row r="31" spans="1:6" hidden="1" x14ac:dyDescent="0.2">
      <c r="A31" s="58"/>
      <c r="B31" s="33" t="s">
        <v>124</v>
      </c>
      <c r="C31" s="202" t="e">
        <f>B28</f>
        <v>#REF!</v>
      </c>
    </row>
    <row r="32" spans="1:6" hidden="1" x14ac:dyDescent="0.2">
      <c r="A32" s="58"/>
      <c r="B32" s="33"/>
      <c r="C32" s="203"/>
    </row>
    <row r="33" spans="1:3" hidden="1" x14ac:dyDescent="0.2">
      <c r="A33" s="200">
        <v>1</v>
      </c>
      <c r="B33" s="33" t="s">
        <v>111</v>
      </c>
      <c r="C33" s="204" t="e">
        <f>C28</f>
        <v>#REF!</v>
      </c>
    </row>
    <row r="34" spans="1:3" hidden="1" x14ac:dyDescent="0.2">
      <c r="A34" s="200">
        <v>2</v>
      </c>
      <c r="B34" s="33" t="s">
        <v>112</v>
      </c>
      <c r="C34" s="204" t="e">
        <f>D28</f>
        <v>#REF!</v>
      </c>
    </row>
    <row r="35" spans="1:3" hidden="1" x14ac:dyDescent="0.2">
      <c r="A35" s="200">
        <v>3</v>
      </c>
      <c r="B35" s="33" t="s">
        <v>113</v>
      </c>
      <c r="C35" s="204" t="e">
        <f>E28</f>
        <v>#REF!</v>
      </c>
    </row>
    <row r="36" spans="1:3" hidden="1" x14ac:dyDescent="0.2">
      <c r="A36" s="201">
        <v>4</v>
      </c>
      <c r="B36" s="34" t="s">
        <v>114</v>
      </c>
      <c r="C36" s="205"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10" t="s">
        <v>79</v>
      </c>
      <c r="B1" s="711"/>
      <c r="C1" s="711"/>
      <c r="D1" s="711"/>
      <c r="E1" s="711"/>
      <c r="F1" s="711"/>
      <c r="G1" s="711"/>
      <c r="H1" s="711"/>
      <c r="I1" s="711"/>
      <c r="J1" s="712"/>
    </row>
    <row r="2" spans="1:12" ht="17.100000000000001" customHeight="1" x14ac:dyDescent="0.2">
      <c r="A2" s="728" t="s">
        <v>60</v>
      </c>
      <c r="B2" s="729"/>
      <c r="C2" s="729"/>
      <c r="D2" s="729"/>
      <c r="E2" s="729"/>
      <c r="F2" s="729"/>
      <c r="G2" s="729"/>
      <c r="H2" s="729"/>
      <c r="I2" s="729"/>
      <c r="J2" s="730"/>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41"/>
      <c r="B4" s="742"/>
      <c r="C4" s="742"/>
      <c r="D4" s="742"/>
      <c r="E4" s="742"/>
      <c r="F4" s="742"/>
      <c r="G4" s="742"/>
      <c r="H4" s="742"/>
      <c r="I4" s="742"/>
      <c r="J4" s="743"/>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41"/>
      <c r="B7" s="742"/>
      <c r="C7" s="742"/>
      <c r="D7" s="742"/>
      <c r="E7" s="742"/>
      <c r="F7" s="742"/>
      <c r="G7" s="742"/>
      <c r="H7" s="742"/>
      <c r="I7" s="742"/>
      <c r="J7" s="743"/>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41"/>
      <c r="B9" s="742"/>
      <c r="C9" s="742"/>
      <c r="D9" s="742"/>
      <c r="E9" s="742"/>
      <c r="F9" s="742"/>
      <c r="G9" s="742"/>
      <c r="H9" s="742"/>
      <c r="I9" s="742"/>
      <c r="J9" s="743"/>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41"/>
      <c r="B12" s="742"/>
      <c r="C12" s="742"/>
      <c r="D12" s="742"/>
      <c r="E12" s="742"/>
      <c r="F12" s="742"/>
      <c r="G12" s="742"/>
      <c r="H12" s="742"/>
      <c r="I12" s="742"/>
      <c r="J12" s="743"/>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41"/>
      <c r="B14" s="742"/>
      <c r="C14" s="742"/>
      <c r="D14" s="742"/>
      <c r="E14" s="742"/>
      <c r="F14" s="742"/>
      <c r="G14" s="742"/>
      <c r="H14" s="742"/>
      <c r="I14" s="742"/>
      <c r="J14" s="743"/>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41"/>
      <c r="B16" s="742"/>
      <c r="C16" s="742"/>
      <c r="D16" s="742"/>
      <c r="E16" s="742"/>
      <c r="F16" s="742"/>
      <c r="G16" s="742"/>
      <c r="H16" s="742"/>
      <c r="I16" s="742"/>
      <c r="J16" s="743"/>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zoomScale="90" zoomScaleNormal="100" workbookViewId="0">
      <pane ySplit="8" topLeftCell="A10" activePane="bottomLeft" state="frozen"/>
      <selection activeCell="E28" sqref="E28"/>
      <selection pane="bottomLeft" activeCell="F22" sqref="F22"/>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22" t="s">
        <v>286</v>
      </c>
      <c r="B1" s="723"/>
      <c r="C1" s="723"/>
      <c r="D1" s="723"/>
      <c r="E1" s="66"/>
      <c r="F1" s="66"/>
      <c r="G1" s="66"/>
      <c r="H1" s="66"/>
      <c r="I1" s="66"/>
      <c r="J1" s="66"/>
      <c r="K1" s="66"/>
      <c r="L1" s="66"/>
      <c r="M1" s="66"/>
      <c r="N1" s="66"/>
      <c r="O1" s="66"/>
      <c r="P1" s="66"/>
      <c r="Q1" s="66"/>
      <c r="R1" s="66"/>
      <c r="S1" s="66"/>
      <c r="T1" s="66"/>
    </row>
    <row r="2" spans="1:20" s="97" customFormat="1" ht="15" customHeight="1" x14ac:dyDescent="0.2">
      <c r="A2" s="722" t="s">
        <v>125</v>
      </c>
      <c r="B2" s="723"/>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50" t="s">
        <v>53</v>
      </c>
      <c r="B3" s="751"/>
      <c r="C3" s="14"/>
      <c r="D3" s="14"/>
      <c r="E3" s="14"/>
      <c r="F3" s="291">
        <v>0.7</v>
      </c>
      <c r="G3" s="291">
        <v>0.8</v>
      </c>
      <c r="H3" s="291">
        <v>0.95</v>
      </c>
      <c r="I3" s="291">
        <v>0.95</v>
      </c>
      <c r="J3" s="291">
        <v>0.95</v>
      </c>
      <c r="K3" s="291">
        <v>0.95</v>
      </c>
      <c r="L3" s="291">
        <v>0.95</v>
      </c>
      <c r="M3" s="291">
        <v>0.95</v>
      </c>
      <c r="N3" s="291">
        <v>0.95</v>
      </c>
      <c r="O3" s="291">
        <v>0.95</v>
      </c>
      <c r="P3" s="291">
        <v>0.95</v>
      </c>
      <c r="Q3" s="291">
        <v>0.95</v>
      </c>
      <c r="R3" s="291">
        <v>0.95</v>
      </c>
      <c r="S3" s="291">
        <v>0.95</v>
      </c>
      <c r="T3" s="291">
        <v>0.95</v>
      </c>
    </row>
    <row r="4" spans="1:20" ht="15" customHeight="1" x14ac:dyDescent="0.2">
      <c r="A4" s="748" t="s">
        <v>6</v>
      </c>
      <c r="B4" s="749"/>
      <c r="C4" s="156"/>
      <c r="D4" s="156"/>
      <c r="E4" s="112"/>
      <c r="F4" s="745" t="s">
        <v>7</v>
      </c>
      <c r="G4" s="745"/>
      <c r="H4" s="745"/>
      <c r="I4" s="745"/>
      <c r="J4" s="745"/>
      <c r="K4" s="745"/>
      <c r="L4" s="745"/>
      <c r="M4" s="745"/>
      <c r="N4" s="745"/>
      <c r="O4" s="745"/>
      <c r="P4" s="745"/>
      <c r="Q4" s="745"/>
      <c r="R4" s="745"/>
      <c r="S4" s="745"/>
      <c r="T4" s="745"/>
    </row>
    <row r="5" spans="1:20" x14ac:dyDescent="0.2">
      <c r="A5" s="392"/>
      <c r="B5" s="746"/>
      <c r="C5" s="393">
        <v>2023</v>
      </c>
      <c r="D5" s="393">
        <v>2024</v>
      </c>
      <c r="E5" s="393" t="s">
        <v>47</v>
      </c>
      <c r="F5" s="393">
        <v>2025</v>
      </c>
      <c r="G5" s="393">
        <v>2026</v>
      </c>
      <c r="H5" s="393">
        <v>2027</v>
      </c>
      <c r="I5" s="393">
        <v>2028</v>
      </c>
      <c r="J5" s="393">
        <v>2029</v>
      </c>
      <c r="K5" s="393">
        <v>2030</v>
      </c>
      <c r="L5" s="393">
        <v>2031</v>
      </c>
      <c r="M5" s="113">
        <v>2032</v>
      </c>
      <c r="N5" s="113">
        <v>2033</v>
      </c>
      <c r="O5" s="113">
        <v>2034</v>
      </c>
      <c r="P5" s="113">
        <v>2035</v>
      </c>
      <c r="Q5" s="113">
        <v>2036</v>
      </c>
      <c r="R5" s="113">
        <v>2037</v>
      </c>
      <c r="S5" s="113">
        <v>2038</v>
      </c>
      <c r="T5" s="113">
        <v>2039</v>
      </c>
    </row>
    <row r="6" spans="1:20" x14ac:dyDescent="0.2">
      <c r="A6" s="392"/>
      <c r="B6" s="746"/>
      <c r="C6" s="551">
        <v>0.5</v>
      </c>
      <c r="D6" s="551">
        <v>0.5</v>
      </c>
      <c r="E6" s="394"/>
      <c r="F6" s="395"/>
      <c r="G6" s="395"/>
      <c r="H6" s="395"/>
      <c r="I6" s="395"/>
      <c r="J6" s="395"/>
      <c r="K6" s="395"/>
      <c r="L6" s="396"/>
      <c r="M6" s="110"/>
      <c r="N6" s="111"/>
      <c r="O6" s="110"/>
      <c r="P6" s="114"/>
      <c r="Q6" s="114"/>
      <c r="R6" s="114"/>
      <c r="S6" s="114"/>
      <c r="T6" s="114"/>
    </row>
    <row r="7" spans="1:20" x14ac:dyDescent="0.2">
      <c r="A7" s="747" t="s">
        <v>57</v>
      </c>
      <c r="B7" s="747"/>
      <c r="C7" s="747"/>
      <c r="D7" s="747"/>
      <c r="E7" s="747"/>
      <c r="F7" s="397"/>
      <c r="G7" s="397"/>
      <c r="H7" s="397"/>
      <c r="I7" s="397"/>
      <c r="J7" s="397"/>
      <c r="K7" s="397"/>
      <c r="L7" s="398"/>
      <c r="M7" s="397"/>
      <c r="N7" s="398"/>
      <c r="O7" s="397"/>
      <c r="P7" s="419"/>
      <c r="Q7" s="419"/>
      <c r="R7" s="419"/>
      <c r="S7" s="15"/>
      <c r="T7" s="15"/>
    </row>
    <row r="8" spans="1:20" x14ac:dyDescent="0.2">
      <c r="A8" s="264">
        <v>1</v>
      </c>
      <c r="B8" s="399" t="s">
        <v>55</v>
      </c>
      <c r="C8" s="400">
        <f>ROUND($E8*C$6,2)</f>
        <v>303.43</v>
      </c>
      <c r="D8" s="400">
        <f>ROUND($E8*D$6,2)</f>
        <v>303.43</v>
      </c>
      <c r="E8" s="401">
        <f>Capex!B14</f>
        <v>606.86034956250012</v>
      </c>
      <c r="F8" s="402"/>
      <c r="G8" s="403"/>
      <c r="H8" s="404"/>
      <c r="I8" s="404"/>
      <c r="J8" s="404"/>
      <c r="K8" s="404"/>
      <c r="L8" s="405"/>
      <c r="M8" s="404"/>
      <c r="N8" s="404"/>
      <c r="O8" s="404"/>
      <c r="P8" s="142"/>
      <c r="Q8" s="142"/>
      <c r="R8" s="142"/>
      <c r="S8" s="16"/>
      <c r="T8" s="16"/>
    </row>
    <row r="9" spans="1:20" s="97" customFormat="1" x14ac:dyDescent="0.2">
      <c r="A9" s="264"/>
      <c r="B9" s="151" t="s">
        <v>56</v>
      </c>
      <c r="C9" s="406">
        <f>SUM(C8:C8)</f>
        <v>303.43</v>
      </c>
      <c r="D9" s="406">
        <f>SUM(D8:D8)</f>
        <v>303.43</v>
      </c>
      <c r="E9" s="407">
        <f>-E8</f>
        <v>-606.86034956250012</v>
      </c>
      <c r="F9" s="142"/>
      <c r="G9" s="142"/>
      <c r="H9" s="142"/>
      <c r="I9" s="142"/>
      <c r="J9" s="142"/>
      <c r="K9" s="142"/>
      <c r="L9" s="408"/>
      <c r="M9" s="408"/>
      <c r="N9" s="408"/>
      <c r="O9" s="408"/>
      <c r="P9" s="420"/>
      <c r="Q9" s="420"/>
      <c r="R9" s="420"/>
      <c r="S9" s="18"/>
      <c r="T9" s="18"/>
    </row>
    <row r="10" spans="1:20" s="97" customFormat="1" x14ac:dyDescent="0.2">
      <c r="A10" s="142"/>
      <c r="B10" s="142"/>
      <c r="C10" s="142"/>
      <c r="D10" s="142"/>
      <c r="E10" s="142"/>
      <c r="F10" s="142"/>
      <c r="G10" s="142"/>
      <c r="H10" s="142"/>
      <c r="I10" s="142"/>
      <c r="J10" s="142"/>
      <c r="K10" s="142"/>
      <c r="L10" s="408"/>
      <c r="M10" s="408"/>
      <c r="N10" s="408"/>
      <c r="O10" s="408"/>
      <c r="P10" s="420"/>
      <c r="Q10" s="420"/>
      <c r="R10" s="420"/>
      <c r="S10" s="298"/>
      <c r="T10" s="298"/>
    </row>
    <row r="11" spans="1:20" s="317" customFormat="1" ht="25.5" customHeight="1" x14ac:dyDescent="0.2">
      <c r="A11" s="409"/>
      <c r="B11" s="520" t="s">
        <v>491</v>
      </c>
      <c r="C11" s="520"/>
      <c r="D11" s="520"/>
      <c r="E11" s="520"/>
      <c r="F11" s="552">
        <f>Opex!D4-Opex!D22*Norms!$D$5</f>
        <v>2659.9999999999927</v>
      </c>
      <c r="G11" s="552">
        <f>Opex!E4-Opex!E22*Norms!$D$5</f>
        <v>3040</v>
      </c>
      <c r="H11" s="552">
        <f>Opex!F4-Opex!F22*Norms!$D$5</f>
        <v>3610</v>
      </c>
      <c r="I11" s="552">
        <f>Opex!G4-Opex!G22*Norms!$D$5</f>
        <v>3610</v>
      </c>
      <c r="J11" s="552">
        <f>Opex!H4-Opex!H22*Norms!$D$5</f>
        <v>3610</v>
      </c>
      <c r="K11" s="552">
        <f>Opex!I4-Opex!I22*Norms!$D$5</f>
        <v>3610</v>
      </c>
      <c r="L11" s="552">
        <f>Opex!J4-Opex!J22*Norms!$D$5</f>
        <v>3610</v>
      </c>
      <c r="M11" s="552">
        <f>Opex!K4-Opex!K22*Norms!$D$5</f>
        <v>3610</v>
      </c>
      <c r="N11" s="552">
        <f>Opex!L4-Opex!L22*Norms!$D$5</f>
        <v>3610</v>
      </c>
      <c r="O11" s="552">
        <f>Opex!M4-Opex!M22*Norms!$D$5</f>
        <v>3610</v>
      </c>
      <c r="P11" s="552">
        <f>Opex!N4-Opex!N22*Norms!$D$5</f>
        <v>3610</v>
      </c>
      <c r="Q11" s="552">
        <f>Opex!O4-Opex!O22*Norms!$D$5</f>
        <v>3610</v>
      </c>
      <c r="R11" s="552">
        <f>Opex!P4-Opex!P22*Norms!$D$5</f>
        <v>3610</v>
      </c>
      <c r="S11" s="318">
        <f>Opex!Q4-Opex!Q22*Norms!$D$5</f>
        <v>3610</v>
      </c>
      <c r="T11" s="318">
        <f>Opex!R4-Opex!R22*Norms!$D$5</f>
        <v>3610</v>
      </c>
    </row>
    <row r="12" spans="1:20" x14ac:dyDescent="0.2">
      <c r="A12" s="348">
        <v>1</v>
      </c>
      <c r="B12" s="412" t="s">
        <v>8</v>
      </c>
      <c r="C12" s="381" t="s">
        <v>541</v>
      </c>
      <c r="D12" s="413"/>
      <c r="E12" s="414"/>
      <c r="F12" s="408">
        <f>F14+F15-F13</f>
        <v>620.29890284128692</v>
      </c>
      <c r="G12" s="408">
        <f t="shared" ref="G12:R12" si="0">G14+G15-G13</f>
        <v>708.9130318186136</v>
      </c>
      <c r="H12" s="408">
        <f t="shared" si="0"/>
        <v>841.83422528460369</v>
      </c>
      <c r="I12" s="408">
        <f t="shared" si="0"/>
        <v>841.83422528460369</v>
      </c>
      <c r="J12" s="408">
        <f t="shared" si="0"/>
        <v>840.24811882662345</v>
      </c>
      <c r="K12" s="408">
        <f t="shared" si="0"/>
        <v>823.1215688266235</v>
      </c>
      <c r="L12" s="408">
        <f t="shared" si="0"/>
        <v>823.1215688266235</v>
      </c>
      <c r="M12" s="408">
        <f t="shared" si="0"/>
        <v>823.1215688266235</v>
      </c>
      <c r="N12" s="408">
        <f t="shared" si="0"/>
        <v>823.1215688266235</v>
      </c>
      <c r="O12" s="408">
        <f t="shared" si="0"/>
        <v>823.1215688266235</v>
      </c>
      <c r="P12" s="408">
        <f t="shared" si="0"/>
        <v>823.1215688266235</v>
      </c>
      <c r="Q12" s="408">
        <f t="shared" si="0"/>
        <v>823.1215688266235</v>
      </c>
      <c r="R12" s="408">
        <f t="shared" si="0"/>
        <v>823.1215688266235</v>
      </c>
      <c r="S12" s="19">
        <f t="shared" ref="S12:T12" si="1">S14+S15</f>
        <v>841.83422528460369</v>
      </c>
      <c r="T12" s="19">
        <f t="shared" si="1"/>
        <v>841.83422528460369</v>
      </c>
    </row>
    <row r="13" spans="1:20" x14ac:dyDescent="0.2">
      <c r="A13" s="411"/>
      <c r="B13" s="412" t="s">
        <v>570</v>
      </c>
      <c r="C13" s="381" t="s">
        <v>541</v>
      </c>
      <c r="D13" s="413"/>
      <c r="E13" s="414"/>
      <c r="F13" s="408">
        <f>'ITC-GST'!D25</f>
        <v>0</v>
      </c>
      <c r="G13" s="408">
        <f>'ITC-GST'!E25</f>
        <v>0</v>
      </c>
      <c r="H13" s="408">
        <f>'ITC-GST'!F25</f>
        <v>0</v>
      </c>
      <c r="I13" s="408">
        <f>'ITC-GST'!G25</f>
        <v>0</v>
      </c>
      <c r="J13" s="408">
        <f>'ITC-GST'!H25</f>
        <v>1.5861064579801862</v>
      </c>
      <c r="K13" s="408">
        <f>'ITC-GST'!I25</f>
        <v>18.712656457980192</v>
      </c>
      <c r="L13" s="408">
        <f>'ITC-GST'!J25</f>
        <v>18.712656457980192</v>
      </c>
      <c r="M13" s="408">
        <f>'ITC-GST'!K25</f>
        <v>18.712656457980192</v>
      </c>
      <c r="N13" s="408">
        <f>'ITC-GST'!L25</f>
        <v>18.712656457980192</v>
      </c>
      <c r="O13" s="408">
        <f>'ITC-GST'!M25</f>
        <v>18.712656457980192</v>
      </c>
      <c r="P13" s="408">
        <f>'ITC-GST'!N25</f>
        <v>18.712656457980192</v>
      </c>
      <c r="Q13" s="408">
        <f>'ITC-GST'!O25</f>
        <v>18.712656457980192</v>
      </c>
      <c r="R13" s="408">
        <f>'ITC-GST'!P25</f>
        <v>18.712656457980192</v>
      </c>
      <c r="S13" s="297"/>
      <c r="T13" s="297"/>
    </row>
    <row r="14" spans="1:20" s="317" customFormat="1" x14ac:dyDescent="0.2">
      <c r="A14" s="411"/>
      <c r="B14" s="348" t="s">
        <v>134</v>
      </c>
      <c r="C14" s="411"/>
      <c r="D14" s="411"/>
      <c r="E14" s="553">
        <f>Norms!C35</f>
        <v>24529.709929649995</v>
      </c>
      <c r="F14" s="532">
        <f>F11*$E$14/10^7</f>
        <v>6.5249028412868801</v>
      </c>
      <c r="G14" s="532">
        <f>G11*$E$14/10^7</f>
        <v>7.457031818613598</v>
      </c>
      <c r="H14" s="532">
        <f>H11*$E$14/10^7</f>
        <v>8.8552252846036481</v>
      </c>
      <c r="I14" s="532">
        <f t="shared" ref="I14:T14" si="2">I11*$E$14/10^7</f>
        <v>8.8552252846036481</v>
      </c>
      <c r="J14" s="532">
        <f t="shared" si="2"/>
        <v>8.8552252846036481</v>
      </c>
      <c r="K14" s="532">
        <f t="shared" si="2"/>
        <v>8.8552252846036481</v>
      </c>
      <c r="L14" s="532">
        <f t="shared" si="2"/>
        <v>8.8552252846036481</v>
      </c>
      <c r="M14" s="532">
        <f t="shared" si="2"/>
        <v>8.8552252846036481</v>
      </c>
      <c r="N14" s="532">
        <f t="shared" si="2"/>
        <v>8.8552252846036481</v>
      </c>
      <c r="O14" s="532">
        <f t="shared" si="2"/>
        <v>8.8552252846036481</v>
      </c>
      <c r="P14" s="532">
        <f t="shared" si="2"/>
        <v>8.8552252846036481</v>
      </c>
      <c r="Q14" s="532">
        <f t="shared" si="2"/>
        <v>8.8552252846036481</v>
      </c>
      <c r="R14" s="532">
        <f t="shared" si="2"/>
        <v>8.8552252846036481</v>
      </c>
      <c r="S14" s="296">
        <f t="shared" si="2"/>
        <v>8.8552252846036481</v>
      </c>
      <c r="T14" s="296">
        <f t="shared" si="2"/>
        <v>8.8552252846036481</v>
      </c>
    </row>
    <row r="15" spans="1:20" s="317" customFormat="1" x14ac:dyDescent="0.2">
      <c r="A15" s="411"/>
      <c r="B15" s="348" t="s">
        <v>177</v>
      </c>
      <c r="C15" s="411"/>
      <c r="D15" s="411"/>
      <c r="E15" s="553">
        <f>Norms!C39</f>
        <v>87682</v>
      </c>
      <c r="F15" s="532">
        <f>Opex!D22*'Cashflow '!$E$15/10^7</f>
        <v>613.774</v>
      </c>
      <c r="G15" s="532">
        <f>Opex!E22*'Cashflow '!$E$15/10^7</f>
        <v>701.45600000000002</v>
      </c>
      <c r="H15" s="532">
        <f>Opex!F22*'Cashflow '!$E$15/10^7</f>
        <v>832.97900000000004</v>
      </c>
      <c r="I15" s="532">
        <f>Opex!G22*'Cashflow '!$E$15/10^7</f>
        <v>832.97900000000004</v>
      </c>
      <c r="J15" s="532">
        <f>Opex!H22*'Cashflow '!$E$15/10^7</f>
        <v>832.97900000000004</v>
      </c>
      <c r="K15" s="532">
        <f>Opex!I22*'Cashflow '!$E$15/10^7</f>
        <v>832.97900000000004</v>
      </c>
      <c r="L15" s="532">
        <f>Opex!J22*'Cashflow '!$E$15/10^7</f>
        <v>832.97900000000004</v>
      </c>
      <c r="M15" s="532">
        <f>Opex!K22*'Cashflow '!$E$15/10^7</f>
        <v>832.97900000000004</v>
      </c>
      <c r="N15" s="532">
        <f>Opex!L22*'Cashflow '!$E$15/10^7</f>
        <v>832.97900000000004</v>
      </c>
      <c r="O15" s="532">
        <f>Opex!M22*'Cashflow '!$E$15/10^7</f>
        <v>832.97900000000004</v>
      </c>
      <c r="P15" s="532">
        <f>Opex!N22*'Cashflow '!$E$15/10^7</f>
        <v>832.97900000000004</v>
      </c>
      <c r="Q15" s="532">
        <f>Opex!O22*'Cashflow '!$E$15/10^7</f>
        <v>832.97900000000004</v>
      </c>
      <c r="R15" s="532">
        <f>Opex!P22*'Cashflow '!$E$15/10^7</f>
        <v>832.97900000000004</v>
      </c>
      <c r="S15" s="296">
        <f>Opex!Q22*'Cashflow '!$E$15/10^7</f>
        <v>832.97900000000004</v>
      </c>
      <c r="T15" s="296">
        <f>Opex!R22*'Cashflow '!$E$15/10^7</f>
        <v>832.97900000000004</v>
      </c>
    </row>
    <row r="16" spans="1:20" x14ac:dyDescent="0.2">
      <c r="A16" s="348"/>
      <c r="B16" s="554"/>
      <c r="C16" s="415"/>
      <c r="D16" s="415"/>
      <c r="E16" s="416"/>
      <c r="F16" s="417"/>
      <c r="G16" s="417"/>
      <c r="H16" s="417"/>
      <c r="I16" s="417"/>
      <c r="J16" s="417"/>
      <c r="K16" s="417"/>
      <c r="L16" s="417"/>
      <c r="M16" s="417"/>
      <c r="N16" s="417"/>
      <c r="O16" s="417"/>
      <c r="P16" s="417"/>
      <c r="Q16" s="417"/>
      <c r="R16" s="417"/>
      <c r="S16" s="23"/>
      <c r="T16" s="23"/>
    </row>
    <row r="17" spans="1:20" x14ac:dyDescent="0.2">
      <c r="A17" s="348">
        <v>2</v>
      </c>
      <c r="B17" s="381" t="s">
        <v>35</v>
      </c>
      <c r="C17" s="412"/>
      <c r="D17" s="412"/>
      <c r="E17" s="416"/>
      <c r="F17" s="404"/>
      <c r="G17" s="404"/>
      <c r="H17" s="404"/>
      <c r="I17" s="404"/>
      <c r="J17" s="404"/>
      <c r="K17" s="404"/>
      <c r="L17" s="404"/>
      <c r="M17" s="404"/>
      <c r="N17" s="404"/>
      <c r="O17" s="404"/>
      <c r="P17" s="142"/>
      <c r="Q17" s="142"/>
      <c r="R17" s="142"/>
      <c r="S17" s="16"/>
      <c r="T17" s="16"/>
    </row>
    <row r="18" spans="1:20" x14ac:dyDescent="0.2">
      <c r="A18" s="348"/>
      <c r="B18" s="348" t="s">
        <v>492</v>
      </c>
      <c r="C18" s="264"/>
      <c r="D18" s="264"/>
      <c r="E18" s="418">
        <f>H18/$H$20</f>
        <v>0.9426998906443177</v>
      </c>
      <c r="F18" s="404">
        <f>Opex!D6+Opex!D23</f>
        <v>221.50989262499996</v>
      </c>
      <c r="G18" s="404">
        <f>IF(G$2&lt;=$C$117,0,(Opex!E6+Opex!E23)*G$3*(1+$C$116)^(G$2-$C$117-1))</f>
        <v>202.52333040000002</v>
      </c>
      <c r="H18" s="404">
        <f>IF(H$2&lt;=$C$117,0,(Opex!F6+Opex!F23)*H$3*(1+$C$116)^(H$2-$C$117-1))</f>
        <v>285.589540134375</v>
      </c>
      <c r="I18" s="404">
        <f>IF(I$2&lt;=$C$117,0,(Opex!G6+Opex!G23)*I$3*(1+$C$116)^(I$2-$C$117-1))</f>
        <v>285.589540134375</v>
      </c>
      <c r="J18" s="404">
        <f>IF(J$2&lt;=$C$117,0,(Opex!H6+Opex!H23)*J$3*(1+$C$116)^(J$2-$C$117-1))</f>
        <v>285.589540134375</v>
      </c>
      <c r="K18" s="404">
        <f>IF(K$2&lt;=$C$117,0,(Opex!I6+Opex!I23)*K$3*(1+$C$116)^(K$2-$C$117-1))</f>
        <v>285.589540134375</v>
      </c>
      <c r="L18" s="404">
        <f>IF(L$2&lt;=$C$117,0,(Opex!J6+Opex!J23)*L$3*(1+$C$116)^(L$2-$C$117-1))</f>
        <v>285.589540134375</v>
      </c>
      <c r="M18" s="404">
        <f>IF(M$2&lt;=$C$117,0,(Opex!K6+Opex!K23)*M$3*(1+$C$116)^(M$2-$C$117-1))</f>
        <v>285.589540134375</v>
      </c>
      <c r="N18" s="404">
        <f>IF(N$2&lt;=$C$117,0,(Opex!L6+Opex!L23)*N$3*(1+$C$116)^(N$2-$C$117-1))</f>
        <v>285.589540134375</v>
      </c>
      <c r="O18" s="404">
        <f>IF(O$2&lt;=$C$117,0,(Opex!M6+Opex!M23)*O$3*(1+$C$116)^(O$2-$C$117-1))</f>
        <v>285.589540134375</v>
      </c>
      <c r="P18" s="404">
        <f>IF(P$2&lt;=$C$117,0,(Opex!N6+Opex!N23)*P$3*(1+$C$116)^(P$2-$C$117-1))</f>
        <v>285.589540134375</v>
      </c>
      <c r="Q18" s="404">
        <f>IF(Q$2&lt;=$C$117,0,(Opex!O6+Opex!O23)*Q$3*(1+$C$116)^(Q$2-$C$117-1))</f>
        <v>285.589540134375</v>
      </c>
      <c r="R18" s="404">
        <f>IF(R$2&lt;=$C$117,0,(Opex!P6+Opex!P23)*R$3*(1+$C$116)^(R$2-$C$117-1))</f>
        <v>285.589540134375</v>
      </c>
      <c r="S18" s="21">
        <f>IF(S$2&lt;=$C$117,0,(Opex!Q6+Opex!Q23)*S$3*(1+$C$116)^(S$2-$C$117-1))</f>
        <v>285.589540134375</v>
      </c>
      <c r="T18" s="21">
        <f>IF(T$2&lt;=$C$117,0,(Opex!R6+Opex!R23)*T$3*(1+$C$116)^(T$2-$C$117-1))</f>
        <v>285.589540134375</v>
      </c>
    </row>
    <row r="19" spans="1:20" x14ac:dyDescent="0.2">
      <c r="A19" s="348"/>
      <c r="B19" s="348" t="s">
        <v>493</v>
      </c>
      <c r="C19" s="264"/>
      <c r="D19" s="264"/>
      <c r="E19" s="418">
        <f>H19/$H$20</f>
        <v>5.7300109355682326E-2</v>
      </c>
      <c r="F19" s="404">
        <f>Opex!D11</f>
        <v>17.746676747812501</v>
      </c>
      <c r="G19" s="404">
        <f>IF(G$2&lt;=$C$117,0,(Opex!E11)*G$3*(1+$C$116)^(G$2-$C$117-1))</f>
        <v>14.36564139825</v>
      </c>
      <c r="H19" s="404">
        <f>IF(H$2&lt;=$C$117,0,(Opex!F11)*H$3*(1+$C$116)^(H$2-$C$117-1))</f>
        <v>17.358983535421878</v>
      </c>
      <c r="I19" s="404">
        <f>IF(I$2&lt;=$C$117,0,(Opex!G11)*I$3*(1+$C$116)^(I$2-$C$117-1))</f>
        <v>17.358983535421878</v>
      </c>
      <c r="J19" s="404">
        <f>IF(J$2&lt;=$C$117,0,(Opex!H11)*J$3*(1+$C$116)^(J$2-$C$117-1))</f>
        <v>17.358983535421878</v>
      </c>
      <c r="K19" s="404">
        <f>IF(K$2&lt;=$C$117,0,(Opex!I11)*K$3*(1+$C$116)^(K$2-$C$117-1))</f>
        <v>17.358983535421878</v>
      </c>
      <c r="L19" s="404">
        <f>IF(L$2&lt;=$C$117,0,(Opex!J11)*L$3*(1+$C$116)^(L$2-$C$117-1))</f>
        <v>17.358983535421878</v>
      </c>
      <c r="M19" s="404">
        <f>IF(M$2&lt;=$C$117,0,(Opex!K11)*M$3*(1+$C$116)^(M$2-$C$117-1))</f>
        <v>17.358983535421878</v>
      </c>
      <c r="N19" s="404">
        <f>IF(N$2&lt;=$C$117,0,(Opex!L11)*N$3*(1+$C$116)^(N$2-$C$117-1))</f>
        <v>17.358983535421878</v>
      </c>
      <c r="O19" s="404">
        <f>IF(O$2&lt;=$C$117,0,(Opex!M11)*O$3*(1+$C$116)^(O$2-$C$117-1))</f>
        <v>17.358983535421878</v>
      </c>
      <c r="P19" s="404">
        <f>IF(P$2&lt;=$C$117,0,(Opex!N11)*P$3*(1+$C$116)^(P$2-$C$117-1))</f>
        <v>17.358983535421878</v>
      </c>
      <c r="Q19" s="404">
        <f>IF(Q$2&lt;=$C$117,0,(Opex!O11)*Q$3*(1+$C$116)^(Q$2-$C$117-1))</f>
        <v>17.358983535421878</v>
      </c>
      <c r="R19" s="404">
        <f>IF(R$2&lt;=$C$117,0,(Opex!P11)*R$3*(1+$C$116)^(R$2-$C$117-1))</f>
        <v>17.358983535421878</v>
      </c>
      <c r="S19" s="21">
        <f>IF(S$2&lt;=$C$117,0,(Opex!Q11)*S$3*(1+$C$116)^(S$2-$C$117-1))</f>
        <v>17.358983535421878</v>
      </c>
      <c r="T19" s="21">
        <f>IF(T$2&lt;=$C$117,0,(Opex!R11)*T$3*(1+$C$116)^(T$2-$C$117-1))</f>
        <v>17.358983535421878</v>
      </c>
    </row>
    <row r="20" spans="1:20" s="97" customFormat="1" x14ac:dyDescent="0.2">
      <c r="A20" s="348"/>
      <c r="B20" s="381" t="s">
        <v>9</v>
      </c>
      <c r="C20" s="412"/>
      <c r="D20" s="412"/>
      <c r="E20" s="401"/>
      <c r="F20" s="408">
        <f t="shared" ref="F20:T20" si="3">SUM(F18:F19)</f>
        <v>239.25656937281246</v>
      </c>
      <c r="G20" s="408">
        <f t="shared" si="3"/>
        <v>216.88897179825003</v>
      </c>
      <c r="H20" s="408">
        <f t="shared" si="3"/>
        <v>302.94852366979688</v>
      </c>
      <c r="I20" s="408">
        <f t="shared" si="3"/>
        <v>302.94852366979688</v>
      </c>
      <c r="J20" s="408">
        <f t="shared" si="3"/>
        <v>302.94852366979688</v>
      </c>
      <c r="K20" s="408">
        <f t="shared" si="3"/>
        <v>302.94852366979688</v>
      </c>
      <c r="L20" s="408">
        <f t="shared" si="3"/>
        <v>302.94852366979688</v>
      </c>
      <c r="M20" s="408">
        <f t="shared" si="3"/>
        <v>302.94852366979688</v>
      </c>
      <c r="N20" s="408">
        <f t="shared" si="3"/>
        <v>302.94852366979688</v>
      </c>
      <c r="O20" s="408">
        <f t="shared" si="3"/>
        <v>302.94852366979688</v>
      </c>
      <c r="P20" s="408">
        <f t="shared" si="3"/>
        <v>302.94852366979688</v>
      </c>
      <c r="Q20" s="408">
        <f t="shared" si="3"/>
        <v>302.94852366979688</v>
      </c>
      <c r="R20" s="408">
        <f t="shared" si="3"/>
        <v>302.94852366979688</v>
      </c>
      <c r="S20" s="17">
        <f t="shared" si="3"/>
        <v>302.94852366979688</v>
      </c>
      <c r="T20" s="17">
        <f t="shared" si="3"/>
        <v>302.94852366979688</v>
      </c>
    </row>
    <row r="21" spans="1:20" x14ac:dyDescent="0.2">
      <c r="A21" s="511"/>
      <c r="B21" s="379"/>
      <c r="C21" s="152"/>
      <c r="D21" s="152"/>
      <c r="E21" s="22"/>
      <c r="F21" s="21"/>
      <c r="G21" s="21"/>
      <c r="H21" s="21"/>
      <c r="I21" s="21"/>
      <c r="J21" s="21"/>
      <c r="K21" s="21"/>
      <c r="L21" s="21"/>
      <c r="M21" s="21"/>
      <c r="N21" s="21"/>
      <c r="O21" s="21"/>
      <c r="P21" s="9"/>
      <c r="S21" s="9"/>
      <c r="T21" s="9"/>
    </row>
    <row r="22" spans="1:20" x14ac:dyDescent="0.2">
      <c r="A22" s="555">
        <v>3</v>
      </c>
      <c r="B22" s="381" t="s">
        <v>121</v>
      </c>
      <c r="C22" s="24"/>
      <c r="D22" s="24"/>
      <c r="E22" s="25"/>
      <c r="F22" s="26">
        <f t="shared" ref="F22:T22" si="4">F12-F20</f>
        <v>381.04233346847445</v>
      </c>
      <c r="G22" s="26">
        <f t="shared" si="4"/>
        <v>492.02406002036355</v>
      </c>
      <c r="H22" s="26">
        <f t="shared" si="4"/>
        <v>538.88570161480675</v>
      </c>
      <c r="I22" s="26">
        <f t="shared" si="4"/>
        <v>538.88570161480675</v>
      </c>
      <c r="J22" s="26">
        <f t="shared" si="4"/>
        <v>537.29959515682663</v>
      </c>
      <c r="K22" s="26">
        <f t="shared" si="4"/>
        <v>520.17304515682667</v>
      </c>
      <c r="L22" s="26">
        <f t="shared" si="4"/>
        <v>520.17304515682667</v>
      </c>
      <c r="M22" s="26">
        <f t="shared" si="4"/>
        <v>520.17304515682667</v>
      </c>
      <c r="N22" s="26">
        <f t="shared" si="4"/>
        <v>520.17304515682667</v>
      </c>
      <c r="O22" s="26">
        <f t="shared" si="4"/>
        <v>520.17304515682667</v>
      </c>
      <c r="P22" s="26">
        <f t="shared" si="4"/>
        <v>520.17304515682667</v>
      </c>
      <c r="Q22" s="26">
        <f t="shared" si="4"/>
        <v>520.17304515682667</v>
      </c>
      <c r="R22" s="26">
        <f t="shared" si="4"/>
        <v>520.17304515682667</v>
      </c>
      <c r="S22" s="26">
        <f t="shared" si="4"/>
        <v>538.88570161480675</v>
      </c>
      <c r="T22" s="26">
        <f t="shared" si="4"/>
        <v>538.88570161480675</v>
      </c>
    </row>
    <row r="23" spans="1:20" ht="16.5" customHeight="1" x14ac:dyDescent="0.2">
      <c r="A23" s="206"/>
      <c r="B23" s="584"/>
      <c r="C23" s="1"/>
      <c r="D23" s="1"/>
      <c r="E23" s="1"/>
      <c r="F23" s="27"/>
      <c r="G23" s="27"/>
      <c r="H23" s="27"/>
      <c r="I23" s="27"/>
      <c r="J23" s="27"/>
      <c r="K23" s="27"/>
      <c r="L23" s="27"/>
      <c r="M23" s="27"/>
      <c r="N23" s="27"/>
      <c r="O23" s="27"/>
      <c r="P23" s="27"/>
      <c r="Q23" s="27"/>
      <c r="R23" s="27"/>
      <c r="S23" s="27"/>
      <c r="T23" s="27"/>
    </row>
    <row r="24" spans="1:20" s="319" customFormat="1" ht="16.5" customHeight="1" x14ac:dyDescent="0.2">
      <c r="A24" s="391">
        <v>4</v>
      </c>
      <c r="B24" s="347" t="s">
        <v>353</v>
      </c>
      <c r="C24" s="410"/>
      <c r="D24" s="410"/>
      <c r="E24" s="410"/>
      <c r="F24" s="520">
        <f t="shared" ref="F24:T24" si="5">F22</f>
        <v>381.04233346847445</v>
      </c>
      <c r="G24" s="520">
        <f t="shared" si="5"/>
        <v>492.02406002036355</v>
      </c>
      <c r="H24" s="520">
        <f t="shared" si="5"/>
        <v>538.88570161480675</v>
      </c>
      <c r="I24" s="520">
        <f t="shared" si="5"/>
        <v>538.88570161480675</v>
      </c>
      <c r="J24" s="520">
        <f t="shared" si="5"/>
        <v>537.29959515682663</v>
      </c>
      <c r="K24" s="520">
        <f t="shared" si="5"/>
        <v>520.17304515682667</v>
      </c>
      <c r="L24" s="520">
        <f t="shared" si="5"/>
        <v>520.17304515682667</v>
      </c>
      <c r="M24" s="520">
        <f t="shared" si="5"/>
        <v>520.17304515682667</v>
      </c>
      <c r="N24" s="520">
        <f t="shared" si="5"/>
        <v>520.17304515682667</v>
      </c>
      <c r="O24" s="520">
        <f t="shared" si="5"/>
        <v>520.17304515682667</v>
      </c>
      <c r="P24" s="520">
        <f t="shared" si="5"/>
        <v>520.17304515682667</v>
      </c>
      <c r="Q24" s="520">
        <f t="shared" si="5"/>
        <v>520.17304515682667</v>
      </c>
      <c r="R24" s="520">
        <f t="shared" si="5"/>
        <v>520.17304515682667</v>
      </c>
      <c r="S24" s="409">
        <f t="shared" si="5"/>
        <v>538.88570161480675</v>
      </c>
      <c r="T24" s="409">
        <f t="shared" si="5"/>
        <v>538.88570161480675</v>
      </c>
    </row>
    <row r="25" spans="1:20" s="281" customFormat="1" ht="16.5" customHeight="1" x14ac:dyDescent="0.2">
      <c r="A25" s="391">
        <v>5</v>
      </c>
      <c r="B25" s="347" t="s">
        <v>413</v>
      </c>
      <c r="C25" s="410"/>
      <c r="D25" s="410"/>
      <c r="E25" s="410"/>
      <c r="F25" s="627">
        <f>'Working Capital'!D19</f>
        <v>1.6742119213041786</v>
      </c>
      <c r="G25" s="627">
        <f>'Working Capital'!E19</f>
        <v>1.9007039736350513</v>
      </c>
      <c r="H25" s="627">
        <f>'Working Capital'!F19</f>
        <v>2.2404420521313613</v>
      </c>
      <c r="I25" s="627">
        <f>'Working Capital'!G19</f>
        <v>2.2404420521313613</v>
      </c>
      <c r="J25" s="627">
        <f>'Working Capital'!H19</f>
        <v>2.2361163072459602</v>
      </c>
      <c r="K25" s="627">
        <f>'Working Capital'!I19</f>
        <v>2.1894075345186876</v>
      </c>
      <c r="L25" s="627">
        <f>'Working Capital'!J19</f>
        <v>2.1894075345186876</v>
      </c>
      <c r="M25" s="627">
        <f>'Working Capital'!K19</f>
        <v>2.1894075345186876</v>
      </c>
      <c r="N25" s="627">
        <f>'Working Capital'!L19</f>
        <v>2.1894075345186876</v>
      </c>
      <c r="O25" s="627">
        <f>'Working Capital'!M19</f>
        <v>2.1894075345186876</v>
      </c>
      <c r="P25" s="627">
        <f>'Working Capital'!N19</f>
        <v>2.1894075345186876</v>
      </c>
      <c r="Q25" s="627">
        <f>'Working Capital'!O19</f>
        <v>2.1894075345186876</v>
      </c>
      <c r="R25" s="627">
        <f>'Working Capital'!P19</f>
        <v>2.1894075345186876</v>
      </c>
      <c r="S25" s="628">
        <f>'Working Capital'!Q19</f>
        <v>2.2404420521313613</v>
      </c>
      <c r="T25" s="628">
        <f>'Working Capital'!R19</f>
        <v>2.2404420521313613</v>
      </c>
    </row>
    <row r="26" spans="1:20" s="281" customFormat="1" ht="16.5" customHeight="1" x14ac:dyDescent="0.2">
      <c r="A26" s="391">
        <v>6</v>
      </c>
      <c r="B26" s="347" t="s">
        <v>354</v>
      </c>
      <c r="C26" s="410"/>
      <c r="D26" s="410"/>
      <c r="E26" s="410"/>
      <c r="F26" s="552">
        <f>E91</f>
        <v>41.85336708562501</v>
      </c>
      <c r="G26" s="552">
        <f t="shared" ref="G26:T26" si="6">F91</f>
        <v>36.621696199921878</v>
      </c>
      <c r="H26" s="552">
        <f t="shared" si="6"/>
        <v>31.390025314218754</v>
      </c>
      <c r="I26" s="552">
        <f t="shared" si="6"/>
        <v>26.158354428515626</v>
      </c>
      <c r="J26" s="552">
        <f t="shared" si="6"/>
        <v>20.926683542812501</v>
      </c>
      <c r="K26" s="552">
        <f t="shared" si="6"/>
        <v>15.695012657109375</v>
      </c>
      <c r="L26" s="552">
        <f t="shared" si="6"/>
        <v>10.463341771406247</v>
      </c>
      <c r="M26" s="552">
        <f t="shared" si="6"/>
        <v>5.2316708857031218</v>
      </c>
      <c r="N26" s="552">
        <f t="shared" si="6"/>
        <v>0</v>
      </c>
      <c r="O26" s="552">
        <f t="shared" si="6"/>
        <v>0</v>
      </c>
      <c r="P26" s="552">
        <f t="shared" si="6"/>
        <v>0</v>
      </c>
      <c r="Q26" s="552">
        <f t="shared" si="6"/>
        <v>0</v>
      </c>
      <c r="R26" s="552">
        <f t="shared" si="6"/>
        <v>0</v>
      </c>
      <c r="S26" s="410">
        <f t="shared" si="6"/>
        <v>0</v>
      </c>
      <c r="T26" s="410">
        <f t="shared" si="6"/>
        <v>0</v>
      </c>
    </row>
    <row r="27" spans="1:20" s="281" customFormat="1" ht="16.5" customHeight="1" x14ac:dyDescent="0.2">
      <c r="A27" s="391">
        <v>7</v>
      </c>
      <c r="B27" s="347" t="s">
        <v>355</v>
      </c>
      <c r="C27" s="410"/>
      <c r="D27" s="410"/>
      <c r="E27" s="410"/>
      <c r="F27" s="552">
        <f>Depreciation!D13</f>
        <v>35.648709775000007</v>
      </c>
      <c r="G27" s="552">
        <f t="shared" ref="G27" si="7">+F27</f>
        <v>35.648709775000007</v>
      </c>
      <c r="H27" s="552">
        <f t="shared" ref="H27" si="8">+G27</f>
        <v>35.648709775000007</v>
      </c>
      <c r="I27" s="552">
        <f t="shared" ref="I27" si="9">+H27</f>
        <v>35.648709775000007</v>
      </c>
      <c r="J27" s="552">
        <f t="shared" ref="J27" si="10">+I27</f>
        <v>35.648709775000007</v>
      </c>
      <c r="K27" s="552">
        <f t="shared" ref="K27" si="11">+J27</f>
        <v>35.648709775000007</v>
      </c>
      <c r="L27" s="552">
        <f t="shared" ref="L27" si="12">+K27</f>
        <v>35.648709775000007</v>
      </c>
      <c r="M27" s="552">
        <f t="shared" ref="M27" si="13">+L27</f>
        <v>35.648709775000007</v>
      </c>
      <c r="N27" s="552">
        <f t="shared" ref="N27" si="14">+M27</f>
        <v>35.648709775000007</v>
      </c>
      <c r="O27" s="552">
        <f t="shared" ref="O27" si="15">+N27</f>
        <v>35.648709775000007</v>
      </c>
      <c r="P27" s="552">
        <f t="shared" ref="P27" si="16">+O27</f>
        <v>35.648709775000007</v>
      </c>
      <c r="Q27" s="552">
        <f t="shared" ref="Q27" si="17">+P27</f>
        <v>35.648709775000007</v>
      </c>
      <c r="R27" s="552">
        <f t="shared" ref="R27" si="18">+Q27</f>
        <v>35.648709775000007</v>
      </c>
      <c r="S27" s="410">
        <f t="shared" ref="S27" si="19">+R27</f>
        <v>35.648709775000007</v>
      </c>
      <c r="T27" s="410">
        <f t="shared" ref="T27" si="20">+S27</f>
        <v>35.648709775000007</v>
      </c>
    </row>
    <row r="28" spans="1:20" s="319" customFormat="1" ht="16.5" customHeight="1" x14ac:dyDescent="0.2">
      <c r="A28" s="391">
        <v>8</v>
      </c>
      <c r="B28" s="347" t="s">
        <v>130</v>
      </c>
      <c r="C28" s="410"/>
      <c r="D28" s="410"/>
      <c r="E28" s="410"/>
      <c r="F28" s="552">
        <f t="shared" ref="F28:T28" si="21">F24-F25-F26-F27</f>
        <v>301.86604468654531</v>
      </c>
      <c r="G28" s="552">
        <f t="shared" si="21"/>
        <v>417.85295007180662</v>
      </c>
      <c r="H28" s="552">
        <f t="shared" si="21"/>
        <v>469.60652447345666</v>
      </c>
      <c r="I28" s="552">
        <f t="shared" si="21"/>
        <v>474.83819535915978</v>
      </c>
      <c r="J28" s="552">
        <f t="shared" si="21"/>
        <v>478.48808553176815</v>
      </c>
      <c r="K28" s="552">
        <f t="shared" si="21"/>
        <v>466.63991519019868</v>
      </c>
      <c r="L28" s="552">
        <f t="shared" si="21"/>
        <v>471.8715860759018</v>
      </c>
      <c r="M28" s="552">
        <f t="shared" si="21"/>
        <v>477.10325696160493</v>
      </c>
      <c r="N28" s="552">
        <f t="shared" si="21"/>
        <v>482.33492784730805</v>
      </c>
      <c r="O28" s="552">
        <f t="shared" si="21"/>
        <v>482.33492784730805</v>
      </c>
      <c r="P28" s="552">
        <f t="shared" si="21"/>
        <v>482.33492784730805</v>
      </c>
      <c r="Q28" s="552">
        <f t="shared" si="21"/>
        <v>482.33492784730805</v>
      </c>
      <c r="R28" s="552">
        <f t="shared" si="21"/>
        <v>482.33492784730805</v>
      </c>
      <c r="S28" s="410">
        <f t="shared" si="21"/>
        <v>500.99654978767541</v>
      </c>
      <c r="T28" s="410">
        <f t="shared" si="21"/>
        <v>500.99654978767541</v>
      </c>
    </row>
    <row r="29" spans="1:20" s="319" customFormat="1" ht="16.5" customHeight="1" x14ac:dyDescent="0.2">
      <c r="A29" s="391">
        <v>9</v>
      </c>
      <c r="B29" s="347" t="s">
        <v>356</v>
      </c>
      <c r="C29" s="320"/>
      <c r="D29" s="320"/>
      <c r="E29" s="320"/>
      <c r="F29" s="438">
        <f>C108</f>
        <v>116.01758514299972</v>
      </c>
      <c r="G29" s="438">
        <f t="shared" ref="G29:T29" si="22">D108</f>
        <v>159.22325648449186</v>
      </c>
      <c r="H29" s="438">
        <f t="shared" si="22"/>
        <v>179.36061512977412</v>
      </c>
      <c r="I29" s="438">
        <f t="shared" si="22"/>
        <v>182.55963582755606</v>
      </c>
      <c r="J29" s="438">
        <f t="shared" si="22"/>
        <v>184.72572265401021</v>
      </c>
      <c r="K29" s="438">
        <f t="shared" si="22"/>
        <v>181.05435795568576</v>
      </c>
      <c r="L29" s="438">
        <f t="shared" si="22"/>
        <v>183.02164065126289</v>
      </c>
      <c r="M29" s="438">
        <f t="shared" si="22"/>
        <v>184.6946826142611</v>
      </c>
      <c r="N29" s="438">
        <f t="shared" si="22"/>
        <v>186.11753478739149</v>
      </c>
      <c r="O29" s="438">
        <f t="shared" si="22"/>
        <v>187.327648988676</v>
      </c>
      <c r="P29" s="438">
        <f t="shared" si="22"/>
        <v>188.35686692847921</v>
      </c>
      <c r="Q29" s="438">
        <f t="shared" si="22"/>
        <v>189.23226095915214</v>
      </c>
      <c r="R29" s="438">
        <f t="shared" si="22"/>
        <v>189.97684878888029</v>
      </c>
      <c r="S29" s="320">
        <f t="shared" si="22"/>
        <v>197.14915173011639</v>
      </c>
      <c r="T29" s="320">
        <f t="shared" si="22"/>
        <v>197.68790851035345</v>
      </c>
    </row>
    <row r="30" spans="1:20" s="319" customFormat="1" ht="16.5" customHeight="1" x14ac:dyDescent="0.2">
      <c r="A30" s="391">
        <v>10</v>
      </c>
      <c r="B30" s="347" t="s">
        <v>357</v>
      </c>
      <c r="C30" s="410"/>
      <c r="D30" s="410"/>
      <c r="E30" s="410"/>
      <c r="F30" s="552">
        <f t="shared" ref="F30:T30" si="23">F28-F29</f>
        <v>185.84845954354557</v>
      </c>
      <c r="G30" s="552">
        <f t="shared" si="23"/>
        <v>258.62969358731476</v>
      </c>
      <c r="H30" s="552">
        <f t="shared" si="23"/>
        <v>290.24590934368257</v>
      </c>
      <c r="I30" s="552">
        <f t="shared" si="23"/>
        <v>292.27855953160372</v>
      </c>
      <c r="J30" s="552">
        <f t="shared" si="23"/>
        <v>293.76236287775794</v>
      </c>
      <c r="K30" s="552">
        <f t="shared" si="23"/>
        <v>285.58555723451292</v>
      </c>
      <c r="L30" s="552">
        <f t="shared" si="23"/>
        <v>288.84994542463892</v>
      </c>
      <c r="M30" s="552">
        <f t="shared" si="23"/>
        <v>292.4085743473438</v>
      </c>
      <c r="N30" s="552">
        <f t="shared" si="23"/>
        <v>296.21739305991656</v>
      </c>
      <c r="O30" s="552">
        <f t="shared" si="23"/>
        <v>295.00727885863205</v>
      </c>
      <c r="P30" s="552">
        <f t="shared" si="23"/>
        <v>293.97806091882887</v>
      </c>
      <c r="Q30" s="552">
        <f t="shared" si="23"/>
        <v>293.10266688815591</v>
      </c>
      <c r="R30" s="552">
        <f t="shared" si="23"/>
        <v>292.35807905842773</v>
      </c>
      <c r="S30" s="410">
        <f t="shared" si="23"/>
        <v>303.84739805755902</v>
      </c>
      <c r="T30" s="410">
        <f t="shared" si="23"/>
        <v>303.30864127732195</v>
      </c>
    </row>
    <row r="31" spans="1:20" s="319" customFormat="1" ht="16.5" customHeight="1" x14ac:dyDescent="0.2">
      <c r="A31" s="391">
        <v>11</v>
      </c>
      <c r="B31" s="347" t="s">
        <v>351</v>
      </c>
      <c r="C31" s="410"/>
      <c r="D31" s="410"/>
      <c r="E31" s="410"/>
      <c r="F31" s="552">
        <f>F30</f>
        <v>185.84845954354557</v>
      </c>
      <c r="G31" s="552">
        <f>F31+G30</f>
        <v>444.47815313086033</v>
      </c>
      <c r="H31" s="552">
        <f t="shared" ref="H31" si="24">G31+H30</f>
        <v>734.72406247454296</v>
      </c>
      <c r="I31" s="552">
        <f t="shared" ref="I31" si="25">H31+I30</f>
        <v>1027.0026220061468</v>
      </c>
      <c r="J31" s="552">
        <f t="shared" ref="J31" si="26">I31+J30</f>
        <v>1320.7649848839046</v>
      </c>
      <c r="K31" s="552">
        <f t="shared" ref="K31" si="27">J31+K30</f>
        <v>1606.3505421184175</v>
      </c>
      <c r="L31" s="552">
        <f t="shared" ref="L31" si="28">K31+L30</f>
        <v>1895.2004875430564</v>
      </c>
      <c r="M31" s="552">
        <f t="shared" ref="M31" si="29">L31+M30</f>
        <v>2187.6090618904</v>
      </c>
      <c r="N31" s="552">
        <f t="shared" ref="N31" si="30">M31+N30</f>
        <v>2483.8264549503165</v>
      </c>
      <c r="O31" s="552">
        <f t="shared" ref="O31" si="31">N31+O30</f>
        <v>2778.8337338089486</v>
      </c>
      <c r="P31" s="552">
        <f t="shared" ref="P31" si="32">O31+P30</f>
        <v>3072.8117947277774</v>
      </c>
      <c r="Q31" s="552">
        <f t="shared" ref="Q31" si="33">P31+Q30</f>
        <v>3365.9144616159333</v>
      </c>
      <c r="R31" s="552">
        <f t="shared" ref="R31" si="34">Q31+R30</f>
        <v>3658.2725406743612</v>
      </c>
      <c r="S31" s="410">
        <f t="shared" ref="S31" si="35">R31+S30</f>
        <v>3962.1199387319202</v>
      </c>
      <c r="T31" s="410">
        <f t="shared" ref="T31" si="36">S31+T30</f>
        <v>4265.4285800092421</v>
      </c>
    </row>
    <row r="32" spans="1:20" s="319" customFormat="1" ht="16.5" customHeight="1" x14ac:dyDescent="0.2">
      <c r="A32" s="391">
        <v>12</v>
      </c>
      <c r="B32" s="347" t="s">
        <v>358</v>
      </c>
      <c r="C32" s="421"/>
      <c r="D32" s="421"/>
      <c r="E32" s="421"/>
      <c r="F32" s="556">
        <f t="shared" ref="F32:T32" si="37">F24/F12</f>
        <v>0.61428825961662237</v>
      </c>
      <c r="G32" s="556">
        <f t="shared" si="37"/>
        <v>0.69405418991684653</v>
      </c>
      <c r="H32" s="556">
        <f t="shared" si="37"/>
        <v>0.64013280219466318</v>
      </c>
      <c r="I32" s="556">
        <f t="shared" si="37"/>
        <v>0.64013280219466318</v>
      </c>
      <c r="J32" s="556">
        <f t="shared" si="37"/>
        <v>0.63945349369796434</v>
      </c>
      <c r="K32" s="556">
        <f t="shared" si="37"/>
        <v>0.6319516640759929</v>
      </c>
      <c r="L32" s="556">
        <f t="shared" si="37"/>
        <v>0.6319516640759929</v>
      </c>
      <c r="M32" s="556">
        <f t="shared" si="37"/>
        <v>0.6319516640759929</v>
      </c>
      <c r="N32" s="556">
        <f t="shared" si="37"/>
        <v>0.6319516640759929</v>
      </c>
      <c r="O32" s="556">
        <f t="shared" si="37"/>
        <v>0.6319516640759929</v>
      </c>
      <c r="P32" s="556">
        <f t="shared" si="37"/>
        <v>0.6319516640759929</v>
      </c>
      <c r="Q32" s="556">
        <f t="shared" si="37"/>
        <v>0.6319516640759929</v>
      </c>
      <c r="R32" s="556">
        <f t="shared" si="37"/>
        <v>0.6319516640759929</v>
      </c>
      <c r="S32" s="422">
        <f t="shared" si="37"/>
        <v>0.64013280219466318</v>
      </c>
      <c r="T32" s="422">
        <f t="shared" si="37"/>
        <v>0.64013280219466318</v>
      </c>
    </row>
    <row r="33" spans="1:20" s="281" customFormat="1" ht="16.5" customHeight="1" x14ac:dyDescent="0.2">
      <c r="A33" s="295"/>
      <c r="B33" s="294"/>
      <c r="C33" s="319"/>
      <c r="D33" s="319"/>
      <c r="E33" s="319"/>
      <c r="F33" s="629"/>
      <c r="G33" s="629"/>
      <c r="H33" s="629"/>
      <c r="I33" s="629"/>
      <c r="J33" s="629"/>
      <c r="K33" s="629"/>
      <c r="L33" s="629"/>
      <c r="M33" s="629"/>
      <c r="N33" s="629"/>
      <c r="O33" s="629"/>
      <c r="P33" s="629"/>
      <c r="Q33" s="629"/>
      <c r="R33" s="629"/>
      <c r="S33" s="629"/>
      <c r="T33" s="629"/>
    </row>
    <row r="34" spans="1:20" ht="16.5" customHeight="1" x14ac:dyDescent="0.2">
      <c r="A34" s="13"/>
      <c r="B34" s="267"/>
      <c r="C34" s="1"/>
      <c r="D34" s="1"/>
      <c r="E34" s="1"/>
      <c r="F34" s="27"/>
      <c r="G34" s="27"/>
      <c r="H34" s="27"/>
      <c r="I34" s="27"/>
      <c r="J34" s="27"/>
      <c r="K34" s="27"/>
      <c r="L34" s="27"/>
      <c r="M34" s="27"/>
      <c r="N34" s="27"/>
      <c r="O34" s="27"/>
      <c r="P34" s="27"/>
      <c r="Q34" s="27"/>
      <c r="R34" s="27"/>
      <c r="S34" s="27"/>
      <c r="T34" s="27"/>
    </row>
    <row r="35" spans="1:20" ht="16.5" customHeight="1" x14ac:dyDescent="0.2">
      <c r="A35" s="13"/>
      <c r="B35" s="267"/>
      <c r="C35" s="1"/>
      <c r="D35" s="1"/>
      <c r="E35" s="1"/>
      <c r="F35" s="27"/>
      <c r="G35" s="27"/>
      <c r="H35" s="27"/>
      <c r="I35" s="27"/>
      <c r="J35" s="27"/>
      <c r="K35" s="27"/>
      <c r="L35" s="27"/>
      <c r="M35" s="27"/>
      <c r="N35" s="27"/>
      <c r="O35" s="27"/>
      <c r="P35" s="27"/>
      <c r="Q35" s="27"/>
      <c r="R35" s="27"/>
      <c r="S35" s="27"/>
      <c r="T35" s="27"/>
    </row>
    <row r="36" spans="1:20" ht="16.5" customHeight="1" x14ac:dyDescent="0.2">
      <c r="A36" s="1"/>
      <c r="B36" s="505" t="s">
        <v>409</v>
      </c>
      <c r="C36" s="277">
        <f>Capex!B11</f>
        <v>567.29175000000009</v>
      </c>
      <c r="D36" s="505" t="s">
        <v>39</v>
      </c>
      <c r="E36" s="1"/>
      <c r="F36" s="27"/>
      <c r="G36" s="27"/>
      <c r="H36" s="27"/>
      <c r="I36" s="27"/>
      <c r="J36" s="27"/>
      <c r="K36" s="27"/>
      <c r="L36" s="27"/>
      <c r="M36" s="27"/>
      <c r="N36" s="27"/>
      <c r="O36" s="27"/>
      <c r="P36" s="27"/>
      <c r="Q36" s="27"/>
      <c r="R36" s="27"/>
      <c r="S36" s="27"/>
      <c r="T36" s="27"/>
    </row>
    <row r="37" spans="1:20" ht="16.5" customHeight="1" x14ac:dyDescent="0.2">
      <c r="A37" s="1"/>
      <c r="B37" s="270" t="s">
        <v>410</v>
      </c>
      <c r="C37" s="269">
        <f>Capex!B13</f>
        <v>39.568599562500005</v>
      </c>
      <c r="D37" s="270"/>
      <c r="E37" s="1"/>
      <c r="F37" s="27"/>
      <c r="G37" s="27"/>
      <c r="H37" s="27"/>
      <c r="I37" s="27"/>
      <c r="J37" s="27"/>
      <c r="K37" s="27"/>
      <c r="L37" s="27"/>
      <c r="M37" s="27"/>
      <c r="N37" s="27"/>
      <c r="O37" s="27"/>
      <c r="P37" s="27"/>
      <c r="Q37" s="27"/>
      <c r="R37" s="27"/>
      <c r="S37" s="27"/>
      <c r="T37" s="27"/>
    </row>
    <row r="38" spans="1:20" ht="16.5" customHeight="1" x14ac:dyDescent="0.2">
      <c r="A38" s="1"/>
      <c r="B38" s="270" t="s">
        <v>411</v>
      </c>
      <c r="C38" s="271">
        <f>(C36*D38)</f>
        <v>0</v>
      </c>
      <c r="D38" s="272">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8">
        <f>+C36+C37+C38</f>
        <v>606.86034956250012</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7"/>
      <c r="C40" s="1"/>
      <c r="D40" s="1"/>
      <c r="E40" s="1"/>
      <c r="F40" s="27"/>
      <c r="G40" s="27"/>
      <c r="H40" s="27"/>
      <c r="I40" s="27"/>
      <c r="J40" s="27"/>
      <c r="K40" s="27"/>
      <c r="L40" s="27"/>
      <c r="M40" s="27"/>
      <c r="N40" s="27"/>
      <c r="O40" s="27"/>
      <c r="P40" s="27"/>
      <c r="Q40" s="27"/>
      <c r="R40" s="27"/>
      <c r="S40" s="27"/>
      <c r="T40" s="27"/>
    </row>
    <row r="41" spans="1:20" ht="16.5" customHeight="1" x14ac:dyDescent="0.2">
      <c r="A41" s="13"/>
      <c r="B41" s="505" t="s">
        <v>414</v>
      </c>
      <c r="C41" s="277" t="s">
        <v>415</v>
      </c>
      <c r="D41" s="505" t="s">
        <v>416</v>
      </c>
      <c r="E41" s="1"/>
      <c r="F41" s="27"/>
      <c r="G41" s="27"/>
      <c r="H41" s="27"/>
      <c r="I41" s="27"/>
      <c r="J41" s="27"/>
      <c r="K41" s="27"/>
      <c r="L41" s="27"/>
      <c r="M41" s="27"/>
      <c r="N41" s="27"/>
      <c r="O41" s="27"/>
      <c r="P41" s="27"/>
      <c r="Q41" s="27"/>
      <c r="R41" s="27"/>
      <c r="S41" s="27"/>
      <c r="T41" s="27"/>
    </row>
    <row r="42" spans="1:20" ht="16.5" customHeight="1" x14ac:dyDescent="0.2">
      <c r="A42" s="13"/>
      <c r="B42" s="270" t="s">
        <v>417</v>
      </c>
      <c r="C42" s="272">
        <v>0.75</v>
      </c>
      <c r="D42" s="273">
        <f>C39*C42</f>
        <v>455.14526217187506</v>
      </c>
      <c r="E42" s="1"/>
      <c r="F42" s="27"/>
      <c r="G42" s="27"/>
      <c r="H42" s="27"/>
      <c r="I42" s="27"/>
      <c r="J42" s="27"/>
      <c r="K42" s="27"/>
      <c r="L42" s="27"/>
      <c r="M42" s="27"/>
      <c r="N42" s="27"/>
      <c r="O42" s="27"/>
      <c r="P42" s="27"/>
      <c r="Q42" s="27"/>
      <c r="R42" s="27"/>
      <c r="S42" s="27"/>
      <c r="T42" s="27"/>
    </row>
    <row r="43" spans="1:20" ht="16.5" customHeight="1" x14ac:dyDescent="0.2">
      <c r="A43" s="13"/>
      <c r="B43" s="270" t="s">
        <v>418</v>
      </c>
      <c r="C43" s="272">
        <v>0.25</v>
      </c>
      <c r="D43" s="273">
        <f>C43*C39</f>
        <v>151.71508739062503</v>
      </c>
      <c r="E43" s="1"/>
      <c r="F43" s="27"/>
      <c r="G43" s="27"/>
      <c r="H43" s="27"/>
      <c r="I43" s="27"/>
      <c r="J43" s="27"/>
      <c r="K43" s="27"/>
      <c r="L43" s="27"/>
      <c r="M43" s="27"/>
      <c r="N43" s="27"/>
      <c r="O43" s="27"/>
      <c r="P43" s="27"/>
      <c r="Q43" s="27"/>
      <c r="R43" s="27"/>
      <c r="S43" s="27"/>
      <c r="T43" s="27"/>
    </row>
    <row r="44" spans="1:20" ht="16.5" customHeight="1" x14ac:dyDescent="0.2">
      <c r="A44" s="13"/>
      <c r="B44" s="505" t="s">
        <v>47</v>
      </c>
      <c r="C44" s="279">
        <v>1</v>
      </c>
      <c r="D44" s="280">
        <f>SUM(D42:D43)</f>
        <v>606.86034956250012</v>
      </c>
      <c r="E44" s="1"/>
      <c r="F44" s="27"/>
      <c r="G44" s="27"/>
      <c r="H44" s="27"/>
      <c r="I44" s="27"/>
      <c r="J44" s="27"/>
      <c r="K44" s="27"/>
      <c r="L44" s="27"/>
      <c r="M44" s="27"/>
      <c r="N44" s="27"/>
      <c r="O44" s="27"/>
      <c r="P44" s="27"/>
      <c r="Q44" s="27"/>
      <c r="R44" s="27"/>
      <c r="S44" s="27"/>
      <c r="T44" s="27"/>
    </row>
    <row r="45" spans="1:20" ht="16.5" customHeight="1" x14ac:dyDescent="0.2">
      <c r="A45" s="13"/>
      <c r="B45" s="1"/>
      <c r="C45" s="275"/>
      <c r="D45" s="276"/>
      <c r="E45" s="1"/>
      <c r="F45" s="27"/>
      <c r="G45" s="27"/>
      <c r="H45" s="27"/>
      <c r="I45" s="27"/>
      <c r="J45" s="27"/>
      <c r="K45" s="27"/>
      <c r="L45" s="27"/>
      <c r="M45" s="27"/>
      <c r="N45" s="27"/>
      <c r="O45" s="27"/>
      <c r="P45" s="27"/>
      <c r="Q45" s="27"/>
      <c r="R45" s="27"/>
      <c r="S45" s="27"/>
      <c r="T45" s="27"/>
    </row>
    <row r="46" spans="1:20" ht="16.5" customHeight="1" x14ac:dyDescent="0.2">
      <c r="A46" s="13"/>
      <c r="B46" s="267"/>
      <c r="C46" s="1"/>
      <c r="D46" s="1"/>
      <c r="E46" s="1"/>
      <c r="F46" s="27"/>
      <c r="G46" s="27"/>
      <c r="H46" s="27"/>
      <c r="I46" s="27"/>
      <c r="J46" s="27"/>
      <c r="K46" s="27"/>
      <c r="L46" s="27"/>
      <c r="M46" s="27"/>
      <c r="N46" s="27"/>
      <c r="O46" s="27"/>
      <c r="P46" s="27"/>
      <c r="Q46" s="27"/>
      <c r="R46" s="27"/>
      <c r="S46" s="27"/>
      <c r="T46" s="27"/>
    </row>
    <row r="47" spans="1:20" ht="16.5" customHeight="1" x14ac:dyDescent="0.2">
      <c r="A47" s="423" t="s">
        <v>402</v>
      </c>
      <c r="B47" s="424" t="s">
        <v>403</v>
      </c>
      <c r="C47" s="424" t="s">
        <v>404</v>
      </c>
      <c r="D47" s="424" t="s">
        <v>405</v>
      </c>
      <c r="E47" s="1"/>
      <c r="F47" s="27"/>
      <c r="G47" s="27"/>
      <c r="H47" s="27"/>
      <c r="I47" s="27"/>
      <c r="J47" s="27"/>
      <c r="K47" s="27"/>
      <c r="L47" s="27"/>
      <c r="M47" s="27"/>
      <c r="N47" s="27"/>
      <c r="O47" s="27"/>
      <c r="P47" s="27"/>
      <c r="Q47" s="27"/>
      <c r="R47" s="27"/>
      <c r="S47" s="27"/>
      <c r="T47" s="27"/>
    </row>
    <row r="48" spans="1:20" ht="16.5" customHeight="1" x14ac:dyDescent="0.2">
      <c r="A48" s="425">
        <v>1</v>
      </c>
      <c r="B48" s="425" t="s">
        <v>406</v>
      </c>
      <c r="C48" s="426">
        <v>0.3</v>
      </c>
      <c r="D48" s="426">
        <v>0.15</v>
      </c>
      <c r="E48" s="1"/>
      <c r="F48" s="27"/>
      <c r="G48" s="27"/>
      <c r="H48" s="27"/>
      <c r="I48" s="27"/>
      <c r="J48" s="27"/>
      <c r="K48" s="27"/>
      <c r="L48" s="27"/>
      <c r="M48" s="27"/>
      <c r="N48" s="27"/>
      <c r="O48" s="27"/>
      <c r="P48" s="27"/>
      <c r="Q48" s="27"/>
      <c r="R48" s="27"/>
      <c r="S48" s="27"/>
      <c r="T48" s="27"/>
    </row>
    <row r="49" spans="1:20" ht="16.5" customHeight="1" x14ac:dyDescent="0.2">
      <c r="A49" s="425">
        <v>2</v>
      </c>
      <c r="B49" s="425" t="s">
        <v>407</v>
      </c>
      <c r="C49" s="426">
        <v>0.12</v>
      </c>
      <c r="D49" s="426">
        <v>0.12</v>
      </c>
      <c r="E49" s="1"/>
      <c r="F49" s="27"/>
      <c r="G49" s="27"/>
      <c r="H49" s="27"/>
      <c r="I49" s="27"/>
      <c r="J49" s="27"/>
      <c r="K49" s="27"/>
      <c r="L49" s="27"/>
      <c r="M49" s="27"/>
      <c r="N49" s="27"/>
      <c r="O49" s="27"/>
      <c r="P49" s="27"/>
      <c r="Q49" s="27"/>
      <c r="R49" s="27"/>
      <c r="S49" s="27"/>
      <c r="T49" s="27"/>
    </row>
    <row r="50" spans="1:20" ht="16.5" customHeight="1" x14ac:dyDescent="0.2">
      <c r="A50" s="425">
        <v>3</v>
      </c>
      <c r="B50" s="425" t="s">
        <v>408</v>
      </c>
      <c r="C50" s="426">
        <v>0.04</v>
      </c>
      <c r="D50" s="426">
        <v>0.04</v>
      </c>
      <c r="E50" s="1"/>
      <c r="F50" s="27"/>
      <c r="G50" s="27"/>
      <c r="H50" s="27"/>
      <c r="I50" s="27"/>
      <c r="J50" s="27"/>
      <c r="K50" s="27"/>
      <c r="L50" s="27"/>
      <c r="M50" s="27"/>
      <c r="N50" s="27"/>
      <c r="O50" s="27"/>
      <c r="P50" s="27"/>
      <c r="Q50" s="27"/>
      <c r="R50" s="27"/>
      <c r="S50" s="27"/>
      <c r="T50" s="27"/>
    </row>
    <row r="51" spans="1:20" ht="16.5" customHeight="1" x14ac:dyDescent="0.2">
      <c r="A51" s="425">
        <v>4</v>
      </c>
      <c r="B51" s="425" t="s">
        <v>47</v>
      </c>
      <c r="C51" s="427">
        <f>+C48*(1+C49)*(1+C50)</f>
        <v>0.34944000000000003</v>
      </c>
      <c r="D51" s="427">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56" t="s">
        <v>399</v>
      </c>
      <c r="C52" s="756"/>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60" t="s">
        <v>400</v>
      </c>
      <c r="C54" s="272">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60" t="s">
        <v>401</v>
      </c>
      <c r="C55" s="272">
        <f>Norms!B53</f>
        <v>0.08</v>
      </c>
      <c r="D55" s="1"/>
      <c r="E55" s="1"/>
      <c r="F55" s="27"/>
      <c r="G55" s="27"/>
      <c r="H55" s="27"/>
      <c r="I55" s="27"/>
      <c r="J55" s="27"/>
      <c r="K55" s="27"/>
      <c r="L55" s="27"/>
      <c r="M55" s="27"/>
      <c r="N55" s="27"/>
      <c r="O55" s="27"/>
      <c r="P55" s="27"/>
      <c r="Q55" s="27"/>
      <c r="R55" s="27"/>
      <c r="S55" s="27"/>
      <c r="T55" s="27"/>
    </row>
    <row r="56" spans="1:20" s="1" customFormat="1" x14ac:dyDescent="0.2">
      <c r="C56" s="447"/>
      <c r="D56" s="447"/>
      <c r="E56" s="447"/>
      <c r="F56" s="447"/>
      <c r="G56" s="447"/>
      <c r="H56" s="630"/>
      <c r="I56" s="447"/>
      <c r="J56" s="447"/>
      <c r="K56" s="630"/>
      <c r="L56" s="447"/>
    </row>
    <row r="57" spans="1:20" s="1" customFormat="1" x14ac:dyDescent="0.2">
      <c r="A57" s="752" t="s">
        <v>359</v>
      </c>
      <c r="B57" s="752"/>
      <c r="C57" s="752"/>
      <c r="D57" s="752"/>
      <c r="E57" s="752"/>
      <c r="F57" s="752"/>
      <c r="G57" s="752"/>
      <c r="H57" s="752"/>
      <c r="I57" s="752"/>
      <c r="J57" s="752"/>
      <c r="K57" s="752"/>
      <c r="L57" s="752"/>
      <c r="M57" s="752"/>
      <c r="N57" s="752"/>
      <c r="O57" s="752"/>
      <c r="P57" s="752"/>
      <c r="Q57" s="752"/>
      <c r="R57" s="752"/>
      <c r="S57" s="752"/>
    </row>
    <row r="58" spans="1:20" s="1" customFormat="1" x14ac:dyDescent="0.2">
      <c r="C58" s="753" t="s">
        <v>360</v>
      </c>
      <c r="D58" s="754"/>
      <c r="S58" s="35"/>
      <c r="T58" s="35"/>
    </row>
    <row r="59" spans="1:20" s="1" customFormat="1" x14ac:dyDescent="0.2">
      <c r="A59" s="428" t="s">
        <v>361</v>
      </c>
      <c r="B59" s="429" t="s">
        <v>333</v>
      </c>
      <c r="C59" s="430">
        <v>-2</v>
      </c>
      <c r="D59" s="430">
        <v>-1</v>
      </c>
      <c r="E59" s="431" t="s">
        <v>362</v>
      </c>
      <c r="F59" s="431" t="s">
        <v>334</v>
      </c>
      <c r="G59" s="431" t="s">
        <v>335</v>
      </c>
      <c r="H59" s="431" t="s">
        <v>336</v>
      </c>
      <c r="I59" s="431" t="s">
        <v>337</v>
      </c>
      <c r="J59" s="431" t="s">
        <v>338</v>
      </c>
      <c r="K59" s="431" t="s">
        <v>339</v>
      </c>
      <c r="L59" s="431" t="s">
        <v>340</v>
      </c>
      <c r="M59" s="431" t="s">
        <v>341</v>
      </c>
      <c r="N59" s="431" t="s">
        <v>342</v>
      </c>
      <c r="O59" s="431" t="s">
        <v>343</v>
      </c>
      <c r="P59" s="431" t="s">
        <v>344</v>
      </c>
      <c r="Q59" s="431" t="s">
        <v>345</v>
      </c>
      <c r="R59" s="431" t="s">
        <v>346</v>
      </c>
      <c r="S59" s="431" t="s">
        <v>347</v>
      </c>
      <c r="T59" s="35">
        <f>+S59+1</f>
        <v>16</v>
      </c>
    </row>
    <row r="60" spans="1:20" s="1" customFormat="1" x14ac:dyDescent="0.2">
      <c r="B60" s="432" t="s">
        <v>363</v>
      </c>
      <c r="C60" s="260"/>
      <c r="D60" s="260"/>
      <c r="E60" s="433"/>
      <c r="F60" s="433"/>
      <c r="G60" s="433"/>
      <c r="H60" s="433"/>
      <c r="I60" s="433"/>
      <c r="J60" s="433"/>
      <c r="K60" s="433"/>
      <c r="L60" s="433"/>
      <c r="M60" s="433"/>
      <c r="N60" s="433"/>
      <c r="O60" s="433"/>
      <c r="P60" s="433"/>
      <c r="Q60" s="433"/>
      <c r="R60" s="433"/>
      <c r="S60" s="433"/>
    </row>
    <row r="61" spans="1:20" s="1" customFormat="1" x14ac:dyDescent="0.2">
      <c r="A61" s="270">
        <v>1.1000000000000001</v>
      </c>
      <c r="B61" s="434" t="s">
        <v>353</v>
      </c>
      <c r="C61" s="270"/>
      <c r="D61" s="270"/>
      <c r="E61" s="435">
        <f t="shared" ref="E61:T61" si="38">F24</f>
        <v>381.04233346847445</v>
      </c>
      <c r="F61" s="435">
        <f t="shared" si="38"/>
        <v>492.02406002036355</v>
      </c>
      <c r="G61" s="435">
        <f t="shared" si="38"/>
        <v>538.88570161480675</v>
      </c>
      <c r="H61" s="435">
        <f t="shared" si="38"/>
        <v>538.88570161480675</v>
      </c>
      <c r="I61" s="435">
        <f t="shared" si="38"/>
        <v>537.29959515682663</v>
      </c>
      <c r="J61" s="435">
        <f t="shared" si="38"/>
        <v>520.17304515682667</v>
      </c>
      <c r="K61" s="435">
        <f t="shared" si="38"/>
        <v>520.17304515682667</v>
      </c>
      <c r="L61" s="435">
        <f t="shared" si="38"/>
        <v>520.17304515682667</v>
      </c>
      <c r="M61" s="435">
        <f t="shared" si="38"/>
        <v>520.17304515682667</v>
      </c>
      <c r="N61" s="435">
        <f t="shared" si="38"/>
        <v>520.17304515682667</v>
      </c>
      <c r="O61" s="435">
        <f t="shared" si="38"/>
        <v>520.17304515682667</v>
      </c>
      <c r="P61" s="435">
        <f t="shared" si="38"/>
        <v>520.17304515682667</v>
      </c>
      <c r="Q61" s="435">
        <f t="shared" si="38"/>
        <v>520.17304515682667</v>
      </c>
      <c r="R61" s="435">
        <f t="shared" si="38"/>
        <v>538.88570161480675</v>
      </c>
      <c r="S61" s="435">
        <f t="shared" si="38"/>
        <v>538.88570161480675</v>
      </c>
      <c r="T61" s="435">
        <f t="shared" si="38"/>
        <v>0</v>
      </c>
    </row>
    <row r="62" spans="1:20" s="1" customFormat="1" x14ac:dyDescent="0.2">
      <c r="A62" s="436">
        <v>2</v>
      </c>
      <c r="B62" s="437" t="s">
        <v>522</v>
      </c>
      <c r="C62" s="270"/>
      <c r="D62" s="270"/>
      <c r="E62" s="435">
        <f>'Working Capital'!D20</f>
        <v>20.927649016302233</v>
      </c>
      <c r="F62" s="435">
        <f>'Working Capital'!E20</f>
        <v>2.8311506541359073</v>
      </c>
      <c r="G62" s="435">
        <f>'Working Capital'!F20</f>
        <v>4.2467259812038733</v>
      </c>
      <c r="H62" s="435">
        <f>'Working Capital'!G20</f>
        <v>0</v>
      </c>
      <c r="I62" s="435">
        <f>'Working Capital'!H20</f>
        <v>-5.4071811067512243E-2</v>
      </c>
      <c r="J62" s="435">
        <f>'Working Capital'!I20</f>
        <v>-0.58385965909090487</v>
      </c>
      <c r="K62" s="435">
        <f>'Working Capital'!J20</f>
        <v>0</v>
      </c>
      <c r="L62" s="435">
        <f>'Working Capital'!K20</f>
        <v>0</v>
      </c>
      <c r="M62" s="435">
        <f>'Working Capital'!L20</f>
        <v>0</v>
      </c>
      <c r="N62" s="435">
        <f>'Working Capital'!M20</f>
        <v>0</v>
      </c>
      <c r="O62" s="435">
        <f>'Working Capital'!N20</f>
        <v>0</v>
      </c>
      <c r="P62" s="435">
        <f>'Working Capital'!O20</f>
        <v>0</v>
      </c>
      <c r="Q62" s="435">
        <f>'Working Capital'!P20</f>
        <v>0</v>
      </c>
      <c r="R62" s="435">
        <f>'Working Capital'!Q20</f>
        <v>0.63793147015841711</v>
      </c>
      <c r="S62" s="435">
        <f>'Working Capital'!R20</f>
        <v>0</v>
      </c>
      <c r="T62" s="435">
        <f>'Working Capital'!S20</f>
        <v>0</v>
      </c>
    </row>
    <row r="63" spans="1:20" s="1" customFormat="1" x14ac:dyDescent="0.2">
      <c r="A63" s="436">
        <v>3</v>
      </c>
      <c r="B63" s="437" t="s">
        <v>364</v>
      </c>
      <c r="C63" s="271">
        <f>Capex!H84/100</f>
        <v>141.82293750000002</v>
      </c>
      <c r="D63" s="438">
        <f>(Capex!H85+Capex!H86)/100</f>
        <v>283.64587500000005</v>
      </c>
      <c r="E63" s="435">
        <v>0</v>
      </c>
      <c r="F63" s="435">
        <v>0</v>
      </c>
      <c r="G63" s="435">
        <v>0</v>
      </c>
      <c r="H63" s="435">
        <v>0</v>
      </c>
      <c r="I63" s="435">
        <v>0</v>
      </c>
      <c r="J63" s="435">
        <v>0</v>
      </c>
      <c r="K63" s="435">
        <v>0</v>
      </c>
      <c r="L63" s="435">
        <v>0</v>
      </c>
      <c r="M63" s="435">
        <v>0</v>
      </c>
      <c r="N63" s="435">
        <v>0</v>
      </c>
      <c r="O63" s="435">
        <v>0</v>
      </c>
      <c r="P63" s="435">
        <v>0</v>
      </c>
      <c r="Q63" s="435">
        <v>0</v>
      </c>
      <c r="R63" s="435">
        <v>0</v>
      </c>
      <c r="S63" s="435">
        <v>0</v>
      </c>
      <c r="T63" s="435">
        <v>0</v>
      </c>
    </row>
    <row r="64" spans="1:20" s="1" customFormat="1" x14ac:dyDescent="0.2">
      <c r="A64" s="436">
        <v>4</v>
      </c>
      <c r="B64" s="437" t="s">
        <v>530</v>
      </c>
      <c r="C64" s="439">
        <f>Capex!B77/100</f>
        <v>141.82293750000002</v>
      </c>
      <c r="D64" s="270">
        <v>0</v>
      </c>
      <c r="E64" s="435">
        <v>0</v>
      </c>
      <c r="F64" s="435">
        <v>0</v>
      </c>
      <c r="G64" s="435">
        <v>0</v>
      </c>
      <c r="H64" s="435">
        <v>0</v>
      </c>
      <c r="I64" s="435">
        <v>0</v>
      </c>
      <c r="J64" s="435">
        <v>0</v>
      </c>
      <c r="K64" s="435">
        <v>0</v>
      </c>
      <c r="L64" s="435">
        <v>0</v>
      </c>
      <c r="M64" s="435">
        <v>0</v>
      </c>
      <c r="N64" s="435">
        <v>0</v>
      </c>
      <c r="O64" s="435">
        <v>0</v>
      </c>
      <c r="P64" s="435">
        <v>0</v>
      </c>
      <c r="Q64" s="435">
        <v>0</v>
      </c>
      <c r="R64" s="435">
        <v>0</v>
      </c>
      <c r="S64" s="435">
        <v>0</v>
      </c>
      <c r="T64" s="435">
        <v>0</v>
      </c>
    </row>
    <row r="65" spans="1:20" s="1" customFormat="1" x14ac:dyDescent="0.2">
      <c r="A65" s="436">
        <v>5</v>
      </c>
      <c r="B65" s="440" t="s">
        <v>521</v>
      </c>
      <c r="C65" s="441"/>
      <c r="D65" s="441"/>
      <c r="E65" s="441">
        <f t="shared" ref="E65:T65" si="39">F27</f>
        <v>35.648709775000007</v>
      </c>
      <c r="F65" s="441">
        <f t="shared" si="39"/>
        <v>35.648709775000007</v>
      </c>
      <c r="G65" s="441">
        <f t="shared" si="39"/>
        <v>35.648709775000007</v>
      </c>
      <c r="H65" s="441">
        <f t="shared" si="39"/>
        <v>35.648709775000007</v>
      </c>
      <c r="I65" s="441">
        <f t="shared" si="39"/>
        <v>35.648709775000007</v>
      </c>
      <c r="J65" s="441">
        <f t="shared" si="39"/>
        <v>35.648709775000007</v>
      </c>
      <c r="K65" s="441">
        <f t="shared" si="39"/>
        <v>35.648709775000007</v>
      </c>
      <c r="L65" s="441">
        <f t="shared" si="39"/>
        <v>35.648709775000007</v>
      </c>
      <c r="M65" s="441">
        <f t="shared" si="39"/>
        <v>35.648709775000007</v>
      </c>
      <c r="N65" s="441">
        <f t="shared" si="39"/>
        <v>35.648709775000007</v>
      </c>
      <c r="O65" s="441">
        <f t="shared" si="39"/>
        <v>35.648709775000007</v>
      </c>
      <c r="P65" s="441">
        <f t="shared" si="39"/>
        <v>35.648709775000007</v>
      </c>
      <c r="Q65" s="441">
        <f t="shared" si="39"/>
        <v>35.648709775000007</v>
      </c>
      <c r="R65" s="441">
        <f t="shared" si="39"/>
        <v>35.648709775000007</v>
      </c>
      <c r="S65" s="441">
        <f t="shared" si="39"/>
        <v>35.648709775000007</v>
      </c>
      <c r="T65" s="441">
        <f t="shared" si="39"/>
        <v>0</v>
      </c>
    </row>
    <row r="66" spans="1:20" s="1" customFormat="1" x14ac:dyDescent="0.2">
      <c r="A66" s="436"/>
      <c r="B66" s="442" t="s">
        <v>365</v>
      </c>
      <c r="C66" s="435">
        <f>SUM(C61:C65)</f>
        <v>283.64587500000005</v>
      </c>
      <c r="D66" s="435">
        <f t="shared" ref="D66:T66" si="40">SUM(D61:D65)</f>
        <v>283.64587500000005</v>
      </c>
      <c r="E66" s="435">
        <f t="shared" si="40"/>
        <v>437.61869225977665</v>
      </c>
      <c r="F66" s="435">
        <f t="shared" si="40"/>
        <v>530.50392044949945</v>
      </c>
      <c r="G66" s="435">
        <f t="shared" si="40"/>
        <v>578.78113737101069</v>
      </c>
      <c r="H66" s="435">
        <f t="shared" si="40"/>
        <v>574.53441138980679</v>
      </c>
      <c r="I66" s="435">
        <f t="shared" si="40"/>
        <v>572.89423312075917</v>
      </c>
      <c r="J66" s="435">
        <f t="shared" si="40"/>
        <v>555.23789527273584</v>
      </c>
      <c r="K66" s="435">
        <f t="shared" si="40"/>
        <v>555.82175493182672</v>
      </c>
      <c r="L66" s="435">
        <f t="shared" si="40"/>
        <v>555.82175493182672</v>
      </c>
      <c r="M66" s="435">
        <f t="shared" si="40"/>
        <v>555.82175493182672</v>
      </c>
      <c r="N66" s="435">
        <f t="shared" si="40"/>
        <v>555.82175493182672</v>
      </c>
      <c r="O66" s="435">
        <f t="shared" si="40"/>
        <v>555.82175493182672</v>
      </c>
      <c r="P66" s="435">
        <f t="shared" si="40"/>
        <v>555.82175493182672</v>
      </c>
      <c r="Q66" s="435">
        <f t="shared" si="40"/>
        <v>555.82175493182672</v>
      </c>
      <c r="R66" s="435">
        <f t="shared" si="40"/>
        <v>575.17234285996517</v>
      </c>
      <c r="S66" s="435">
        <f t="shared" si="40"/>
        <v>574.53441138980679</v>
      </c>
      <c r="T66" s="435">
        <f t="shared" si="40"/>
        <v>0</v>
      </c>
    </row>
    <row r="67" spans="1:20" s="1" customFormat="1" x14ac:dyDescent="0.2">
      <c r="A67" s="436"/>
      <c r="B67" s="443"/>
      <c r="C67" s="270"/>
      <c r="D67" s="270"/>
      <c r="E67" s="435"/>
      <c r="F67" s="435"/>
      <c r="G67" s="435"/>
      <c r="H67" s="435"/>
      <c r="I67" s="435"/>
      <c r="J67" s="435"/>
      <c r="K67" s="435"/>
      <c r="L67" s="435"/>
      <c r="M67" s="435"/>
      <c r="N67" s="435"/>
      <c r="O67" s="435"/>
      <c r="P67" s="435"/>
      <c r="Q67" s="435"/>
      <c r="R67" s="435"/>
      <c r="S67" s="435"/>
      <c r="T67" s="435"/>
    </row>
    <row r="68" spans="1:20" s="1" customFormat="1" x14ac:dyDescent="0.2">
      <c r="A68" s="436" t="s">
        <v>24</v>
      </c>
      <c r="B68" s="444" t="s">
        <v>366</v>
      </c>
      <c r="C68" s="270"/>
      <c r="D68" s="270"/>
      <c r="E68" s="445"/>
      <c r="F68" s="270"/>
      <c r="G68" s="270"/>
      <c r="H68" s="270"/>
      <c r="I68" s="270"/>
      <c r="J68" s="270"/>
      <c r="K68" s="270"/>
      <c r="L68" s="270"/>
      <c r="M68" s="270"/>
      <c r="N68" s="270"/>
      <c r="O68" s="270"/>
      <c r="P68" s="270"/>
      <c r="Q68" s="270"/>
      <c r="R68" s="270"/>
      <c r="S68" s="270"/>
      <c r="T68" s="270"/>
    </row>
    <row r="69" spans="1:20" s="1" customFormat="1" x14ac:dyDescent="0.2">
      <c r="A69" s="436">
        <v>1</v>
      </c>
      <c r="B69" s="437" t="s">
        <v>367</v>
      </c>
      <c r="C69" s="464">
        <f>Capex!B71/100/2</f>
        <v>283.64587500000005</v>
      </c>
      <c r="D69" s="464">
        <f>C69</f>
        <v>283.64587500000005</v>
      </c>
      <c r="E69" s="445">
        <v>0</v>
      </c>
      <c r="F69" s="270">
        <v>0</v>
      </c>
      <c r="G69" s="270">
        <v>0</v>
      </c>
      <c r="H69" s="270">
        <v>0</v>
      </c>
      <c r="I69" s="270">
        <v>0</v>
      </c>
      <c r="J69" s="270">
        <v>0</v>
      </c>
      <c r="K69" s="270">
        <v>0</v>
      </c>
      <c r="L69" s="270">
        <v>0</v>
      </c>
      <c r="M69" s="270">
        <v>0</v>
      </c>
      <c r="N69" s="270">
        <v>0</v>
      </c>
      <c r="O69" s="270">
        <v>0</v>
      </c>
      <c r="P69" s="270">
        <v>0</v>
      </c>
      <c r="Q69" s="270">
        <v>0</v>
      </c>
      <c r="R69" s="270">
        <v>0</v>
      </c>
      <c r="S69" s="270">
        <v>0</v>
      </c>
      <c r="T69" s="270">
        <v>1</v>
      </c>
    </row>
    <row r="70" spans="1:20" s="1" customFormat="1" x14ac:dyDescent="0.2">
      <c r="A70" s="436">
        <v>2</v>
      </c>
      <c r="B70" s="372" t="s">
        <v>523</v>
      </c>
      <c r="C70" s="270"/>
      <c r="D70" s="270"/>
      <c r="E70" s="446">
        <f>'Working Capital'!D13</f>
        <v>27.903532021736311</v>
      </c>
      <c r="F70" s="271">
        <f>'Working Capital'!E13-'Working Capital'!D13</f>
        <v>3.7748675388478752</v>
      </c>
      <c r="G70" s="271">
        <f>'Working Capital'!F13-'Working Capital'!E13</f>
        <v>5.6623013082718323</v>
      </c>
      <c r="H70" s="271">
        <f>'Working Capital'!G13-'Working Capital'!F13</f>
        <v>0</v>
      </c>
      <c r="I70" s="271">
        <f>'Working Capital'!H13-'Working Capital'!G13</f>
        <v>-7.2095748090013956E-2</v>
      </c>
      <c r="J70" s="271">
        <f>'Working Capital'!I13-'Working Capital'!H13</f>
        <v>-0.77847954545454456</v>
      </c>
      <c r="K70" s="271">
        <f>'Working Capital'!J13-'Working Capital'!I13</f>
        <v>0</v>
      </c>
      <c r="L70" s="271">
        <f>'Working Capital'!K13-'Working Capital'!J13</f>
        <v>0</v>
      </c>
      <c r="M70" s="271">
        <f>'Working Capital'!L13-'Working Capital'!K13</f>
        <v>0</v>
      </c>
      <c r="N70" s="271">
        <f>'Working Capital'!M13-'Working Capital'!L13</f>
        <v>0</v>
      </c>
      <c r="O70" s="271">
        <f>'Working Capital'!N13-'Working Capital'!M13</f>
        <v>0</v>
      </c>
      <c r="P70" s="271">
        <f>'Working Capital'!O13-'Working Capital'!N13</f>
        <v>0</v>
      </c>
      <c r="Q70" s="271">
        <f>'Working Capital'!P13-'Working Capital'!O13</f>
        <v>0</v>
      </c>
      <c r="R70" s="271">
        <f>'Working Capital'!Q13-'Working Capital'!P13</f>
        <v>0.85057529354455852</v>
      </c>
      <c r="S70" s="271">
        <f>'Working Capital'!R13-'Working Capital'!Q13</f>
        <v>0</v>
      </c>
      <c r="T70" s="271">
        <f>'Working Capital'!S13-'Working Capital'!R13</f>
        <v>-37.340700868856018</v>
      </c>
    </row>
    <row r="71" spans="1:20" s="1" customFormat="1" x14ac:dyDescent="0.2">
      <c r="A71" s="436">
        <v>3</v>
      </c>
      <c r="B71" s="372" t="s">
        <v>524</v>
      </c>
      <c r="C71" s="435"/>
      <c r="D71" s="435"/>
      <c r="E71" s="435">
        <f>E89</f>
        <v>58.129676507812512</v>
      </c>
      <c r="F71" s="435">
        <f t="shared" ref="F71:T71" si="41">F89</f>
        <v>58.129676507812512</v>
      </c>
      <c r="G71" s="435">
        <f t="shared" si="41"/>
        <v>58.129676507812512</v>
      </c>
      <c r="H71" s="435">
        <f t="shared" si="41"/>
        <v>58.129676507812512</v>
      </c>
      <c r="I71" s="435">
        <f t="shared" si="41"/>
        <v>58.129676507812512</v>
      </c>
      <c r="J71" s="435">
        <f t="shared" si="41"/>
        <v>58.129676507812512</v>
      </c>
      <c r="K71" s="435">
        <f t="shared" si="41"/>
        <v>58.129676507812512</v>
      </c>
      <c r="L71" s="435">
        <f t="shared" si="41"/>
        <v>58.129676507812512</v>
      </c>
      <c r="M71" s="435">
        <f>M89</f>
        <v>0</v>
      </c>
      <c r="N71" s="435">
        <f t="shared" si="41"/>
        <v>0</v>
      </c>
      <c r="O71" s="435">
        <f t="shared" si="41"/>
        <v>0</v>
      </c>
      <c r="P71" s="435">
        <f t="shared" si="41"/>
        <v>0</v>
      </c>
      <c r="Q71" s="435">
        <f t="shared" si="41"/>
        <v>0</v>
      </c>
      <c r="R71" s="435">
        <f t="shared" si="41"/>
        <v>0</v>
      </c>
      <c r="S71" s="435">
        <f t="shared" si="41"/>
        <v>0</v>
      </c>
      <c r="T71" s="435">
        <f t="shared" si="41"/>
        <v>0</v>
      </c>
    </row>
    <row r="72" spans="1:20" s="1" customFormat="1" x14ac:dyDescent="0.2">
      <c r="A72" s="436">
        <v>4</v>
      </c>
      <c r="B72" s="372" t="s">
        <v>368</v>
      </c>
      <c r="C72" s="270"/>
      <c r="D72" s="270"/>
      <c r="E72" s="435">
        <f t="shared" ref="E72:T72" si="42">F26</f>
        <v>41.85336708562501</v>
      </c>
      <c r="F72" s="435">
        <f t="shared" si="42"/>
        <v>36.621696199921878</v>
      </c>
      <c r="G72" s="435">
        <f t="shared" si="42"/>
        <v>31.390025314218754</v>
      </c>
      <c r="H72" s="435">
        <f t="shared" si="42"/>
        <v>26.158354428515626</v>
      </c>
      <c r="I72" s="435">
        <f t="shared" si="42"/>
        <v>20.926683542812501</v>
      </c>
      <c r="J72" s="435">
        <f t="shared" si="42"/>
        <v>15.695012657109375</v>
      </c>
      <c r="K72" s="435">
        <f t="shared" si="42"/>
        <v>10.463341771406247</v>
      </c>
      <c r="L72" s="435">
        <f t="shared" si="42"/>
        <v>5.2316708857031218</v>
      </c>
      <c r="M72" s="435">
        <f t="shared" si="42"/>
        <v>0</v>
      </c>
      <c r="N72" s="435">
        <f t="shared" si="42"/>
        <v>0</v>
      </c>
      <c r="O72" s="435">
        <f t="shared" si="42"/>
        <v>0</v>
      </c>
      <c r="P72" s="435">
        <f t="shared" si="42"/>
        <v>0</v>
      </c>
      <c r="Q72" s="435">
        <f t="shared" si="42"/>
        <v>0</v>
      </c>
      <c r="R72" s="435">
        <f t="shared" si="42"/>
        <v>0</v>
      </c>
      <c r="S72" s="435">
        <f t="shared" si="42"/>
        <v>0</v>
      </c>
      <c r="T72" s="435">
        <f t="shared" si="42"/>
        <v>0</v>
      </c>
    </row>
    <row r="73" spans="1:20" s="1" customFormat="1" x14ac:dyDescent="0.2">
      <c r="A73" s="436">
        <v>5</v>
      </c>
      <c r="B73" s="372" t="s">
        <v>525</v>
      </c>
      <c r="C73" s="270"/>
      <c r="D73" s="271"/>
      <c r="E73" s="446">
        <f t="shared" ref="E73:T73" si="43">F25</f>
        <v>1.6742119213041786</v>
      </c>
      <c r="F73" s="446">
        <f t="shared" si="43"/>
        <v>1.9007039736350513</v>
      </c>
      <c r="G73" s="446">
        <f t="shared" si="43"/>
        <v>2.2404420521313613</v>
      </c>
      <c r="H73" s="446">
        <f t="shared" si="43"/>
        <v>2.2404420521313613</v>
      </c>
      <c r="I73" s="446">
        <f t="shared" si="43"/>
        <v>2.2361163072459602</v>
      </c>
      <c r="J73" s="446">
        <f t="shared" si="43"/>
        <v>2.1894075345186876</v>
      </c>
      <c r="K73" s="446">
        <f t="shared" si="43"/>
        <v>2.1894075345186876</v>
      </c>
      <c r="L73" s="446">
        <f t="shared" si="43"/>
        <v>2.1894075345186876</v>
      </c>
      <c r="M73" s="446">
        <f t="shared" si="43"/>
        <v>2.1894075345186876</v>
      </c>
      <c r="N73" s="446">
        <f t="shared" si="43"/>
        <v>2.1894075345186876</v>
      </c>
      <c r="O73" s="446">
        <f t="shared" si="43"/>
        <v>2.1894075345186876</v>
      </c>
      <c r="P73" s="446">
        <f t="shared" si="43"/>
        <v>2.1894075345186876</v>
      </c>
      <c r="Q73" s="446">
        <f t="shared" si="43"/>
        <v>2.1894075345186876</v>
      </c>
      <c r="R73" s="446">
        <f t="shared" si="43"/>
        <v>2.2404420521313613</v>
      </c>
      <c r="S73" s="446">
        <f t="shared" si="43"/>
        <v>2.2404420521313613</v>
      </c>
      <c r="T73" s="446">
        <f t="shared" si="43"/>
        <v>0</v>
      </c>
    </row>
    <row r="74" spans="1:20" s="1" customFormat="1" x14ac:dyDescent="0.2">
      <c r="A74" s="436">
        <v>6</v>
      </c>
      <c r="B74" s="385" t="s">
        <v>526</v>
      </c>
      <c r="C74" s="270"/>
      <c r="D74" s="270"/>
      <c r="E74" s="435">
        <f t="shared" ref="E74:T74" si="44">F29</f>
        <v>116.01758514299972</v>
      </c>
      <c r="F74" s="435">
        <f t="shared" si="44"/>
        <v>159.22325648449186</v>
      </c>
      <c r="G74" s="435">
        <f t="shared" si="44"/>
        <v>179.36061512977412</v>
      </c>
      <c r="H74" s="435">
        <f t="shared" si="44"/>
        <v>182.55963582755606</v>
      </c>
      <c r="I74" s="435">
        <f t="shared" si="44"/>
        <v>184.72572265401021</v>
      </c>
      <c r="J74" s="435">
        <f t="shared" si="44"/>
        <v>181.05435795568576</v>
      </c>
      <c r="K74" s="435">
        <f t="shared" si="44"/>
        <v>183.02164065126289</v>
      </c>
      <c r="L74" s="435">
        <f t="shared" si="44"/>
        <v>184.6946826142611</v>
      </c>
      <c r="M74" s="435">
        <f t="shared" si="44"/>
        <v>186.11753478739149</v>
      </c>
      <c r="N74" s="435">
        <f t="shared" si="44"/>
        <v>187.327648988676</v>
      </c>
      <c r="O74" s="435">
        <f t="shared" si="44"/>
        <v>188.35686692847921</v>
      </c>
      <c r="P74" s="435">
        <f t="shared" si="44"/>
        <v>189.23226095915214</v>
      </c>
      <c r="Q74" s="435">
        <f t="shared" si="44"/>
        <v>189.97684878888029</v>
      </c>
      <c r="R74" s="435">
        <f t="shared" si="44"/>
        <v>197.14915173011639</v>
      </c>
      <c r="S74" s="435">
        <f t="shared" si="44"/>
        <v>197.68790851035345</v>
      </c>
      <c r="T74" s="435">
        <f t="shared" si="44"/>
        <v>0</v>
      </c>
    </row>
    <row r="75" spans="1:20" s="1" customFormat="1" x14ac:dyDescent="0.2">
      <c r="A75" s="436"/>
      <c r="B75" s="443" t="s">
        <v>369</v>
      </c>
      <c r="C75" s="435">
        <f t="shared" ref="C75:T75" si="45">SUM(C69:C74)</f>
        <v>283.64587500000005</v>
      </c>
      <c r="D75" s="435">
        <f t="shared" si="45"/>
        <v>283.64587500000005</v>
      </c>
      <c r="E75" s="435">
        <f t="shared" si="45"/>
        <v>245.57837267947775</v>
      </c>
      <c r="F75" s="271">
        <f t="shared" si="45"/>
        <v>259.65020070470916</v>
      </c>
      <c r="G75" s="271">
        <f t="shared" si="45"/>
        <v>276.78306031220859</v>
      </c>
      <c r="H75" s="271">
        <f t="shared" si="45"/>
        <v>269.08810881601556</v>
      </c>
      <c r="I75" s="271">
        <f t="shared" si="45"/>
        <v>265.9461032637912</v>
      </c>
      <c r="J75" s="271">
        <f t="shared" si="45"/>
        <v>256.28997510967179</v>
      </c>
      <c r="K75" s="271">
        <f t="shared" si="45"/>
        <v>253.80406646500035</v>
      </c>
      <c r="L75" s="271">
        <f t="shared" si="45"/>
        <v>250.24543754229541</v>
      </c>
      <c r="M75" s="271">
        <f t="shared" si="45"/>
        <v>188.30694232191019</v>
      </c>
      <c r="N75" s="271">
        <f t="shared" si="45"/>
        <v>189.5170565231947</v>
      </c>
      <c r="O75" s="271">
        <f t="shared" si="45"/>
        <v>190.5462744629979</v>
      </c>
      <c r="P75" s="271">
        <f t="shared" si="45"/>
        <v>191.42166849367084</v>
      </c>
      <c r="Q75" s="271">
        <f t="shared" si="45"/>
        <v>192.16625632339898</v>
      </c>
      <c r="R75" s="271">
        <f t="shared" si="45"/>
        <v>200.24016907579229</v>
      </c>
      <c r="S75" s="271">
        <f t="shared" si="45"/>
        <v>199.92835056248481</v>
      </c>
      <c r="T75" s="271">
        <f t="shared" si="45"/>
        <v>-36.340700868856018</v>
      </c>
    </row>
    <row r="76" spans="1:20" s="1" customFormat="1" x14ac:dyDescent="0.2">
      <c r="A76" s="436" t="s">
        <v>370</v>
      </c>
      <c r="B76" s="443" t="s">
        <v>371</v>
      </c>
      <c r="C76" s="435">
        <f t="shared" ref="C76:T76" si="46">C66-C75</f>
        <v>0</v>
      </c>
      <c r="D76" s="435">
        <f t="shared" si="46"/>
        <v>0</v>
      </c>
      <c r="E76" s="435">
        <f t="shared" si="46"/>
        <v>192.0403195802989</v>
      </c>
      <c r="F76" s="435">
        <f t="shared" si="46"/>
        <v>270.85371974479028</v>
      </c>
      <c r="G76" s="435">
        <f t="shared" si="46"/>
        <v>301.9980770588021</v>
      </c>
      <c r="H76" s="435">
        <f t="shared" si="46"/>
        <v>305.44630257379123</v>
      </c>
      <c r="I76" s="435">
        <f t="shared" si="46"/>
        <v>306.94812985696797</v>
      </c>
      <c r="J76" s="435">
        <f t="shared" si="46"/>
        <v>298.94792016306405</v>
      </c>
      <c r="K76" s="435">
        <f t="shared" si="46"/>
        <v>302.01768846682637</v>
      </c>
      <c r="L76" s="435">
        <f t="shared" si="46"/>
        <v>305.57631738953131</v>
      </c>
      <c r="M76" s="435">
        <f t="shared" si="46"/>
        <v>367.51481260991653</v>
      </c>
      <c r="N76" s="435">
        <f t="shared" si="46"/>
        <v>366.30469840863202</v>
      </c>
      <c r="O76" s="435">
        <f t="shared" si="46"/>
        <v>365.27548046882885</v>
      </c>
      <c r="P76" s="435">
        <f t="shared" si="46"/>
        <v>364.40008643815588</v>
      </c>
      <c r="Q76" s="435">
        <f t="shared" si="46"/>
        <v>363.65549860842771</v>
      </c>
      <c r="R76" s="435">
        <f t="shared" si="46"/>
        <v>374.93217378417285</v>
      </c>
      <c r="S76" s="435">
        <f t="shared" si="46"/>
        <v>374.60606082732198</v>
      </c>
      <c r="T76" s="435">
        <f t="shared" si="46"/>
        <v>36.340700868856018</v>
      </c>
    </row>
    <row r="77" spans="1:20" s="1" customFormat="1" x14ac:dyDescent="0.2">
      <c r="A77" s="436" t="s">
        <v>372</v>
      </c>
      <c r="B77" s="443" t="s">
        <v>527</v>
      </c>
      <c r="C77" s="270"/>
      <c r="D77" s="270"/>
      <c r="E77" s="435">
        <f>E76</f>
        <v>192.0403195802989</v>
      </c>
      <c r="F77" s="271">
        <f>F76+E77</f>
        <v>462.89403932508918</v>
      </c>
      <c r="G77" s="271">
        <f t="shared" ref="G77:T77" si="47">G76+F77</f>
        <v>764.89211638389133</v>
      </c>
      <c r="H77" s="271">
        <f t="shared" si="47"/>
        <v>1070.3384189576825</v>
      </c>
      <c r="I77" s="271">
        <f t="shared" si="47"/>
        <v>1377.2865488146504</v>
      </c>
      <c r="J77" s="271">
        <f t="shared" si="47"/>
        <v>1676.2344689777144</v>
      </c>
      <c r="K77" s="271">
        <f t="shared" si="47"/>
        <v>1978.2521574445409</v>
      </c>
      <c r="L77" s="271">
        <f t="shared" si="47"/>
        <v>2283.828474834072</v>
      </c>
      <c r="M77" s="271">
        <f t="shared" si="47"/>
        <v>2651.3432874439886</v>
      </c>
      <c r="N77" s="271">
        <f t="shared" si="47"/>
        <v>3017.6479858526209</v>
      </c>
      <c r="O77" s="271">
        <f t="shared" si="47"/>
        <v>3382.9234663214497</v>
      </c>
      <c r="P77" s="271">
        <f t="shared" si="47"/>
        <v>3747.3235527596057</v>
      </c>
      <c r="Q77" s="271">
        <f t="shared" si="47"/>
        <v>4110.9790513680337</v>
      </c>
      <c r="R77" s="271">
        <f t="shared" si="47"/>
        <v>4485.9112251522065</v>
      </c>
      <c r="S77" s="271">
        <f t="shared" si="47"/>
        <v>4860.5172859795284</v>
      </c>
      <c r="T77" s="271">
        <f t="shared" si="47"/>
        <v>4896.8579868483848</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7"/>
    </row>
    <row r="80" spans="1:20" s="1" customFormat="1" x14ac:dyDescent="0.2">
      <c r="A80" s="557"/>
      <c r="B80" s="557" t="s">
        <v>287</v>
      </c>
      <c r="C80" s="448"/>
      <c r="D80" s="448"/>
      <c r="E80" s="448"/>
      <c r="F80" s="448"/>
      <c r="G80" s="448"/>
      <c r="H80" s="448"/>
      <c r="I80" s="448"/>
      <c r="J80" s="448"/>
      <c r="K80" s="448"/>
      <c r="L80" s="448"/>
      <c r="M80" s="448"/>
      <c r="N80" s="448"/>
      <c r="O80" s="448"/>
      <c r="P80" s="448"/>
      <c r="Q80" s="448"/>
      <c r="R80" s="448"/>
    </row>
    <row r="81" spans="1:20" s="319" customFormat="1" x14ac:dyDescent="0.2">
      <c r="A81" s="558"/>
      <c r="B81" s="559"/>
      <c r="C81" s="448"/>
      <c r="D81" s="448"/>
      <c r="E81" s="448"/>
      <c r="F81" s="448"/>
      <c r="G81" s="448"/>
      <c r="H81" s="448"/>
      <c r="I81" s="448"/>
      <c r="J81" s="448"/>
      <c r="K81" s="448"/>
      <c r="L81" s="448"/>
      <c r="M81" s="448"/>
      <c r="N81" s="448"/>
      <c r="O81" s="448"/>
      <c r="P81" s="448"/>
      <c r="Q81" s="448"/>
      <c r="R81" s="448"/>
    </row>
    <row r="82" spans="1:20" s="319" customFormat="1" x14ac:dyDescent="0.2">
      <c r="A82" s="448"/>
      <c r="B82" s="560" t="s">
        <v>288</v>
      </c>
      <c r="C82" s="561">
        <v>1</v>
      </c>
      <c r="D82" s="448"/>
      <c r="E82" s="448"/>
      <c r="F82" s="448"/>
      <c r="G82" s="448"/>
      <c r="H82" s="448"/>
      <c r="I82" s="448"/>
      <c r="J82" s="448"/>
      <c r="K82" s="448"/>
      <c r="L82" s="448"/>
      <c r="M82" s="448"/>
      <c r="N82" s="448"/>
      <c r="O82" s="448"/>
      <c r="P82" s="448"/>
      <c r="Q82" s="448"/>
      <c r="R82" s="448"/>
    </row>
    <row r="83" spans="1:20" s="319" customFormat="1" x14ac:dyDescent="0.2">
      <c r="A83" s="448"/>
      <c r="B83" s="562" t="s">
        <v>289</v>
      </c>
      <c r="C83" s="563">
        <v>8</v>
      </c>
      <c r="D83" s="448"/>
      <c r="E83" s="448"/>
      <c r="F83" s="448"/>
      <c r="G83" s="448"/>
      <c r="H83" s="448"/>
      <c r="I83" s="448"/>
      <c r="J83" s="448"/>
      <c r="K83" s="448"/>
      <c r="L83" s="448"/>
      <c r="M83" s="448"/>
      <c r="N83" s="448"/>
      <c r="O83" s="448"/>
      <c r="P83" s="448"/>
      <c r="Q83" s="448"/>
      <c r="R83" s="448"/>
    </row>
    <row r="84" spans="1:20" s="319" customFormat="1" x14ac:dyDescent="0.2">
      <c r="A84" s="448"/>
      <c r="B84" s="562" t="s">
        <v>280</v>
      </c>
      <c r="C84" s="564">
        <f>Norms!B52</f>
        <v>0.09</v>
      </c>
      <c r="D84" s="448"/>
      <c r="E84" s="448"/>
      <c r="F84" s="448"/>
      <c r="G84" s="448"/>
      <c r="H84" s="448"/>
      <c r="I84" s="448"/>
      <c r="J84" s="448"/>
      <c r="K84" s="448"/>
      <c r="L84" s="448"/>
      <c r="M84" s="448"/>
      <c r="N84" s="448"/>
      <c r="O84" s="448"/>
      <c r="P84" s="448"/>
      <c r="Q84" s="448"/>
      <c r="R84" s="448"/>
    </row>
    <row r="85" spans="1:20" s="319" customFormat="1" x14ac:dyDescent="0.2">
      <c r="A85" s="448"/>
      <c r="B85" s="562" t="s">
        <v>290</v>
      </c>
      <c r="C85" s="565">
        <f>Capex!B76/100</f>
        <v>465.0374120625001</v>
      </c>
      <c r="D85" s="566"/>
      <c r="E85" s="448"/>
      <c r="F85" s="448"/>
      <c r="G85" s="448"/>
      <c r="H85" s="448"/>
      <c r="I85" s="448"/>
      <c r="J85" s="448"/>
      <c r="K85" s="448"/>
      <c r="L85" s="448"/>
      <c r="M85" s="448"/>
      <c r="N85" s="448"/>
      <c r="O85" s="448"/>
      <c r="P85" s="448"/>
      <c r="Q85" s="448"/>
      <c r="R85" s="448"/>
    </row>
    <row r="86" spans="1:20" s="319" customFormat="1" x14ac:dyDescent="0.2">
      <c r="A86" s="448"/>
      <c r="B86" s="562" t="s">
        <v>291</v>
      </c>
      <c r="C86" s="565">
        <f>C85/C83</f>
        <v>58.129676507812512</v>
      </c>
      <c r="D86" s="448"/>
      <c r="E86" s="448"/>
      <c r="F86" s="448"/>
      <c r="G86" s="448"/>
      <c r="H86" s="448"/>
      <c r="I86" s="448"/>
      <c r="J86" s="448"/>
      <c r="K86" s="448"/>
      <c r="L86" s="448"/>
      <c r="M86" s="448"/>
      <c r="N86" s="448"/>
      <c r="O86" s="448"/>
      <c r="P86" s="448"/>
      <c r="Q86" s="448"/>
      <c r="R86" s="448"/>
    </row>
    <row r="87" spans="1:20" s="319" customFormat="1" x14ac:dyDescent="0.2">
      <c r="A87" s="448"/>
      <c r="B87" s="448"/>
      <c r="C87" s="448"/>
      <c r="D87" s="448"/>
      <c r="E87" s="448"/>
      <c r="F87" s="448"/>
      <c r="G87" s="448"/>
      <c r="H87" s="448"/>
      <c r="I87" s="448"/>
      <c r="J87" s="448"/>
      <c r="K87" s="448"/>
      <c r="L87" s="448"/>
      <c r="M87" s="448"/>
      <c r="N87" s="448"/>
      <c r="O87" s="448"/>
      <c r="P87" s="448"/>
      <c r="Q87" s="448"/>
      <c r="R87" s="448"/>
    </row>
    <row r="88" spans="1:20" s="319" customFormat="1" x14ac:dyDescent="0.2">
      <c r="A88" s="567"/>
      <c r="B88" s="567"/>
      <c r="C88" s="568" t="s">
        <v>501</v>
      </c>
      <c r="D88" s="569">
        <v>-1</v>
      </c>
      <c r="E88" s="569">
        <v>1</v>
      </c>
      <c r="F88" s="569">
        <v>2</v>
      </c>
      <c r="G88" s="569">
        <v>3</v>
      </c>
      <c r="H88" s="569">
        <v>4</v>
      </c>
      <c r="I88" s="569">
        <v>5</v>
      </c>
      <c r="J88" s="569">
        <v>6</v>
      </c>
      <c r="K88" s="569">
        <v>7</v>
      </c>
      <c r="L88" s="569">
        <v>8</v>
      </c>
      <c r="M88" s="569">
        <v>9</v>
      </c>
      <c r="N88" s="569">
        <v>10</v>
      </c>
      <c r="O88" s="569">
        <v>11</v>
      </c>
      <c r="P88" s="569">
        <v>12</v>
      </c>
      <c r="Q88" s="569">
        <v>13</v>
      </c>
      <c r="R88" s="569">
        <v>14</v>
      </c>
      <c r="S88" s="451">
        <v>15</v>
      </c>
    </row>
    <row r="89" spans="1:20" s="319" customFormat="1" x14ac:dyDescent="0.2">
      <c r="A89" s="562"/>
      <c r="B89" s="562" t="s">
        <v>293</v>
      </c>
      <c r="C89" s="561"/>
      <c r="D89" s="561"/>
      <c r="E89" s="563">
        <f>IF(E88&lt;=$C$83,$C$86,0)</f>
        <v>58.129676507812512</v>
      </c>
      <c r="F89" s="563">
        <f t="shared" ref="F89:S89" si="48">IF(F88&lt;=$C$83,$C$86,0)</f>
        <v>58.129676507812512</v>
      </c>
      <c r="G89" s="563">
        <f t="shared" si="48"/>
        <v>58.129676507812512</v>
      </c>
      <c r="H89" s="563">
        <f t="shared" si="48"/>
        <v>58.129676507812512</v>
      </c>
      <c r="I89" s="563">
        <f t="shared" si="48"/>
        <v>58.129676507812512</v>
      </c>
      <c r="J89" s="563">
        <f t="shared" si="48"/>
        <v>58.129676507812512</v>
      </c>
      <c r="K89" s="563">
        <f t="shared" si="48"/>
        <v>58.129676507812512</v>
      </c>
      <c r="L89" s="563">
        <f t="shared" si="48"/>
        <v>58.129676507812512</v>
      </c>
      <c r="M89" s="563">
        <f t="shared" si="48"/>
        <v>0</v>
      </c>
      <c r="N89" s="563">
        <f t="shared" si="48"/>
        <v>0</v>
      </c>
      <c r="O89" s="563">
        <f t="shared" si="48"/>
        <v>0</v>
      </c>
      <c r="P89" s="563">
        <f t="shared" si="48"/>
        <v>0</v>
      </c>
      <c r="Q89" s="563">
        <f t="shared" si="48"/>
        <v>0</v>
      </c>
      <c r="R89" s="563">
        <f t="shared" si="48"/>
        <v>0</v>
      </c>
      <c r="S89" s="449">
        <f t="shared" si="48"/>
        <v>0</v>
      </c>
    </row>
    <row r="90" spans="1:20" s="319" customFormat="1" x14ac:dyDescent="0.2">
      <c r="A90" s="562"/>
      <c r="B90" s="562" t="s">
        <v>294</v>
      </c>
      <c r="C90" s="565"/>
      <c r="D90" s="565"/>
      <c r="E90" s="565">
        <f>C85</f>
        <v>465.0374120625001</v>
      </c>
      <c r="F90" s="565">
        <f>E90-E89</f>
        <v>406.90773555468758</v>
      </c>
      <c r="G90" s="565">
        <f t="shared" ref="G90:S90" si="49">F90-F89</f>
        <v>348.77805904687506</v>
      </c>
      <c r="H90" s="565">
        <f t="shared" si="49"/>
        <v>290.64838253906254</v>
      </c>
      <c r="I90" s="565">
        <f t="shared" si="49"/>
        <v>232.51870603125002</v>
      </c>
      <c r="J90" s="565">
        <f t="shared" si="49"/>
        <v>174.3890295234375</v>
      </c>
      <c r="K90" s="565">
        <f t="shared" si="49"/>
        <v>116.25935301562498</v>
      </c>
      <c r="L90" s="565">
        <f t="shared" si="49"/>
        <v>58.129676507812469</v>
      </c>
      <c r="M90" s="565">
        <f t="shared" si="49"/>
        <v>0</v>
      </c>
      <c r="N90" s="565">
        <f t="shared" si="49"/>
        <v>0</v>
      </c>
      <c r="O90" s="565">
        <f t="shared" si="49"/>
        <v>0</v>
      </c>
      <c r="P90" s="565">
        <f t="shared" si="49"/>
        <v>0</v>
      </c>
      <c r="Q90" s="565">
        <f t="shared" si="49"/>
        <v>0</v>
      </c>
      <c r="R90" s="565">
        <f t="shared" si="49"/>
        <v>0</v>
      </c>
      <c r="S90" s="450">
        <f t="shared" si="49"/>
        <v>0</v>
      </c>
    </row>
    <row r="91" spans="1:20" s="319" customFormat="1" x14ac:dyDescent="0.2">
      <c r="A91" s="562"/>
      <c r="B91" s="562" t="s">
        <v>500</v>
      </c>
      <c r="C91" s="563"/>
      <c r="D91" s="563"/>
      <c r="E91" s="563">
        <f t="shared" ref="E91:S91" si="50">E90*$C$84</f>
        <v>41.85336708562501</v>
      </c>
      <c r="F91" s="563">
        <f t="shared" si="50"/>
        <v>36.621696199921878</v>
      </c>
      <c r="G91" s="563">
        <f t="shared" si="50"/>
        <v>31.390025314218754</v>
      </c>
      <c r="H91" s="563">
        <f t="shared" si="50"/>
        <v>26.158354428515626</v>
      </c>
      <c r="I91" s="563">
        <f t="shared" si="50"/>
        <v>20.926683542812501</v>
      </c>
      <c r="J91" s="563">
        <f t="shared" si="50"/>
        <v>15.695012657109375</v>
      </c>
      <c r="K91" s="563">
        <f t="shared" si="50"/>
        <v>10.463341771406247</v>
      </c>
      <c r="L91" s="563">
        <f t="shared" si="50"/>
        <v>5.2316708857031218</v>
      </c>
      <c r="M91" s="563">
        <f t="shared" si="50"/>
        <v>0</v>
      </c>
      <c r="N91" s="563">
        <f t="shared" si="50"/>
        <v>0</v>
      </c>
      <c r="O91" s="563">
        <f t="shared" si="50"/>
        <v>0</v>
      </c>
      <c r="P91" s="563">
        <f t="shared" si="50"/>
        <v>0</v>
      </c>
      <c r="Q91" s="563">
        <f t="shared" si="50"/>
        <v>0</v>
      </c>
      <c r="R91" s="563">
        <f t="shared" si="50"/>
        <v>0</v>
      </c>
      <c r="S91" s="449">
        <f t="shared" si="50"/>
        <v>0</v>
      </c>
    </row>
    <row r="92" spans="1:20" s="319" customFormat="1" x14ac:dyDescent="0.2">
      <c r="A92" s="349"/>
      <c r="B92" s="349"/>
      <c r="C92" s="349"/>
      <c r="D92" s="349"/>
      <c r="E92" s="349"/>
      <c r="F92" s="349"/>
      <c r="G92" s="349"/>
      <c r="H92" s="349"/>
      <c r="I92" s="349"/>
      <c r="J92" s="349"/>
      <c r="K92" s="349"/>
      <c r="L92" s="349"/>
      <c r="M92" s="349"/>
      <c r="N92" s="349"/>
      <c r="O92" s="349"/>
      <c r="P92" s="349"/>
      <c r="Q92" s="349"/>
      <c r="R92" s="349"/>
    </row>
    <row r="93" spans="1:20" s="1" customFormat="1" x14ac:dyDescent="0.2">
      <c r="A93" s="349"/>
      <c r="B93" s="349"/>
      <c r="C93" s="349"/>
      <c r="D93" s="349"/>
      <c r="E93" s="349"/>
      <c r="F93" s="349"/>
      <c r="G93" s="349"/>
      <c r="H93" s="349"/>
      <c r="I93" s="349"/>
      <c r="J93" s="349"/>
      <c r="K93" s="349"/>
      <c r="L93" s="349"/>
      <c r="M93" s="349"/>
      <c r="N93" s="349"/>
      <c r="O93" s="349"/>
      <c r="P93" s="349"/>
      <c r="Q93" s="349"/>
      <c r="R93" s="349"/>
    </row>
    <row r="94" spans="1:20" s="319" customFormat="1" x14ac:dyDescent="0.2">
      <c r="A94" s="755" t="s">
        <v>373</v>
      </c>
      <c r="B94" s="755"/>
      <c r="C94" s="755"/>
      <c r="D94" s="755"/>
      <c r="E94" s="755"/>
      <c r="F94" s="755"/>
      <c r="G94" s="755"/>
      <c r="H94" s="755"/>
      <c r="I94" s="755"/>
      <c r="J94" s="755"/>
      <c r="K94" s="755"/>
      <c r="L94" s="755"/>
      <c r="M94" s="755"/>
      <c r="N94" s="755"/>
      <c r="O94" s="755"/>
      <c r="P94" s="755"/>
      <c r="Q94" s="755"/>
      <c r="R94" s="349"/>
    </row>
    <row r="95" spans="1:20" s="319" customFormat="1" x14ac:dyDescent="0.2">
      <c r="A95" s="570" t="s">
        <v>332</v>
      </c>
      <c r="B95" s="571" t="s">
        <v>333</v>
      </c>
      <c r="C95" s="572" t="s">
        <v>362</v>
      </c>
      <c r="D95" s="572" t="s">
        <v>334</v>
      </c>
      <c r="E95" s="572" t="s">
        <v>335</v>
      </c>
      <c r="F95" s="572" t="s">
        <v>336</v>
      </c>
      <c r="G95" s="572" t="s">
        <v>337</v>
      </c>
      <c r="H95" s="572" t="s">
        <v>338</v>
      </c>
      <c r="I95" s="572" t="s">
        <v>339</v>
      </c>
      <c r="J95" s="572" t="s">
        <v>340</v>
      </c>
      <c r="K95" s="572" t="s">
        <v>341</v>
      </c>
      <c r="L95" s="572" t="s">
        <v>342</v>
      </c>
      <c r="M95" s="572">
        <v>11</v>
      </c>
      <c r="N95" s="572" t="s">
        <v>344</v>
      </c>
      <c r="O95" s="572" t="s">
        <v>345</v>
      </c>
      <c r="P95" s="572" t="s">
        <v>346</v>
      </c>
      <c r="Q95" s="572" t="s">
        <v>347</v>
      </c>
      <c r="R95" s="572" t="s">
        <v>374</v>
      </c>
      <c r="S95" s="452" t="s">
        <v>375</v>
      </c>
      <c r="T95" s="452" t="s">
        <v>376</v>
      </c>
    </row>
    <row r="96" spans="1:20" s="319" customFormat="1" x14ac:dyDescent="0.2">
      <c r="A96" s="570" t="s">
        <v>348</v>
      </c>
      <c r="B96" s="571"/>
      <c r="C96" s="573"/>
      <c r="D96" s="573"/>
      <c r="E96" s="573"/>
      <c r="F96" s="573"/>
      <c r="G96" s="573"/>
      <c r="H96" s="573"/>
      <c r="I96" s="573"/>
      <c r="J96" s="573"/>
      <c r="K96" s="573"/>
      <c r="L96" s="573"/>
      <c r="M96" s="573"/>
      <c r="N96" s="573"/>
      <c r="O96" s="573"/>
      <c r="P96" s="573"/>
      <c r="Q96" s="573"/>
      <c r="R96" s="573"/>
      <c r="S96" s="453"/>
      <c r="T96" s="453"/>
    </row>
    <row r="97" spans="1:21" s="319" customFormat="1" x14ac:dyDescent="0.2">
      <c r="A97" s="574">
        <v>1</v>
      </c>
      <c r="B97" s="575" t="s">
        <v>377</v>
      </c>
      <c r="C97" s="576">
        <f t="shared" ref="C97:T97" si="51">F24</f>
        <v>381.04233346847445</v>
      </c>
      <c r="D97" s="576">
        <f t="shared" si="51"/>
        <v>492.02406002036355</v>
      </c>
      <c r="E97" s="576">
        <f t="shared" si="51"/>
        <v>538.88570161480675</v>
      </c>
      <c r="F97" s="576">
        <f t="shared" si="51"/>
        <v>538.88570161480675</v>
      </c>
      <c r="G97" s="576">
        <f t="shared" si="51"/>
        <v>537.29959515682663</v>
      </c>
      <c r="H97" s="576">
        <f t="shared" si="51"/>
        <v>520.17304515682667</v>
      </c>
      <c r="I97" s="576">
        <f t="shared" si="51"/>
        <v>520.17304515682667</v>
      </c>
      <c r="J97" s="576">
        <f t="shared" si="51"/>
        <v>520.17304515682667</v>
      </c>
      <c r="K97" s="576">
        <f t="shared" si="51"/>
        <v>520.17304515682667</v>
      </c>
      <c r="L97" s="576">
        <f t="shared" si="51"/>
        <v>520.17304515682667</v>
      </c>
      <c r="M97" s="576">
        <f t="shared" si="51"/>
        <v>520.17304515682667</v>
      </c>
      <c r="N97" s="576">
        <f t="shared" si="51"/>
        <v>520.17304515682667</v>
      </c>
      <c r="O97" s="576">
        <f t="shared" si="51"/>
        <v>520.17304515682667</v>
      </c>
      <c r="P97" s="576">
        <f t="shared" si="51"/>
        <v>538.88570161480675</v>
      </c>
      <c r="Q97" s="576">
        <f t="shared" si="51"/>
        <v>538.88570161480675</v>
      </c>
      <c r="R97" s="576">
        <f t="shared" si="51"/>
        <v>0</v>
      </c>
      <c r="S97" s="454">
        <f t="shared" si="51"/>
        <v>0</v>
      </c>
      <c r="T97" s="454">
        <f t="shared" si="51"/>
        <v>0</v>
      </c>
    </row>
    <row r="98" spans="1:21" s="319" customFormat="1" x14ac:dyDescent="0.2">
      <c r="A98" s="574">
        <v>2</v>
      </c>
      <c r="B98" s="575" t="s">
        <v>378</v>
      </c>
      <c r="C98" s="576">
        <f t="shared" ref="C98:T98" si="52">F27</f>
        <v>35.648709775000007</v>
      </c>
      <c r="D98" s="576">
        <f t="shared" si="52"/>
        <v>35.648709775000007</v>
      </c>
      <c r="E98" s="576">
        <f t="shared" si="52"/>
        <v>35.648709775000007</v>
      </c>
      <c r="F98" s="576">
        <f t="shared" si="52"/>
        <v>35.648709775000007</v>
      </c>
      <c r="G98" s="576">
        <f t="shared" si="52"/>
        <v>35.648709775000007</v>
      </c>
      <c r="H98" s="576">
        <f t="shared" si="52"/>
        <v>35.648709775000007</v>
      </c>
      <c r="I98" s="576">
        <f t="shared" si="52"/>
        <v>35.648709775000007</v>
      </c>
      <c r="J98" s="576">
        <f t="shared" si="52"/>
        <v>35.648709775000007</v>
      </c>
      <c r="K98" s="576">
        <f t="shared" si="52"/>
        <v>35.648709775000007</v>
      </c>
      <c r="L98" s="576">
        <f t="shared" si="52"/>
        <v>35.648709775000007</v>
      </c>
      <c r="M98" s="576">
        <f t="shared" si="52"/>
        <v>35.648709775000007</v>
      </c>
      <c r="N98" s="576">
        <f t="shared" si="52"/>
        <v>35.648709775000007</v>
      </c>
      <c r="O98" s="576">
        <f t="shared" si="52"/>
        <v>35.648709775000007</v>
      </c>
      <c r="P98" s="576">
        <f t="shared" si="52"/>
        <v>35.648709775000007</v>
      </c>
      <c r="Q98" s="576">
        <f t="shared" si="52"/>
        <v>35.648709775000007</v>
      </c>
      <c r="R98" s="576">
        <f t="shared" si="52"/>
        <v>0</v>
      </c>
      <c r="S98" s="454">
        <f t="shared" si="52"/>
        <v>0</v>
      </c>
      <c r="T98" s="454">
        <f t="shared" si="52"/>
        <v>0</v>
      </c>
    </row>
    <row r="99" spans="1:21" s="319" customFormat="1" x14ac:dyDescent="0.2">
      <c r="A99" s="574">
        <v>3</v>
      </c>
      <c r="B99" s="577" t="s">
        <v>379</v>
      </c>
      <c r="C99" s="576">
        <f>Depreciation!D20</f>
        <v>84.681012500000008</v>
      </c>
      <c r="D99" s="576">
        <f>Depreciation!E20</f>
        <v>72.020135625000009</v>
      </c>
      <c r="E99" s="576">
        <f>Depreciation!F20</f>
        <v>61.254262781250013</v>
      </c>
      <c r="F99" s="576">
        <f>Depreciation!G20</f>
        <v>52.099556114062523</v>
      </c>
      <c r="G99" s="576">
        <f>Depreciation!H20</f>
        <v>44.314712171953133</v>
      </c>
      <c r="H99" s="576">
        <f>Depreciation!I20</f>
        <v>37.694585873660159</v>
      </c>
      <c r="I99" s="576">
        <f>Depreciation!J20</f>
        <v>32.064770467361143</v>
      </c>
      <c r="J99" s="576">
        <f>Depreciation!K20</f>
        <v>27.276990124531963</v>
      </c>
      <c r="K99" s="576">
        <f>Depreciation!L20</f>
        <v>23.205183310399672</v>
      </c>
      <c r="L99" s="576">
        <f>Depreciation!M20</f>
        <v>19.742173347932471</v>
      </c>
      <c r="M99" s="576">
        <f>Depreciation!N20</f>
        <v>16.796838126426078</v>
      </c>
      <c r="N99" s="576">
        <f>Depreciation!O20</f>
        <v>14.291704110077291</v>
      </c>
      <c r="O99" s="576">
        <f>Depreciation!P20</f>
        <v>12.160901025919314</v>
      </c>
      <c r="P99" s="576">
        <f>Depreciation!Q20</f>
        <v>10.348423151149666</v>
      </c>
      <c r="Q99" s="576">
        <f>Depreciation!R20</f>
        <v>8.8066512296836414</v>
      </c>
      <c r="R99" s="576">
        <f>Depreciation!S20</f>
        <v>0</v>
      </c>
      <c r="S99" s="454">
        <f>Depreciation!T20</f>
        <v>0</v>
      </c>
      <c r="T99" s="454">
        <f>Depreciation!U20</f>
        <v>0</v>
      </c>
    </row>
    <row r="100" spans="1:21" s="319" customFormat="1" x14ac:dyDescent="0.2">
      <c r="A100" s="574">
        <v>4</v>
      </c>
      <c r="B100" s="575" t="s">
        <v>502</v>
      </c>
      <c r="C100" s="576">
        <f>C97+C98-C99</f>
        <v>332.01003074347443</v>
      </c>
      <c r="D100" s="576">
        <f t="shared" ref="D100:K100" si="53">D97+D98-D99</f>
        <v>455.65263417036357</v>
      </c>
      <c r="E100" s="576">
        <f t="shared" si="53"/>
        <v>513.28014860855683</v>
      </c>
      <c r="F100" s="576">
        <f t="shared" si="53"/>
        <v>522.43485527574421</v>
      </c>
      <c r="G100" s="576">
        <f t="shared" si="53"/>
        <v>528.63359275987352</v>
      </c>
      <c r="H100" s="576">
        <f t="shared" si="53"/>
        <v>518.1271690581666</v>
      </c>
      <c r="I100" s="576">
        <f t="shared" si="53"/>
        <v>523.75698446446563</v>
      </c>
      <c r="J100" s="576">
        <f t="shared" si="53"/>
        <v>528.54476480729477</v>
      </c>
      <c r="K100" s="576">
        <f t="shared" si="53"/>
        <v>532.61657162142706</v>
      </c>
      <c r="L100" s="576">
        <f>L97+L98-L99</f>
        <v>536.0795815838942</v>
      </c>
      <c r="M100" s="576">
        <f t="shared" ref="M100" si="54">M97+M98-M99</f>
        <v>539.02491680540061</v>
      </c>
      <c r="N100" s="576">
        <f t="shared" ref="N100" si="55">N97+N98-N99</f>
        <v>541.53005082174946</v>
      </c>
      <c r="O100" s="576">
        <f t="shared" ref="O100" si="56">O97+O98-O99</f>
        <v>543.6608539059074</v>
      </c>
      <c r="P100" s="576">
        <f t="shared" ref="P100" si="57">P97+P98-P99</f>
        <v>564.18598823865716</v>
      </c>
      <c r="Q100" s="576">
        <f t="shared" ref="Q100" si="58">Q97+Q98-Q99</f>
        <v>565.72776016012313</v>
      </c>
      <c r="R100" s="576">
        <f t="shared" ref="R100" si="59">R97+R98-R99</f>
        <v>0</v>
      </c>
      <c r="S100" s="454">
        <f t="shared" ref="S100" si="60">S97+S98-S99</f>
        <v>0</v>
      </c>
      <c r="T100" s="455">
        <f t="shared" ref="T100" si="61">T97+T98-T99</f>
        <v>0</v>
      </c>
    </row>
    <row r="101" spans="1:21" s="319" customFormat="1" x14ac:dyDescent="0.2">
      <c r="A101" s="574">
        <v>5</v>
      </c>
      <c r="B101" s="575" t="s">
        <v>380</v>
      </c>
      <c r="C101" s="576">
        <v>0</v>
      </c>
      <c r="D101" s="576">
        <f>IF(C102&gt;0,0,C102)</f>
        <v>0</v>
      </c>
      <c r="E101" s="576">
        <f t="shared" ref="E101:T101" si="62">IF(D102&gt;0,0,D102)</f>
        <v>0</v>
      </c>
      <c r="F101" s="576">
        <f t="shared" si="62"/>
        <v>0</v>
      </c>
      <c r="G101" s="576">
        <f t="shared" si="62"/>
        <v>0</v>
      </c>
      <c r="H101" s="576">
        <f t="shared" si="62"/>
        <v>0</v>
      </c>
      <c r="I101" s="576">
        <f t="shared" si="62"/>
        <v>0</v>
      </c>
      <c r="J101" s="576">
        <f t="shared" si="62"/>
        <v>0</v>
      </c>
      <c r="K101" s="576">
        <f t="shared" si="62"/>
        <v>0</v>
      </c>
      <c r="L101" s="576">
        <f t="shared" si="62"/>
        <v>0</v>
      </c>
      <c r="M101" s="576">
        <f t="shared" si="62"/>
        <v>0</v>
      </c>
      <c r="N101" s="576">
        <f t="shared" si="62"/>
        <v>0</v>
      </c>
      <c r="O101" s="576">
        <f t="shared" si="62"/>
        <v>0</v>
      </c>
      <c r="P101" s="576">
        <f t="shared" si="62"/>
        <v>0</v>
      </c>
      <c r="Q101" s="576">
        <f t="shared" si="62"/>
        <v>0</v>
      </c>
      <c r="R101" s="576">
        <f t="shared" si="62"/>
        <v>0</v>
      </c>
      <c r="S101" s="455">
        <f t="shared" si="62"/>
        <v>0</v>
      </c>
      <c r="T101" s="455">
        <f t="shared" si="62"/>
        <v>0</v>
      </c>
    </row>
    <row r="102" spans="1:21" s="319" customFormat="1" x14ac:dyDescent="0.2">
      <c r="A102" s="574">
        <v>6</v>
      </c>
      <c r="B102" s="575" t="s">
        <v>381</v>
      </c>
      <c r="C102" s="576">
        <f>C100+C101</f>
        <v>332.01003074347443</v>
      </c>
      <c r="D102" s="576">
        <f t="shared" ref="D102:T102" si="63">D100+D101</f>
        <v>455.65263417036357</v>
      </c>
      <c r="E102" s="576">
        <f t="shared" si="63"/>
        <v>513.28014860855683</v>
      </c>
      <c r="F102" s="576">
        <f t="shared" si="63"/>
        <v>522.43485527574421</v>
      </c>
      <c r="G102" s="576">
        <f t="shared" si="63"/>
        <v>528.63359275987352</v>
      </c>
      <c r="H102" s="576">
        <f t="shared" si="63"/>
        <v>518.1271690581666</v>
      </c>
      <c r="I102" s="576">
        <f t="shared" si="63"/>
        <v>523.75698446446563</v>
      </c>
      <c r="J102" s="576">
        <f t="shared" si="63"/>
        <v>528.54476480729477</v>
      </c>
      <c r="K102" s="576">
        <f t="shared" si="63"/>
        <v>532.61657162142706</v>
      </c>
      <c r="L102" s="576">
        <f t="shared" si="63"/>
        <v>536.0795815838942</v>
      </c>
      <c r="M102" s="576">
        <f t="shared" si="63"/>
        <v>539.02491680540061</v>
      </c>
      <c r="N102" s="576">
        <f t="shared" si="63"/>
        <v>541.53005082174946</v>
      </c>
      <c r="O102" s="576">
        <f t="shared" si="63"/>
        <v>543.6608539059074</v>
      </c>
      <c r="P102" s="576">
        <f t="shared" si="63"/>
        <v>564.18598823865716</v>
      </c>
      <c r="Q102" s="576">
        <f t="shared" si="63"/>
        <v>565.72776016012313</v>
      </c>
      <c r="R102" s="576">
        <f t="shared" si="63"/>
        <v>0</v>
      </c>
      <c r="S102" s="455">
        <f t="shared" si="63"/>
        <v>0</v>
      </c>
      <c r="T102" s="455">
        <f t="shared" si="63"/>
        <v>0</v>
      </c>
    </row>
    <row r="103" spans="1:21" s="319" customFormat="1" x14ac:dyDescent="0.2">
      <c r="A103" s="574">
        <v>7</v>
      </c>
      <c r="B103" s="575" t="s">
        <v>382</v>
      </c>
      <c r="C103" s="576">
        <f>IF(C102&gt;0,C102*$C$51,0)</f>
        <v>116.01758514299972</v>
      </c>
      <c r="D103" s="576">
        <f t="shared" ref="D103:R103" si="64">IF(D102&gt;0,D102*$C$51,0)</f>
        <v>159.22325648449186</v>
      </c>
      <c r="E103" s="576">
        <f t="shared" si="64"/>
        <v>179.36061512977412</v>
      </c>
      <c r="F103" s="576">
        <f t="shared" si="64"/>
        <v>182.55963582755606</v>
      </c>
      <c r="G103" s="576">
        <f t="shared" si="64"/>
        <v>184.72572265401021</v>
      </c>
      <c r="H103" s="576">
        <f t="shared" si="64"/>
        <v>181.05435795568576</v>
      </c>
      <c r="I103" s="576">
        <f t="shared" si="64"/>
        <v>183.02164065126289</v>
      </c>
      <c r="J103" s="576">
        <f t="shared" si="64"/>
        <v>184.6946826142611</v>
      </c>
      <c r="K103" s="576">
        <f t="shared" si="64"/>
        <v>186.11753478739149</v>
      </c>
      <c r="L103" s="576">
        <f t="shared" si="64"/>
        <v>187.327648988676</v>
      </c>
      <c r="M103" s="576">
        <f t="shared" si="64"/>
        <v>188.35686692847921</v>
      </c>
      <c r="N103" s="576">
        <f t="shared" si="64"/>
        <v>189.23226095915214</v>
      </c>
      <c r="O103" s="576">
        <f t="shared" si="64"/>
        <v>189.97684878888029</v>
      </c>
      <c r="P103" s="576">
        <f t="shared" si="64"/>
        <v>197.14915173011639</v>
      </c>
      <c r="Q103" s="576">
        <f t="shared" si="64"/>
        <v>197.68790851035345</v>
      </c>
      <c r="R103" s="576">
        <f t="shared" si="64"/>
        <v>0</v>
      </c>
      <c r="S103" s="454">
        <f>IF(S102&gt;0,S102*$C$84,0)</f>
        <v>0</v>
      </c>
      <c r="T103" s="454">
        <f>IF(T102&gt;0,T102*$C$84,0)</f>
        <v>0</v>
      </c>
    </row>
    <row r="104" spans="1:21" s="319" customFormat="1" x14ac:dyDescent="0.2">
      <c r="A104" s="574">
        <v>8</v>
      </c>
      <c r="B104" s="575" t="s">
        <v>383</v>
      </c>
      <c r="C104" s="576">
        <f t="shared" ref="C104:T104" si="65">IF(F28&gt;0,F28*$D$51,0)</f>
        <v>52.742035327633204</v>
      </c>
      <c r="D104" s="576">
        <f t="shared" si="65"/>
        <v>73.007267436546059</v>
      </c>
      <c r="E104" s="576">
        <f t="shared" si="65"/>
        <v>82.04965195600235</v>
      </c>
      <c r="F104" s="576">
        <f t="shared" si="65"/>
        <v>82.9637294931524</v>
      </c>
      <c r="G104" s="576">
        <f t="shared" si="65"/>
        <v>83.601438304110545</v>
      </c>
      <c r="H104" s="576">
        <f t="shared" si="65"/>
        <v>81.531325982031518</v>
      </c>
      <c r="I104" s="576">
        <f t="shared" si="65"/>
        <v>82.445403519181568</v>
      </c>
      <c r="J104" s="576">
        <f t="shared" si="65"/>
        <v>83.359481056331617</v>
      </c>
      <c r="K104" s="576">
        <f t="shared" si="65"/>
        <v>84.273558593481667</v>
      </c>
      <c r="L104" s="576">
        <f t="shared" si="65"/>
        <v>84.273558593481667</v>
      </c>
      <c r="M104" s="576">
        <f t="shared" si="65"/>
        <v>84.273558593481667</v>
      </c>
      <c r="N104" s="576">
        <f t="shared" si="65"/>
        <v>84.273558593481667</v>
      </c>
      <c r="O104" s="576">
        <f t="shared" si="65"/>
        <v>84.273558593481667</v>
      </c>
      <c r="P104" s="576">
        <f t="shared" si="65"/>
        <v>87.534117178902648</v>
      </c>
      <c r="Q104" s="576">
        <f t="shared" si="65"/>
        <v>87.534117178902648</v>
      </c>
      <c r="R104" s="576">
        <f t="shared" si="65"/>
        <v>0</v>
      </c>
      <c r="S104" s="454">
        <f t="shared" si="65"/>
        <v>0</v>
      </c>
      <c r="T104" s="454">
        <f t="shared" si="65"/>
        <v>0</v>
      </c>
    </row>
    <row r="105" spans="1:21" s="319" customFormat="1" x14ac:dyDescent="0.2">
      <c r="A105" s="574">
        <v>9</v>
      </c>
      <c r="B105" s="575" t="s">
        <v>384</v>
      </c>
      <c r="C105" s="578">
        <f>IF(C103&gt;C104,C103,C104)</f>
        <v>116.01758514299972</v>
      </c>
      <c r="D105" s="578">
        <f t="shared" ref="D105:T105" si="66">IF(D103&gt;D104,D103,D104)</f>
        <v>159.22325648449186</v>
      </c>
      <c r="E105" s="578">
        <f t="shared" si="66"/>
        <v>179.36061512977412</v>
      </c>
      <c r="F105" s="578">
        <f t="shared" si="66"/>
        <v>182.55963582755606</v>
      </c>
      <c r="G105" s="578">
        <f t="shared" si="66"/>
        <v>184.72572265401021</v>
      </c>
      <c r="H105" s="578">
        <f t="shared" si="66"/>
        <v>181.05435795568576</v>
      </c>
      <c r="I105" s="578">
        <f t="shared" si="66"/>
        <v>183.02164065126289</v>
      </c>
      <c r="J105" s="578">
        <f t="shared" si="66"/>
        <v>184.6946826142611</v>
      </c>
      <c r="K105" s="578">
        <f t="shared" si="66"/>
        <v>186.11753478739149</v>
      </c>
      <c r="L105" s="578">
        <f t="shared" si="66"/>
        <v>187.327648988676</v>
      </c>
      <c r="M105" s="578">
        <f t="shared" si="66"/>
        <v>188.35686692847921</v>
      </c>
      <c r="N105" s="578">
        <f t="shared" si="66"/>
        <v>189.23226095915214</v>
      </c>
      <c r="O105" s="578">
        <f t="shared" si="66"/>
        <v>189.97684878888029</v>
      </c>
      <c r="P105" s="578">
        <f t="shared" si="66"/>
        <v>197.14915173011639</v>
      </c>
      <c r="Q105" s="578">
        <f t="shared" si="66"/>
        <v>197.68790851035345</v>
      </c>
      <c r="R105" s="578">
        <f t="shared" si="66"/>
        <v>0</v>
      </c>
      <c r="S105" s="456">
        <f t="shared" si="66"/>
        <v>0</v>
      </c>
      <c r="T105" s="456">
        <f t="shared" si="66"/>
        <v>0</v>
      </c>
    </row>
    <row r="106" spans="1:21" s="319" customFormat="1" x14ac:dyDescent="0.2">
      <c r="A106" s="574">
        <v>10</v>
      </c>
      <c r="B106" s="579" t="s">
        <v>385</v>
      </c>
      <c r="C106" s="580">
        <f>IF(C104&gt;C103,SUM($C$104:C104),0)</f>
        <v>0</v>
      </c>
      <c r="D106" s="580">
        <f>IF(D104&gt;D103,SUM($C$104:D104),0)</f>
        <v>0</v>
      </c>
      <c r="E106" s="580">
        <f>IF(E104&gt;E103,SUM($C$104:E104),0)</f>
        <v>0</v>
      </c>
      <c r="F106" s="580">
        <f>IF(F104&gt;F103,SUM($C$104:F104),0)</f>
        <v>0</v>
      </c>
      <c r="G106" s="580">
        <f>IF(G104&gt;G103,SUM($C$104:G104),0)</f>
        <v>0</v>
      </c>
      <c r="H106" s="580">
        <f>IF(H104&gt;H103,SUM($C$104:H104),0)</f>
        <v>0</v>
      </c>
      <c r="I106" s="580">
        <f>IF(I104&gt;I103,SUM($C$104:I104),0)</f>
        <v>0</v>
      </c>
      <c r="J106" s="580">
        <f>IF(J104&gt;J103,SUM($C$104:J104),0)</f>
        <v>0</v>
      </c>
      <c r="K106" s="580">
        <f>IF(K104&gt;K103,SUM($C$104:K104),0)</f>
        <v>0</v>
      </c>
      <c r="L106" s="580">
        <f>IF(L104&gt;L103,SUM($C$104:L104),0)</f>
        <v>0</v>
      </c>
      <c r="M106" s="580">
        <f>IF(M104&gt;M103,SUM($C$104:M104),0)</f>
        <v>0</v>
      </c>
      <c r="N106" s="580">
        <f>IF(N104&gt;N103,SUM($C$104:N104),0)</f>
        <v>0</v>
      </c>
      <c r="O106" s="580">
        <f>IF(O104&gt;O103,SUM($C$104:O104),0)</f>
        <v>0</v>
      </c>
      <c r="P106" s="580">
        <f>IF(P104&gt;P103,SUM($C$104:P104),0)</f>
        <v>0</v>
      </c>
      <c r="Q106" s="580">
        <f>IF(Q104&gt;Q103,SUM($C$104:Q104),0)</f>
        <v>0</v>
      </c>
      <c r="R106" s="580">
        <f>IF(R104&gt;R103,SUM($C$104:R104),0)</f>
        <v>0</v>
      </c>
      <c r="S106" s="457">
        <f>IF(S104&gt;S103,SUM($C104:S$200),0)</f>
        <v>0</v>
      </c>
      <c r="T106" s="457">
        <f>IF(T104&gt;T103,SUM($C104:T$200),0)</f>
        <v>0</v>
      </c>
    </row>
    <row r="107" spans="1:21" s="319" customFormat="1" x14ac:dyDescent="0.2">
      <c r="A107" s="574">
        <v>11</v>
      </c>
      <c r="B107" s="575" t="s">
        <v>386</v>
      </c>
      <c r="C107" s="581">
        <f t="shared" ref="C107:T107" si="67">IF(C113&gt;0,C113,0)</f>
        <v>0</v>
      </c>
      <c r="D107" s="581">
        <f t="shared" si="67"/>
        <v>0</v>
      </c>
      <c r="E107" s="581">
        <f t="shared" si="67"/>
        <v>0</v>
      </c>
      <c r="F107" s="581">
        <f t="shared" si="67"/>
        <v>0</v>
      </c>
      <c r="G107" s="581">
        <f t="shared" si="67"/>
        <v>0</v>
      </c>
      <c r="H107" s="581">
        <f t="shared" si="67"/>
        <v>0</v>
      </c>
      <c r="I107" s="581">
        <f t="shared" si="67"/>
        <v>0</v>
      </c>
      <c r="J107" s="581">
        <f t="shared" si="67"/>
        <v>0</v>
      </c>
      <c r="K107" s="581">
        <f t="shared" si="67"/>
        <v>0</v>
      </c>
      <c r="L107" s="581">
        <f t="shared" si="67"/>
        <v>0</v>
      </c>
      <c r="M107" s="581">
        <f t="shared" si="67"/>
        <v>0</v>
      </c>
      <c r="N107" s="581">
        <f t="shared" si="67"/>
        <v>0</v>
      </c>
      <c r="O107" s="581">
        <f t="shared" si="67"/>
        <v>0</v>
      </c>
      <c r="P107" s="581">
        <f t="shared" si="67"/>
        <v>0</v>
      </c>
      <c r="Q107" s="581">
        <f t="shared" si="67"/>
        <v>0</v>
      </c>
      <c r="R107" s="581">
        <f t="shared" si="67"/>
        <v>0</v>
      </c>
      <c r="S107" s="458" t="e">
        <f t="shared" si="67"/>
        <v>#REF!</v>
      </c>
      <c r="T107" s="458" t="e">
        <f t="shared" si="67"/>
        <v>#REF!</v>
      </c>
    </row>
    <row r="108" spans="1:21" s="319" customFormat="1" x14ac:dyDescent="0.2">
      <c r="A108" s="574">
        <v>12</v>
      </c>
      <c r="B108" s="571" t="s">
        <v>387</v>
      </c>
      <c r="C108" s="580">
        <f>IF(C104&gt;C103,C104,C103)-C107</f>
        <v>116.01758514299972</v>
      </c>
      <c r="D108" s="580">
        <f t="shared" ref="D108:T108" si="68">IF(D104&gt;D103,D104,D103)-D107</f>
        <v>159.22325648449186</v>
      </c>
      <c r="E108" s="580">
        <f t="shared" si="68"/>
        <v>179.36061512977412</v>
      </c>
      <c r="F108" s="580">
        <f t="shared" si="68"/>
        <v>182.55963582755606</v>
      </c>
      <c r="G108" s="580">
        <f t="shared" si="68"/>
        <v>184.72572265401021</v>
      </c>
      <c r="H108" s="580">
        <f t="shared" si="68"/>
        <v>181.05435795568576</v>
      </c>
      <c r="I108" s="580">
        <f>IF(I104&gt;I103,I104,I103)-I107</f>
        <v>183.02164065126289</v>
      </c>
      <c r="J108" s="580">
        <f t="shared" si="68"/>
        <v>184.6946826142611</v>
      </c>
      <c r="K108" s="580">
        <f t="shared" si="68"/>
        <v>186.11753478739149</v>
      </c>
      <c r="L108" s="580">
        <f t="shared" si="68"/>
        <v>187.327648988676</v>
      </c>
      <c r="M108" s="580">
        <f t="shared" si="68"/>
        <v>188.35686692847921</v>
      </c>
      <c r="N108" s="580">
        <f t="shared" si="68"/>
        <v>189.23226095915214</v>
      </c>
      <c r="O108" s="580">
        <f t="shared" si="68"/>
        <v>189.97684878888029</v>
      </c>
      <c r="P108" s="580">
        <f t="shared" si="68"/>
        <v>197.14915173011639</v>
      </c>
      <c r="Q108" s="580">
        <f t="shared" si="68"/>
        <v>197.68790851035345</v>
      </c>
      <c r="R108" s="580">
        <f t="shared" si="68"/>
        <v>0</v>
      </c>
      <c r="S108" s="459" t="e">
        <f t="shared" si="68"/>
        <v>#REF!</v>
      </c>
      <c r="T108" s="459" t="e">
        <f t="shared" si="68"/>
        <v>#REF!</v>
      </c>
    </row>
    <row r="109" spans="1:21" s="319" customFormat="1" x14ac:dyDescent="0.2">
      <c r="A109" s="631"/>
      <c r="B109" s="631"/>
      <c r="C109" s="454"/>
      <c r="D109" s="454"/>
      <c r="E109" s="454"/>
      <c r="F109" s="454"/>
      <c r="G109" s="454"/>
      <c r="H109" s="454"/>
      <c r="I109" s="454"/>
      <c r="J109" s="454"/>
      <c r="K109" s="454"/>
      <c r="L109" s="454"/>
      <c r="M109" s="454"/>
      <c r="N109" s="454"/>
      <c r="O109" s="454"/>
      <c r="P109" s="454"/>
      <c r="Q109" s="454"/>
      <c r="R109" s="454"/>
      <c r="S109" s="454"/>
      <c r="T109" s="454"/>
    </row>
    <row r="110" spans="1:21" s="1" customFormat="1" x14ac:dyDescent="0.2">
      <c r="A110" s="632"/>
      <c r="B110" s="633" t="s">
        <v>388</v>
      </c>
      <c r="C110" s="634">
        <f>IF((C103-C104)&lt;0,0,(C103-C104))</f>
        <v>63.275549815366517</v>
      </c>
      <c r="D110" s="634">
        <f t="shared" ref="D110:T110" si="69">IF((D103-D104)&lt;0,0,(D103-D104))</f>
        <v>86.215989047945797</v>
      </c>
      <c r="E110" s="634">
        <f t="shared" si="69"/>
        <v>97.310963173771768</v>
      </c>
      <c r="F110" s="634">
        <f t="shared" si="69"/>
        <v>99.595906334403665</v>
      </c>
      <c r="G110" s="634">
        <f t="shared" si="69"/>
        <v>101.12428434989967</v>
      </c>
      <c r="H110" s="634">
        <f t="shared" si="69"/>
        <v>99.523031973654241</v>
      </c>
      <c r="I110" s="634">
        <f t="shared" si="69"/>
        <v>100.57623713208132</v>
      </c>
      <c r="J110" s="634">
        <f>IF((J103-J104)&lt;0,0,(J103-J104))</f>
        <v>101.33520155792948</v>
      </c>
      <c r="K110" s="634">
        <f t="shared" si="69"/>
        <v>101.84397619390982</v>
      </c>
      <c r="L110" s="634">
        <f t="shared" si="69"/>
        <v>103.05409039519434</v>
      </c>
      <c r="M110" s="634">
        <f t="shared" si="69"/>
        <v>104.08330833499754</v>
      </c>
      <c r="N110" s="634">
        <f t="shared" si="69"/>
        <v>104.95870236567048</v>
      </c>
      <c r="O110" s="634">
        <f t="shared" si="69"/>
        <v>105.70329019539862</v>
      </c>
      <c r="P110" s="634">
        <f t="shared" si="69"/>
        <v>109.61503455121374</v>
      </c>
      <c r="Q110" s="634">
        <f t="shared" si="69"/>
        <v>110.1537913314508</v>
      </c>
      <c r="R110" s="634">
        <f t="shared" si="69"/>
        <v>0</v>
      </c>
      <c r="S110" s="635">
        <f t="shared" si="69"/>
        <v>0</v>
      </c>
      <c r="T110" s="635">
        <f t="shared" si="69"/>
        <v>0</v>
      </c>
    </row>
    <row r="111" spans="1:21" s="1" customFormat="1" x14ac:dyDescent="0.2">
      <c r="A111" s="632"/>
      <c r="B111" s="633" t="s">
        <v>389</v>
      </c>
      <c r="C111" s="634">
        <f>C110</f>
        <v>63.275549815366517</v>
      </c>
      <c r="D111" s="634">
        <f>C111+D110</f>
        <v>149.49153886331231</v>
      </c>
      <c r="E111" s="634">
        <f t="shared" ref="E111:T111" si="70">D111+E110</f>
        <v>246.80250203708408</v>
      </c>
      <c r="F111" s="634">
        <f t="shared" si="70"/>
        <v>346.39840837148773</v>
      </c>
      <c r="G111" s="634">
        <f t="shared" si="70"/>
        <v>447.52269272138739</v>
      </c>
      <c r="H111" s="634">
        <f t="shared" si="70"/>
        <v>547.0457246950416</v>
      </c>
      <c r="I111" s="634">
        <f t="shared" si="70"/>
        <v>647.62196182712296</v>
      </c>
      <c r="J111" s="634">
        <f t="shared" si="70"/>
        <v>748.95716338505247</v>
      </c>
      <c r="K111" s="634">
        <f t="shared" si="70"/>
        <v>850.80113957896231</v>
      </c>
      <c r="L111" s="634">
        <f t="shared" si="70"/>
        <v>953.8552299741566</v>
      </c>
      <c r="M111" s="634">
        <f t="shared" si="70"/>
        <v>1057.9385383091542</v>
      </c>
      <c r="N111" s="634">
        <f t="shared" si="70"/>
        <v>1162.8972406748246</v>
      </c>
      <c r="O111" s="634">
        <f t="shared" si="70"/>
        <v>1268.6005308702233</v>
      </c>
      <c r="P111" s="634">
        <f t="shared" si="70"/>
        <v>1378.2155654214371</v>
      </c>
      <c r="Q111" s="634">
        <f t="shared" si="70"/>
        <v>1488.3693567528878</v>
      </c>
      <c r="R111" s="634">
        <f t="shared" si="70"/>
        <v>1488.3693567528878</v>
      </c>
      <c r="S111" s="635">
        <f t="shared" si="70"/>
        <v>1488.3693567528878</v>
      </c>
      <c r="T111" s="635">
        <f t="shared" si="70"/>
        <v>1488.3693567528878</v>
      </c>
    </row>
    <row r="112" spans="1:21" s="1" customFormat="1" x14ac:dyDescent="0.2">
      <c r="A112" s="632"/>
      <c r="B112" s="633" t="s">
        <v>390</v>
      </c>
      <c r="C112" s="634">
        <f>IF(C104&gt;C103,C104,0)</f>
        <v>0</v>
      </c>
      <c r="D112" s="634">
        <f t="shared" ref="D112:T112" si="71">IF(D104&gt;D103,D104,0)</f>
        <v>0</v>
      </c>
      <c r="E112" s="634">
        <f t="shared" si="71"/>
        <v>0</v>
      </c>
      <c r="F112" s="634">
        <f t="shared" si="71"/>
        <v>0</v>
      </c>
      <c r="G112" s="634">
        <f t="shared" si="71"/>
        <v>0</v>
      </c>
      <c r="H112" s="634">
        <f t="shared" si="71"/>
        <v>0</v>
      </c>
      <c r="I112" s="634">
        <f t="shared" si="71"/>
        <v>0</v>
      </c>
      <c r="J112" s="634">
        <f t="shared" si="71"/>
        <v>0</v>
      </c>
      <c r="K112" s="634">
        <f t="shared" si="71"/>
        <v>0</v>
      </c>
      <c r="L112" s="634">
        <f t="shared" si="71"/>
        <v>0</v>
      </c>
      <c r="M112" s="634">
        <f t="shared" si="71"/>
        <v>0</v>
      </c>
      <c r="N112" s="634">
        <f t="shared" si="71"/>
        <v>0</v>
      </c>
      <c r="O112" s="634">
        <f t="shared" si="71"/>
        <v>0</v>
      </c>
      <c r="P112" s="634">
        <f t="shared" si="71"/>
        <v>0</v>
      </c>
      <c r="Q112" s="634">
        <f t="shared" si="71"/>
        <v>0</v>
      </c>
      <c r="R112" s="634">
        <f t="shared" si="71"/>
        <v>0</v>
      </c>
      <c r="S112" s="635">
        <f t="shared" si="71"/>
        <v>0</v>
      </c>
      <c r="T112" s="635">
        <f t="shared" si="71"/>
        <v>0</v>
      </c>
      <c r="U112" s="292">
        <f>SUM(C112:R112)</f>
        <v>0</v>
      </c>
    </row>
    <row r="113" spans="1:20" s="1" customFormat="1" x14ac:dyDescent="0.2">
      <c r="A113" s="636"/>
      <c r="B113" s="633" t="s">
        <v>391</v>
      </c>
      <c r="C113" s="634">
        <f>IF(C111&lt;$U$112,C110,C110-(C111-$U$112))</f>
        <v>0</v>
      </c>
      <c r="D113" s="634">
        <f t="shared" ref="D113:R113" si="72">IF(D111&lt;$U$112,D110,D110-(D111-$U$112))</f>
        <v>-63.275549815366517</v>
      </c>
      <c r="E113" s="634">
        <f t="shared" si="72"/>
        <v>-149.49153886331231</v>
      </c>
      <c r="F113" s="634">
        <f t="shared" si="72"/>
        <v>-246.80250203708408</v>
      </c>
      <c r="G113" s="634">
        <f t="shared" si="72"/>
        <v>-346.39840837148773</v>
      </c>
      <c r="H113" s="634">
        <f t="shared" si="72"/>
        <v>-447.52269272138733</v>
      </c>
      <c r="I113" s="634">
        <f t="shared" si="72"/>
        <v>-547.0457246950416</v>
      </c>
      <c r="J113" s="634">
        <f t="shared" si="72"/>
        <v>-647.62196182712296</v>
      </c>
      <c r="K113" s="634">
        <f t="shared" si="72"/>
        <v>-748.95716338505247</v>
      </c>
      <c r="L113" s="634">
        <f t="shared" si="72"/>
        <v>-850.80113957896231</v>
      </c>
      <c r="M113" s="634">
        <f t="shared" si="72"/>
        <v>-953.8552299741566</v>
      </c>
      <c r="N113" s="634">
        <f t="shared" si="72"/>
        <v>-1057.9385383091542</v>
      </c>
      <c r="O113" s="634">
        <f t="shared" si="72"/>
        <v>-1162.8972406748246</v>
      </c>
      <c r="P113" s="634">
        <f t="shared" si="72"/>
        <v>-1268.6005308702233</v>
      </c>
      <c r="Q113" s="634">
        <f t="shared" si="72"/>
        <v>-1378.2155654214371</v>
      </c>
      <c r="R113" s="634">
        <f t="shared" si="72"/>
        <v>-1488.3693567528878</v>
      </c>
      <c r="S113" s="637" t="e">
        <f>IF(S111&lt;#REF!,S110,S110-(S111-#REF!))</f>
        <v>#REF!</v>
      </c>
      <c r="T113" s="637" t="e">
        <f>IF(T111&lt;#REF!,T110,T110-(T111-#REF!))</f>
        <v>#REF!</v>
      </c>
    </row>
    <row r="114" spans="1:20" s="1" customFormat="1" x14ac:dyDescent="0.2"/>
    <row r="115" spans="1:20" x14ac:dyDescent="0.2">
      <c r="A115" s="1"/>
      <c r="B115" s="1"/>
      <c r="C115" s="1"/>
      <c r="D115" s="1"/>
      <c r="E115" s="1"/>
      <c r="F115" s="9"/>
      <c r="G115" s="638"/>
      <c r="H115" s="744"/>
      <c r="I115" s="744"/>
      <c r="J115" s="744"/>
      <c r="K115" s="744"/>
      <c r="L115" s="744"/>
      <c r="M115" s="9"/>
      <c r="N115" s="9"/>
      <c r="O115" s="9"/>
      <c r="P115" s="9"/>
      <c r="S115" s="9"/>
      <c r="T115" s="9"/>
    </row>
    <row r="116" spans="1:20" x14ac:dyDescent="0.2">
      <c r="A116" s="1"/>
      <c r="B116" s="282" t="s">
        <v>122</v>
      </c>
      <c r="C116" s="639">
        <v>0</v>
      </c>
      <c r="D116" s="319"/>
      <c r="E116" s="1"/>
      <c r="F116" s="9"/>
      <c r="G116" s="9"/>
      <c r="H116" s="9"/>
      <c r="I116" s="9"/>
      <c r="J116" s="9"/>
      <c r="K116" s="9"/>
      <c r="L116" s="9"/>
      <c r="M116" s="9"/>
      <c r="N116" s="9"/>
      <c r="O116" s="9"/>
      <c r="P116" s="9"/>
      <c r="S116" s="9"/>
      <c r="T116" s="9"/>
    </row>
    <row r="117" spans="1:20" x14ac:dyDescent="0.2">
      <c r="A117" s="1"/>
      <c r="B117" s="282" t="s">
        <v>108</v>
      </c>
      <c r="C117" s="640">
        <v>2</v>
      </c>
      <c r="D117" s="319"/>
      <c r="E117" s="1"/>
      <c r="F117" s="9"/>
      <c r="G117" s="9"/>
      <c r="H117" s="9"/>
      <c r="I117" s="9"/>
      <c r="J117" s="641"/>
      <c r="K117" s="641"/>
      <c r="L117" s="641"/>
      <c r="M117" s="641"/>
      <c r="N117" s="641"/>
      <c r="O117" s="641"/>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tabSelected="1" workbookViewId="0">
      <selection activeCell="G39" sqref="G39"/>
    </sheetView>
  </sheetViews>
  <sheetFormatPr defaultColWidth="9.140625" defaultRowHeight="12.75" x14ac:dyDescent="0.2"/>
  <cols>
    <col min="1" max="1" width="9.140625" style="322"/>
    <col min="2" max="2" width="36.28515625" style="324" customWidth="1"/>
    <col min="3" max="20" width="12.7109375" style="324" customWidth="1"/>
    <col min="21" max="21" width="12" style="324" customWidth="1"/>
    <col min="22" max="22" width="11.85546875" style="324" customWidth="1"/>
    <col min="23" max="49" width="9.140625" style="349"/>
    <col min="50" max="16384" width="9.140625" style="324"/>
  </cols>
  <sheetData>
    <row r="1" spans="1:35" ht="15" customHeight="1" x14ac:dyDescent="0.2">
      <c r="B1" s="323" t="s">
        <v>540</v>
      </c>
      <c r="J1" s="325"/>
    </row>
    <row r="2" spans="1:35" ht="15" customHeight="1" x14ac:dyDescent="0.25">
      <c r="B2" s="582" t="s">
        <v>420</v>
      </c>
      <c r="D2" s="326"/>
      <c r="E2" s="326"/>
      <c r="J2" s="325"/>
    </row>
    <row r="3" spans="1:35" s="347" customFormat="1" ht="15" customHeight="1" x14ac:dyDescent="0.2">
      <c r="A3" s="462" t="s">
        <v>402</v>
      </c>
      <c r="B3" s="359" t="s">
        <v>6</v>
      </c>
      <c r="C3" s="462" t="s">
        <v>441</v>
      </c>
      <c r="D3" s="462">
        <v>-2</v>
      </c>
      <c r="E3" s="462">
        <v>-1</v>
      </c>
      <c r="F3" s="381">
        <v>1</v>
      </c>
      <c r="G3" s="381">
        <v>2</v>
      </c>
      <c r="H3" s="381">
        <v>3</v>
      </c>
      <c r="I3" s="381">
        <v>4</v>
      </c>
      <c r="J3" s="381">
        <v>5</v>
      </c>
      <c r="K3" s="381">
        <v>6</v>
      </c>
      <c r="L3" s="381">
        <v>7</v>
      </c>
      <c r="M3" s="381">
        <v>8</v>
      </c>
      <c r="N3" s="381">
        <v>9</v>
      </c>
      <c r="O3" s="381">
        <v>10</v>
      </c>
      <c r="P3" s="381">
        <v>11</v>
      </c>
      <c r="Q3" s="381">
        <v>12</v>
      </c>
      <c r="R3" s="381">
        <v>13</v>
      </c>
      <c r="S3" s="381">
        <v>14</v>
      </c>
      <c r="T3" s="381">
        <v>15</v>
      </c>
      <c r="U3" s="349"/>
      <c r="V3" s="349"/>
      <c r="W3" s="349"/>
      <c r="X3" s="349"/>
      <c r="Y3" s="349"/>
      <c r="Z3" s="349"/>
      <c r="AA3" s="349"/>
      <c r="AB3" s="349"/>
      <c r="AC3" s="349"/>
      <c r="AD3" s="349"/>
      <c r="AE3" s="349"/>
      <c r="AF3" s="349"/>
      <c r="AG3" s="349"/>
      <c r="AH3" s="349"/>
      <c r="AI3" s="350"/>
    </row>
    <row r="4" spans="1:35" s="349" customFormat="1" ht="15" customHeight="1" x14ac:dyDescent="0.2">
      <c r="A4" s="351">
        <v>1</v>
      </c>
      <c r="B4" s="364" t="s">
        <v>72</v>
      </c>
      <c r="C4" s="351" t="s">
        <v>541</v>
      </c>
      <c r="D4" s="351"/>
      <c r="E4" s="351"/>
      <c r="F4" s="355">
        <f>'Cashflow '!F30</f>
        <v>185.84845954354557</v>
      </c>
      <c r="G4" s="355">
        <f>'Cashflow '!G30</f>
        <v>258.62969358731476</v>
      </c>
      <c r="H4" s="355">
        <f>'Cashflow '!H30</f>
        <v>290.24590934368257</v>
      </c>
      <c r="I4" s="355">
        <f>'Cashflow '!I30</f>
        <v>292.27855953160372</v>
      </c>
      <c r="J4" s="355">
        <f>'Cashflow '!J30</f>
        <v>293.76236287775794</v>
      </c>
      <c r="K4" s="355">
        <f>'Cashflow '!K30</f>
        <v>285.58555723451292</v>
      </c>
      <c r="L4" s="355">
        <f>'Cashflow '!L30</f>
        <v>288.84994542463892</v>
      </c>
      <c r="M4" s="355">
        <f>'Cashflow '!M30</f>
        <v>292.4085743473438</v>
      </c>
      <c r="N4" s="355">
        <f>'Cashflow '!N30</f>
        <v>296.21739305991656</v>
      </c>
      <c r="O4" s="355">
        <f>'Cashflow '!O30</f>
        <v>295.00727885863205</v>
      </c>
      <c r="P4" s="355">
        <f>'Cashflow '!P30</f>
        <v>293.97806091882887</v>
      </c>
      <c r="Q4" s="355">
        <f>'Cashflow '!Q30</f>
        <v>293.10266688815591</v>
      </c>
      <c r="R4" s="355">
        <f>'Cashflow '!R30</f>
        <v>292.35807905842773</v>
      </c>
      <c r="S4" s="355">
        <f>'Cashflow '!S30</f>
        <v>303.84739805755902</v>
      </c>
      <c r="T4" s="355">
        <f>'Cashflow '!T30</f>
        <v>303.30864127732195</v>
      </c>
    </row>
    <row r="5" spans="1:35" s="349" customFormat="1" ht="15" customHeight="1" x14ac:dyDescent="0.2">
      <c r="A5" s="351">
        <v>2</v>
      </c>
      <c r="B5" s="364" t="s">
        <v>505</v>
      </c>
      <c r="C5" s="351" t="s">
        <v>541</v>
      </c>
      <c r="D5" s="351"/>
      <c r="E5" s="351"/>
      <c r="F5" s="355">
        <f>'Cashflow '!F27</f>
        <v>35.648709775000007</v>
      </c>
      <c r="G5" s="355">
        <f>'Cashflow '!G27</f>
        <v>35.648709775000007</v>
      </c>
      <c r="H5" s="355">
        <f>'Cashflow '!H27</f>
        <v>35.648709775000007</v>
      </c>
      <c r="I5" s="355">
        <f>'Cashflow '!I27</f>
        <v>35.648709775000007</v>
      </c>
      <c r="J5" s="355">
        <f>'Cashflow '!J27</f>
        <v>35.648709775000007</v>
      </c>
      <c r="K5" s="355">
        <f>'Cashflow '!K27</f>
        <v>35.648709775000007</v>
      </c>
      <c r="L5" s="355">
        <f>'Cashflow '!L27</f>
        <v>35.648709775000007</v>
      </c>
      <c r="M5" s="355">
        <f>'Cashflow '!M27</f>
        <v>35.648709775000007</v>
      </c>
      <c r="N5" s="355">
        <f>'Cashflow '!N27</f>
        <v>35.648709775000007</v>
      </c>
      <c r="O5" s="355">
        <f>'Cashflow '!O27</f>
        <v>35.648709775000007</v>
      </c>
      <c r="P5" s="355">
        <f>'Cashflow '!P27</f>
        <v>35.648709775000007</v>
      </c>
      <c r="Q5" s="355">
        <f>'Cashflow '!Q27</f>
        <v>35.648709775000007</v>
      </c>
      <c r="R5" s="355">
        <f>'Cashflow '!R27</f>
        <v>35.648709775000007</v>
      </c>
      <c r="S5" s="355">
        <f>'Cashflow '!S27</f>
        <v>35.648709775000007</v>
      </c>
      <c r="T5" s="355">
        <f>'Cashflow '!T27</f>
        <v>35.648709775000007</v>
      </c>
    </row>
    <row r="6" spans="1:35" s="349" customFormat="1" ht="15" customHeight="1" x14ac:dyDescent="0.2">
      <c r="A6" s="351">
        <v>3</v>
      </c>
      <c r="B6" s="364" t="s">
        <v>506</v>
      </c>
      <c r="C6" s="351" t="s">
        <v>541</v>
      </c>
      <c r="D6" s="351"/>
      <c r="E6" s="351"/>
      <c r="F6" s="355">
        <f>'Cashflow '!F26</f>
        <v>41.85336708562501</v>
      </c>
      <c r="G6" s="355">
        <f>'Cashflow '!G26</f>
        <v>36.621696199921878</v>
      </c>
      <c r="H6" s="355">
        <f>'Cashflow '!H26</f>
        <v>31.390025314218754</v>
      </c>
      <c r="I6" s="355">
        <f>'Cashflow '!I26</f>
        <v>26.158354428515626</v>
      </c>
      <c r="J6" s="355">
        <f>'Cashflow '!J26</f>
        <v>20.926683542812501</v>
      </c>
      <c r="K6" s="355">
        <f>'Cashflow '!K26</f>
        <v>15.695012657109375</v>
      </c>
      <c r="L6" s="355">
        <f>'Cashflow '!L26</f>
        <v>10.463341771406247</v>
      </c>
      <c r="M6" s="355">
        <f>'Cashflow '!M26</f>
        <v>5.2316708857031218</v>
      </c>
      <c r="N6" s="355">
        <f>'Cashflow '!N26</f>
        <v>0</v>
      </c>
      <c r="O6" s="355">
        <f>'Cashflow '!O26</f>
        <v>0</v>
      </c>
      <c r="P6" s="355">
        <f>'Cashflow '!P26</f>
        <v>0</v>
      </c>
      <c r="Q6" s="355">
        <f>'Cashflow '!Q26</f>
        <v>0</v>
      </c>
      <c r="R6" s="355">
        <f>'Cashflow '!R26</f>
        <v>0</v>
      </c>
      <c r="S6" s="355">
        <f>'Cashflow '!S26</f>
        <v>0</v>
      </c>
      <c r="T6" s="355">
        <f>'Cashflow '!T26</f>
        <v>0</v>
      </c>
    </row>
    <row r="7" spans="1:35" s="349" customFormat="1" ht="15" customHeight="1" x14ac:dyDescent="0.2">
      <c r="A7" s="351">
        <v>4</v>
      </c>
      <c r="B7" s="364" t="s">
        <v>517</v>
      </c>
      <c r="C7" s="351" t="s">
        <v>541</v>
      </c>
      <c r="D7" s="351"/>
      <c r="E7" s="351"/>
      <c r="F7" s="356">
        <f>-'Working Capital'!D17</f>
        <v>-6.9758830054340777</v>
      </c>
      <c r="G7" s="356">
        <f>-'Working Capital'!E17</f>
        <v>-0.9437168847119688</v>
      </c>
      <c r="H7" s="356">
        <f>-'Working Capital'!F17</f>
        <v>-1.4155753270679581</v>
      </c>
      <c r="I7" s="354">
        <f>-'Working Capital'!G17</f>
        <v>0</v>
      </c>
      <c r="J7" s="354">
        <f>-'Working Capital'!H17</f>
        <v>1.8023937022503489E-2</v>
      </c>
      <c r="K7" s="354">
        <f>-'Working Capital'!I17</f>
        <v>0.19461988636363614</v>
      </c>
      <c r="L7" s="354">
        <f>-'Working Capital'!J17</f>
        <v>0</v>
      </c>
      <c r="M7" s="354">
        <f>-'Working Capital'!K17</f>
        <v>0</v>
      </c>
      <c r="N7" s="356">
        <f>-'Working Capital'!L17</f>
        <v>0</v>
      </c>
      <c r="O7" s="354">
        <f>-'Working Capital'!M17</f>
        <v>0</v>
      </c>
      <c r="P7" s="354">
        <f>-'Working Capital'!N17</f>
        <v>0</v>
      </c>
      <c r="Q7" s="354">
        <f>-'Working Capital'!O17</f>
        <v>0</v>
      </c>
      <c r="R7" s="354">
        <f>-'Working Capital'!P17</f>
        <v>0</v>
      </c>
      <c r="S7" s="356">
        <f>-'Working Capital'!Q17</f>
        <v>-0.21264382338613963</v>
      </c>
      <c r="T7" s="354">
        <f>-'Working Capital'!R17</f>
        <v>0</v>
      </c>
    </row>
    <row r="8" spans="1:35" s="349" customFormat="1" ht="15" customHeight="1" x14ac:dyDescent="0.2">
      <c r="A8" s="351">
        <v>5</v>
      </c>
      <c r="B8" s="364" t="s">
        <v>504</v>
      </c>
      <c r="C8" s="351" t="s">
        <v>541</v>
      </c>
      <c r="D8" s="351"/>
      <c r="E8" s="351"/>
      <c r="F8" s="354">
        <v>0</v>
      </c>
      <c r="G8" s="354">
        <v>0</v>
      </c>
      <c r="H8" s="354">
        <v>0</v>
      </c>
      <c r="I8" s="354">
        <v>0</v>
      </c>
      <c r="J8" s="354">
        <v>0</v>
      </c>
      <c r="K8" s="354">
        <v>0</v>
      </c>
      <c r="L8" s="354">
        <v>0</v>
      </c>
      <c r="M8" s="354">
        <v>0</v>
      </c>
      <c r="N8" s="354">
        <v>0</v>
      </c>
      <c r="O8" s="354">
        <v>0</v>
      </c>
      <c r="P8" s="354">
        <v>0</v>
      </c>
      <c r="Q8" s="354">
        <v>0</v>
      </c>
      <c r="R8" s="354">
        <v>0</v>
      </c>
      <c r="S8" s="354">
        <v>0</v>
      </c>
      <c r="T8" s="356">
        <f>-SUM(F7:T7)</f>
        <v>9.3351752172140046</v>
      </c>
    </row>
    <row r="9" spans="1:35" s="349" customFormat="1" ht="15" customHeight="1" x14ac:dyDescent="0.2">
      <c r="A9" s="351">
        <v>6</v>
      </c>
      <c r="B9" s="364" t="s">
        <v>518</v>
      </c>
      <c r="C9" s="351" t="s">
        <v>541</v>
      </c>
      <c r="D9" s="351"/>
      <c r="E9" s="351"/>
      <c r="F9" s="354">
        <v>0</v>
      </c>
      <c r="G9" s="354">
        <v>0</v>
      </c>
      <c r="H9" s="354">
        <v>0</v>
      </c>
      <c r="I9" s="354">
        <v>0</v>
      </c>
      <c r="J9" s="354">
        <v>0</v>
      </c>
      <c r="K9" s="354">
        <v>0</v>
      </c>
      <c r="L9" s="354">
        <v>0</v>
      </c>
      <c r="M9" s="354">
        <v>0</v>
      </c>
      <c r="N9" s="354">
        <v>0</v>
      </c>
      <c r="O9" s="354">
        <v>0</v>
      </c>
      <c r="P9" s="354">
        <v>0</v>
      </c>
      <c r="Q9" s="354">
        <v>0</v>
      </c>
      <c r="R9" s="354">
        <v>0</v>
      </c>
      <c r="S9" s="354">
        <v>0</v>
      </c>
      <c r="T9" s="357">
        <f>-'Working Capital'!R18</f>
        <v>-28.005525651642014</v>
      </c>
    </row>
    <row r="10" spans="1:35" s="349" customFormat="1" ht="15" customHeight="1" x14ac:dyDescent="0.2">
      <c r="A10" s="351">
        <v>7</v>
      </c>
      <c r="B10" s="364" t="s">
        <v>542</v>
      </c>
      <c r="C10" s="351" t="s">
        <v>541</v>
      </c>
      <c r="D10" s="351"/>
      <c r="E10" s="351"/>
      <c r="F10" s="354">
        <v>0</v>
      </c>
      <c r="G10" s="354">
        <v>0</v>
      </c>
      <c r="H10" s="354">
        <v>0</v>
      </c>
      <c r="I10" s="354">
        <v>0</v>
      </c>
      <c r="J10" s="354">
        <v>0</v>
      </c>
      <c r="K10" s="354">
        <v>0</v>
      </c>
      <c r="L10" s="354">
        <v>0</v>
      </c>
      <c r="M10" s="354">
        <v>0</v>
      </c>
      <c r="N10" s="354">
        <v>0</v>
      </c>
      <c r="O10" s="354">
        <v>0</v>
      </c>
      <c r="P10" s="354">
        <v>0</v>
      </c>
      <c r="Q10" s="354">
        <v>0</v>
      </c>
      <c r="R10" s="354">
        <v>0</v>
      </c>
      <c r="S10" s="354">
        <v>0</v>
      </c>
      <c r="T10" s="355">
        <f>(Capex!B11-Capex!B8-Capex!B9-Capex!B10)*0.05</f>
        <v>25.609625000000008</v>
      </c>
    </row>
    <row r="11" spans="1:35" s="349" customFormat="1" ht="15" customHeight="1" x14ac:dyDescent="0.2">
      <c r="A11" s="351">
        <v>8</v>
      </c>
      <c r="B11" s="460" t="s">
        <v>544</v>
      </c>
      <c r="C11" s="351" t="s">
        <v>541</v>
      </c>
      <c r="D11" s="327">
        <f>-(Capex!B73/100-Capex!B10)/2</f>
        <v>-301.18017478125006</v>
      </c>
      <c r="E11" s="327">
        <f>D11</f>
        <v>-301.18017478125006</v>
      </c>
      <c r="F11" s="355">
        <f>SUM(F4:F10)</f>
        <v>256.37465339873654</v>
      </c>
      <c r="G11" s="355">
        <f t="shared" ref="G11:T11" si="0">SUM(G4:G10)</f>
        <v>329.95638267752463</v>
      </c>
      <c r="H11" s="355">
        <f t="shared" si="0"/>
        <v>355.86906910583332</v>
      </c>
      <c r="I11" s="355">
        <f t="shared" si="0"/>
        <v>354.08562373511933</v>
      </c>
      <c r="J11" s="355">
        <f t="shared" si="0"/>
        <v>350.35578013259294</v>
      </c>
      <c r="K11" s="355">
        <f t="shared" si="0"/>
        <v>337.1238995529859</v>
      </c>
      <c r="L11" s="355">
        <f t="shared" si="0"/>
        <v>334.96199697104515</v>
      </c>
      <c r="M11" s="355">
        <f t="shared" si="0"/>
        <v>333.28895500804691</v>
      </c>
      <c r="N11" s="355">
        <f t="shared" si="0"/>
        <v>331.86610283491655</v>
      </c>
      <c r="O11" s="355">
        <f t="shared" si="0"/>
        <v>330.65598863363203</v>
      </c>
      <c r="P11" s="355">
        <f t="shared" si="0"/>
        <v>329.62677069382886</v>
      </c>
      <c r="Q11" s="355">
        <f t="shared" si="0"/>
        <v>328.7513766631559</v>
      </c>
      <c r="R11" s="355">
        <f t="shared" si="0"/>
        <v>328.00678883342772</v>
      </c>
      <c r="S11" s="355">
        <f t="shared" si="0"/>
        <v>339.28346400917286</v>
      </c>
      <c r="T11" s="355">
        <f t="shared" si="0"/>
        <v>345.8966256178939</v>
      </c>
    </row>
    <row r="12" spans="1:35" s="349" customFormat="1" ht="15" customHeight="1" x14ac:dyDescent="0.2">
      <c r="A12" s="346">
        <v>9</v>
      </c>
      <c r="B12" s="329" t="s">
        <v>543</v>
      </c>
      <c r="C12" s="346" t="s">
        <v>541</v>
      </c>
      <c r="D12" s="461">
        <f>D11</f>
        <v>-301.18017478125006</v>
      </c>
      <c r="E12" s="461">
        <f t="shared" ref="E12:T12" si="1">E11</f>
        <v>-301.18017478125006</v>
      </c>
      <c r="F12" s="461">
        <f t="shared" si="1"/>
        <v>256.37465339873654</v>
      </c>
      <c r="G12" s="461">
        <f t="shared" si="1"/>
        <v>329.95638267752463</v>
      </c>
      <c r="H12" s="461">
        <f t="shared" si="1"/>
        <v>355.86906910583332</v>
      </c>
      <c r="I12" s="461">
        <f t="shared" si="1"/>
        <v>354.08562373511933</v>
      </c>
      <c r="J12" s="461">
        <f t="shared" si="1"/>
        <v>350.35578013259294</v>
      </c>
      <c r="K12" s="461">
        <f t="shared" si="1"/>
        <v>337.1238995529859</v>
      </c>
      <c r="L12" s="461">
        <f t="shared" si="1"/>
        <v>334.96199697104515</v>
      </c>
      <c r="M12" s="461">
        <f t="shared" si="1"/>
        <v>333.28895500804691</v>
      </c>
      <c r="N12" s="461">
        <f t="shared" si="1"/>
        <v>331.86610283491655</v>
      </c>
      <c r="O12" s="461">
        <f t="shared" si="1"/>
        <v>330.65598863363203</v>
      </c>
      <c r="P12" s="461">
        <f t="shared" si="1"/>
        <v>329.62677069382886</v>
      </c>
      <c r="Q12" s="461">
        <f t="shared" si="1"/>
        <v>328.7513766631559</v>
      </c>
      <c r="R12" s="461">
        <f t="shared" si="1"/>
        <v>328.00678883342772</v>
      </c>
      <c r="S12" s="461">
        <f t="shared" si="1"/>
        <v>339.28346400917286</v>
      </c>
      <c r="T12" s="461">
        <f t="shared" si="1"/>
        <v>345.8966256178939</v>
      </c>
    </row>
    <row r="13" spans="1:35" ht="15" customHeight="1" x14ac:dyDescent="0.2">
      <c r="A13" s="346">
        <v>10</v>
      </c>
      <c r="B13" s="329" t="s">
        <v>507</v>
      </c>
      <c r="C13" s="328" t="s">
        <v>422</v>
      </c>
      <c r="D13" s="669">
        <f>IRR(D12:T12)</f>
        <v>0.43004892284233653</v>
      </c>
      <c r="E13" s="471">
        <f>-(E11+E12)</f>
        <v>602.36034956250012</v>
      </c>
      <c r="F13" s="502"/>
      <c r="G13" s="502"/>
      <c r="H13" s="502"/>
      <c r="I13" s="502"/>
      <c r="J13" s="502"/>
      <c r="K13" s="502"/>
      <c r="L13" s="502"/>
      <c r="M13" s="502"/>
      <c r="N13" s="502"/>
      <c r="O13" s="502"/>
      <c r="P13" s="502"/>
      <c r="Q13" s="502"/>
      <c r="R13" s="502"/>
      <c r="S13" s="502"/>
      <c r="T13" s="502"/>
    </row>
    <row r="14" spans="1:35" ht="15" customHeight="1" x14ac:dyDescent="0.2">
      <c r="A14" s="206"/>
      <c r="C14" s="322"/>
      <c r="D14" s="507"/>
      <c r="E14" s="506"/>
      <c r="F14" s="502"/>
      <c r="G14" s="502"/>
      <c r="H14" s="502"/>
      <c r="I14" s="502"/>
      <c r="J14" s="502"/>
      <c r="K14" s="502"/>
      <c r="L14" s="502"/>
      <c r="M14" s="502"/>
      <c r="N14" s="502"/>
      <c r="O14" s="502"/>
      <c r="P14" s="502"/>
      <c r="Q14" s="502"/>
      <c r="R14" s="502"/>
      <c r="S14" s="502"/>
      <c r="T14" s="502"/>
    </row>
    <row r="15" spans="1:35" ht="15" customHeight="1" x14ac:dyDescent="0.2">
      <c r="A15" s="462" t="s">
        <v>402</v>
      </c>
      <c r="B15" s="338" t="s">
        <v>571</v>
      </c>
      <c r="C15" s="322"/>
      <c r="D15" s="507"/>
      <c r="E15" s="506"/>
      <c r="F15" s="502"/>
      <c r="G15" s="502"/>
      <c r="H15" s="502"/>
      <c r="I15" s="502"/>
      <c r="J15" s="502"/>
      <c r="K15" s="502"/>
      <c r="L15" s="502"/>
      <c r="M15" s="502"/>
      <c r="N15" s="502"/>
      <c r="O15" s="502"/>
      <c r="P15" s="502"/>
      <c r="Q15" s="502"/>
      <c r="R15" s="502"/>
      <c r="S15" s="502"/>
      <c r="T15" s="502"/>
    </row>
    <row r="16" spans="1:35" ht="15" customHeight="1" x14ac:dyDescent="0.2">
      <c r="A16" s="462">
        <v>1</v>
      </c>
      <c r="B16" s="329" t="s">
        <v>572</v>
      </c>
      <c r="C16" s="328" t="s">
        <v>552</v>
      </c>
      <c r="D16" s="508"/>
      <c r="E16" s="471">
        <f>E13</f>
        <v>602.36034956250012</v>
      </c>
      <c r="F16" s="509">
        <f>F11</f>
        <v>256.37465339873654</v>
      </c>
      <c r="G16" s="509">
        <f>G12+F12</f>
        <v>586.33103607626117</v>
      </c>
      <c r="H16" s="509">
        <f>H12+G16</f>
        <v>942.20010518209449</v>
      </c>
      <c r="I16" s="509">
        <f>I12+H16</f>
        <v>1296.2857289172139</v>
      </c>
      <c r="J16" s="509">
        <f t="shared" ref="J16:T16" si="2">J12+I16</f>
        <v>1646.6415090498067</v>
      </c>
      <c r="K16" s="509">
        <f t="shared" si="2"/>
        <v>1983.7654086027926</v>
      </c>
      <c r="L16" s="509">
        <f t="shared" si="2"/>
        <v>2318.7274055738376</v>
      </c>
      <c r="M16" s="509">
        <f t="shared" si="2"/>
        <v>2652.0163605818843</v>
      </c>
      <c r="N16" s="509">
        <f t="shared" si="2"/>
        <v>2983.8824634168009</v>
      </c>
      <c r="O16" s="509">
        <f t="shared" si="2"/>
        <v>3314.5384520504331</v>
      </c>
      <c r="P16" s="509">
        <f t="shared" si="2"/>
        <v>3644.1652227442619</v>
      </c>
      <c r="Q16" s="509">
        <f t="shared" si="2"/>
        <v>3972.9165994074178</v>
      </c>
      <c r="R16" s="509">
        <f t="shared" si="2"/>
        <v>4300.9233882408453</v>
      </c>
      <c r="S16" s="509">
        <f t="shared" si="2"/>
        <v>4640.2068522500185</v>
      </c>
      <c r="T16" s="509">
        <f t="shared" si="2"/>
        <v>4986.1034778679123</v>
      </c>
    </row>
    <row r="17" spans="1:35" ht="15" customHeight="1" x14ac:dyDescent="0.2">
      <c r="A17" s="346">
        <v>2</v>
      </c>
      <c r="B17" s="329" t="s">
        <v>508</v>
      </c>
      <c r="C17" s="328"/>
      <c r="D17" s="508"/>
      <c r="E17" s="471"/>
      <c r="F17" s="331" t="b">
        <f>IF(F16&lt;$E$16,TRUE,FALSE)</f>
        <v>1</v>
      </c>
      <c r="G17" s="331" t="b">
        <f t="shared" ref="G17:L17" si="3">IF(G16&lt;$E$16,TRUE,FALSE)</f>
        <v>1</v>
      </c>
      <c r="H17" s="331" t="b">
        <f t="shared" si="3"/>
        <v>0</v>
      </c>
      <c r="I17" s="331" t="b">
        <f t="shared" si="3"/>
        <v>0</v>
      </c>
      <c r="J17" s="331" t="b">
        <f t="shared" si="3"/>
        <v>0</v>
      </c>
      <c r="K17" s="331" t="b">
        <f t="shared" si="3"/>
        <v>0</v>
      </c>
      <c r="L17" s="331" t="b">
        <f t="shared" si="3"/>
        <v>0</v>
      </c>
      <c r="M17" s="331" t="b">
        <f t="shared" ref="M17" si="4">IF(M16&lt;$E$16,TRUE,FALSE)</f>
        <v>0</v>
      </c>
      <c r="N17" s="331" t="b">
        <f t="shared" ref="N17" si="5">IF(N16&lt;$E$16,TRUE,FALSE)</f>
        <v>0</v>
      </c>
      <c r="O17" s="331" t="b">
        <f t="shared" ref="O17" si="6">IF(O16&lt;$E$16,TRUE,FALSE)</f>
        <v>0</v>
      </c>
      <c r="P17" s="331" t="b">
        <f t="shared" ref="P17" si="7">IF(P16&lt;$E$16,TRUE,FALSE)</f>
        <v>0</v>
      </c>
      <c r="Q17" s="331" t="b">
        <f t="shared" ref="Q17:R17" si="8">IF(Q16&lt;$E$16,TRUE,FALSE)</f>
        <v>0</v>
      </c>
      <c r="R17" s="331" t="b">
        <f t="shared" si="8"/>
        <v>0</v>
      </c>
      <c r="S17" s="331" t="b">
        <f t="shared" ref="S17" si="9">IF(S16&lt;$E$16,TRUE,FALSE)</f>
        <v>0</v>
      </c>
      <c r="T17" s="331" t="b">
        <f t="shared" ref="T17" si="10">IF(T16&lt;$E$16,TRUE,FALSE)</f>
        <v>0</v>
      </c>
    </row>
    <row r="18" spans="1:35" ht="15" customHeight="1" x14ac:dyDescent="0.2">
      <c r="A18" s="346">
        <v>3</v>
      </c>
      <c r="B18" s="329"/>
      <c r="C18" s="328"/>
      <c r="D18" s="508"/>
      <c r="E18" s="471"/>
      <c r="F18" s="331">
        <f>IF(F17=TRUE,1,$E$16/F16)</f>
        <v>1</v>
      </c>
      <c r="G18" s="331">
        <f>IF(G17=TRUE,1,($E$16-F16)/G12)</f>
        <v>1</v>
      </c>
      <c r="H18" s="331">
        <f>IF(H17=TRUE,1,($E$16-G16)/H12)</f>
        <v>4.5042727446121276E-2</v>
      </c>
      <c r="I18" s="331">
        <f t="shared" ref="I18:K18" si="11">IF(I17=TRUE,1,($E$16-H16)/I12)</f>
        <v>-0.95976716601693535</v>
      </c>
      <c r="J18" s="331">
        <f t="shared" si="11"/>
        <v>-1.9806306009625305</v>
      </c>
      <c r="K18" s="331">
        <f t="shared" si="11"/>
        <v>-3.0976182966321448</v>
      </c>
      <c r="L18" s="331">
        <f t="shared" ref="L18" si="12">IF(L17=TRUE,1,($E$16-K16)/L12)</f>
        <v>-4.1240650328452162</v>
      </c>
      <c r="M18" s="331">
        <f t="shared" ref="M18:N18" si="13">IF(M17=TRUE,1,($E$16-L16)/M12)</f>
        <v>-5.1497867847732834</v>
      </c>
      <c r="N18" s="331">
        <f t="shared" si="13"/>
        <v>-6.1761535556373612</v>
      </c>
      <c r="O18" s="331">
        <f t="shared" ref="O18" si="14">IF(O17=TRUE,1,($E$16-N16)/O12)</f>
        <v>-7.2024163956486973</v>
      </c>
      <c r="P18" s="331">
        <f t="shared" ref="P18:Q18" si="15">IF(P17=TRUE,1,($E$16-O16)/P12)</f>
        <v>-8.228027404385541</v>
      </c>
      <c r="Q18" s="331">
        <f t="shared" si="15"/>
        <v>-9.2525996516158937</v>
      </c>
      <c r="R18" s="331">
        <f t="shared" ref="R18" si="16">IF(R17=TRUE,1,($E$16-Q16)/R12)</f>
        <v>-10.275873441011592</v>
      </c>
      <c r="S18" s="331">
        <f t="shared" ref="S18:T18" si="17">IF(S17=TRUE,1,($E$16-R16)/S12)</f>
        <v>-10.901100203864786</v>
      </c>
      <c r="T18" s="331">
        <f t="shared" si="17"/>
        <v>-11.673564306892251</v>
      </c>
    </row>
    <row r="19" spans="1:35" ht="15" customHeight="1" x14ac:dyDescent="0.2">
      <c r="A19" s="346">
        <v>4</v>
      </c>
      <c r="B19" s="329" t="s">
        <v>573</v>
      </c>
      <c r="C19" s="328" t="s">
        <v>296</v>
      </c>
      <c r="D19" s="485">
        <f>SUM(F18:I18)+J18</f>
        <v>-0.89535503953334472</v>
      </c>
      <c r="E19" s="506"/>
      <c r="F19" s="330"/>
      <c r="G19" s="330"/>
      <c r="H19" s="330"/>
      <c r="I19" s="330"/>
      <c r="J19" s="330"/>
      <c r="K19" s="330"/>
      <c r="L19" s="330"/>
      <c r="M19" s="330"/>
      <c r="N19" s="330"/>
      <c r="O19" s="330"/>
      <c r="P19" s="330"/>
      <c r="Q19" s="330"/>
      <c r="R19" s="330"/>
      <c r="S19" s="330"/>
      <c r="T19" s="330"/>
    </row>
    <row r="20" spans="1:35" ht="15" customHeight="1" x14ac:dyDescent="0.2">
      <c r="A20" s="206"/>
      <c r="C20" s="322"/>
      <c r="D20" s="507"/>
      <c r="E20" s="506"/>
      <c r="F20" s="330"/>
      <c r="G20" s="330"/>
      <c r="H20" s="330"/>
      <c r="I20" s="330"/>
      <c r="J20" s="330"/>
      <c r="K20" s="330"/>
      <c r="L20" s="330"/>
      <c r="M20" s="330"/>
      <c r="N20" s="330"/>
      <c r="O20" s="330"/>
      <c r="P20" s="330"/>
      <c r="Q20" s="330"/>
      <c r="R20" s="330"/>
      <c r="S20" s="330"/>
      <c r="T20" s="330"/>
    </row>
    <row r="21" spans="1:35" s="349" customFormat="1" ht="15" hidden="1" customHeight="1" x14ac:dyDescent="0.2">
      <c r="A21" s="346" t="s">
        <v>402</v>
      </c>
      <c r="B21" s="359" t="s">
        <v>509</v>
      </c>
      <c r="C21" s="346" t="s">
        <v>541</v>
      </c>
      <c r="D21" s="346" t="s">
        <v>546</v>
      </c>
      <c r="E21" s="206"/>
      <c r="F21" s="352"/>
      <c r="J21" s="352"/>
      <c r="K21" s="352"/>
      <c r="L21" s="352"/>
      <c r="M21" s="352"/>
      <c r="N21" s="352"/>
      <c r="O21" s="352"/>
      <c r="P21" s="352"/>
      <c r="U21" s="346"/>
      <c r="V21" s="368" t="e">
        <f>#REF!-1*#REF!/#REF!</f>
        <v>#REF!</v>
      </c>
    </row>
    <row r="22" spans="1:35" ht="15" hidden="1" customHeight="1" x14ac:dyDescent="0.2">
      <c r="A22" s="328">
        <v>1</v>
      </c>
      <c r="B22" s="329" t="s">
        <v>418</v>
      </c>
      <c r="C22" s="464">
        <f>Capex!B77/100</f>
        <v>141.82293750000002</v>
      </c>
      <c r="D22" s="465">
        <v>0.1</v>
      </c>
      <c r="E22" s="353"/>
      <c r="F22" s="330"/>
      <c r="L22" s="330"/>
      <c r="M22" s="330"/>
      <c r="N22" s="330"/>
      <c r="O22" s="330"/>
      <c r="P22" s="330"/>
    </row>
    <row r="23" spans="1:35" ht="15" hidden="1" customHeight="1" x14ac:dyDescent="0.2">
      <c r="A23" s="328">
        <v>2</v>
      </c>
      <c r="B23" s="329" t="s">
        <v>87</v>
      </c>
      <c r="C23" s="464">
        <f>Capex!B76/100</f>
        <v>465.0374120625001</v>
      </c>
      <c r="D23" s="465">
        <f>Norms!B52</f>
        <v>0.09</v>
      </c>
      <c r="E23" s="353"/>
      <c r="F23" s="330"/>
      <c r="J23" s="330"/>
      <c r="K23" s="330"/>
      <c r="L23" s="330"/>
      <c r="M23" s="330"/>
      <c r="N23" s="330"/>
      <c r="O23" s="330"/>
      <c r="P23" s="330"/>
    </row>
    <row r="24" spans="1:35" ht="15" hidden="1" customHeight="1" x14ac:dyDescent="0.2">
      <c r="A24" s="328">
        <v>3</v>
      </c>
      <c r="B24" s="329" t="s">
        <v>519</v>
      </c>
      <c r="C24" s="464">
        <f>C22+C23</f>
        <v>606.86034956250012</v>
      </c>
      <c r="D24" s="465">
        <f>(C22*D22+C23*D23)/SUM(C22:C23)</f>
        <v>9.2336994624912364E-2</v>
      </c>
      <c r="E24" s="353"/>
      <c r="F24" s="330"/>
      <c r="G24" s="330"/>
      <c r="H24" s="330"/>
      <c r="I24" s="330"/>
      <c r="J24" s="330"/>
      <c r="K24" s="330"/>
      <c r="L24" s="330"/>
      <c r="M24" s="330"/>
      <c r="N24" s="330"/>
      <c r="O24" s="330"/>
      <c r="P24" s="330"/>
    </row>
    <row r="25" spans="1:35" ht="15" hidden="1" customHeight="1" x14ac:dyDescent="0.2">
      <c r="A25" s="328">
        <v>4</v>
      </c>
      <c r="B25" s="500" t="s">
        <v>11</v>
      </c>
      <c r="C25" s="361">
        <f>NPV(D24,D12:T12)</f>
        <v>1668.8641027290932</v>
      </c>
      <c r="D25" s="322"/>
      <c r="E25" s="322"/>
      <c r="F25" s="330" t="s">
        <v>249</v>
      </c>
      <c r="G25" s="330"/>
      <c r="H25" s="322"/>
      <c r="I25" s="330"/>
      <c r="J25" s="322"/>
      <c r="K25" s="333"/>
      <c r="L25" s="330"/>
      <c r="M25" s="330"/>
      <c r="N25" s="330"/>
      <c r="O25" s="330"/>
      <c r="P25" s="330"/>
    </row>
    <row r="26" spans="1:35" ht="15" hidden="1" customHeight="1" x14ac:dyDescent="0.2">
      <c r="B26" s="326"/>
      <c r="C26" s="360"/>
      <c r="D26" s="322"/>
      <c r="E26" s="322"/>
      <c r="F26" s="330"/>
      <c r="G26" s="330"/>
      <c r="H26" s="322"/>
      <c r="I26" s="330"/>
      <c r="J26" s="322"/>
      <c r="K26" s="333"/>
      <c r="L26" s="330"/>
      <c r="M26" s="330"/>
      <c r="N26" s="330"/>
      <c r="O26" s="330"/>
      <c r="P26" s="330"/>
    </row>
    <row r="27" spans="1:35" ht="15" customHeight="1" x14ac:dyDescent="0.25">
      <c r="B27" s="582" t="s">
        <v>419</v>
      </c>
      <c r="C27" s="360"/>
      <c r="D27" s="322"/>
      <c r="E27" s="322"/>
      <c r="F27" s="330"/>
      <c r="G27" s="330"/>
      <c r="H27" s="322"/>
      <c r="I27" s="330"/>
      <c r="J27" s="322"/>
      <c r="K27" s="333"/>
      <c r="L27" s="330"/>
      <c r="M27" s="330"/>
      <c r="N27" s="330"/>
      <c r="O27" s="330"/>
      <c r="P27" s="330"/>
    </row>
    <row r="28" spans="1:35" s="347" customFormat="1" ht="15" customHeight="1" x14ac:dyDescent="0.2">
      <c r="A28" s="462" t="s">
        <v>402</v>
      </c>
      <c r="B28" s="359" t="s">
        <v>6</v>
      </c>
      <c r="C28" s="462" t="s">
        <v>441</v>
      </c>
      <c r="D28" s="462">
        <v>-2</v>
      </c>
      <c r="E28" s="462">
        <v>-1</v>
      </c>
      <c r="F28" s="381">
        <v>1</v>
      </c>
      <c r="G28" s="381">
        <v>2</v>
      </c>
      <c r="H28" s="381">
        <v>3</v>
      </c>
      <c r="I28" s="381">
        <v>4</v>
      </c>
      <c r="J28" s="381">
        <v>5</v>
      </c>
      <c r="K28" s="381">
        <v>6</v>
      </c>
      <c r="L28" s="381">
        <v>7</v>
      </c>
      <c r="M28" s="381">
        <v>8</v>
      </c>
      <c r="N28" s="381">
        <v>9</v>
      </c>
      <c r="O28" s="381">
        <v>10</v>
      </c>
      <c r="P28" s="381">
        <v>11</v>
      </c>
      <c r="Q28" s="381">
        <v>12</v>
      </c>
      <c r="R28" s="381">
        <v>13</v>
      </c>
      <c r="S28" s="381">
        <v>14</v>
      </c>
      <c r="T28" s="381">
        <v>15</v>
      </c>
      <c r="U28" s="349"/>
      <c r="V28" s="349"/>
      <c r="W28" s="349"/>
      <c r="X28" s="349"/>
      <c r="Y28" s="349"/>
      <c r="Z28" s="349"/>
      <c r="AA28" s="349"/>
      <c r="AB28" s="349"/>
      <c r="AC28" s="349"/>
      <c r="AD28" s="349"/>
      <c r="AE28" s="349"/>
      <c r="AF28" s="349"/>
      <c r="AG28" s="349"/>
      <c r="AH28" s="349"/>
      <c r="AI28" s="350"/>
    </row>
    <row r="29" spans="1:35" s="349" customFormat="1" ht="15" customHeight="1" x14ac:dyDescent="0.2">
      <c r="A29" s="351">
        <v>1</v>
      </c>
      <c r="B29" s="329" t="s">
        <v>72</v>
      </c>
      <c r="C29" s="351" t="s">
        <v>541</v>
      </c>
      <c r="D29" s="351"/>
      <c r="E29" s="351"/>
      <c r="F29" s="355">
        <f t="shared" ref="F29:T29" si="18">F4</f>
        <v>185.84845954354557</v>
      </c>
      <c r="G29" s="355">
        <f t="shared" si="18"/>
        <v>258.62969358731476</v>
      </c>
      <c r="H29" s="355">
        <f t="shared" si="18"/>
        <v>290.24590934368257</v>
      </c>
      <c r="I29" s="355">
        <f t="shared" si="18"/>
        <v>292.27855953160372</v>
      </c>
      <c r="J29" s="355">
        <f t="shared" si="18"/>
        <v>293.76236287775794</v>
      </c>
      <c r="K29" s="355">
        <f t="shared" si="18"/>
        <v>285.58555723451292</v>
      </c>
      <c r="L29" s="355">
        <f t="shared" si="18"/>
        <v>288.84994542463892</v>
      </c>
      <c r="M29" s="355">
        <f t="shared" si="18"/>
        <v>292.4085743473438</v>
      </c>
      <c r="N29" s="355">
        <f t="shared" si="18"/>
        <v>296.21739305991656</v>
      </c>
      <c r="O29" s="355">
        <f t="shared" si="18"/>
        <v>295.00727885863205</v>
      </c>
      <c r="P29" s="355">
        <f t="shared" si="18"/>
        <v>293.97806091882887</v>
      </c>
      <c r="Q29" s="355">
        <f t="shared" si="18"/>
        <v>293.10266688815591</v>
      </c>
      <c r="R29" s="355">
        <f t="shared" si="18"/>
        <v>292.35807905842773</v>
      </c>
      <c r="S29" s="355">
        <f t="shared" si="18"/>
        <v>303.84739805755902</v>
      </c>
      <c r="T29" s="355">
        <f t="shared" si="18"/>
        <v>303.30864127732195</v>
      </c>
    </row>
    <row r="30" spans="1:35" s="349" customFormat="1" ht="15" customHeight="1" x14ac:dyDescent="0.2">
      <c r="A30" s="351">
        <v>2</v>
      </c>
      <c r="B30" s="329" t="s">
        <v>505</v>
      </c>
      <c r="C30" s="351" t="s">
        <v>541</v>
      </c>
      <c r="D30" s="351"/>
      <c r="E30" s="351"/>
      <c r="F30" s="355">
        <f t="shared" ref="F30:T30" si="19">F5</f>
        <v>35.648709775000007</v>
      </c>
      <c r="G30" s="355">
        <f t="shared" si="19"/>
        <v>35.648709775000007</v>
      </c>
      <c r="H30" s="355">
        <f t="shared" si="19"/>
        <v>35.648709775000007</v>
      </c>
      <c r="I30" s="355">
        <f t="shared" si="19"/>
        <v>35.648709775000007</v>
      </c>
      <c r="J30" s="355">
        <f t="shared" si="19"/>
        <v>35.648709775000007</v>
      </c>
      <c r="K30" s="355">
        <f t="shared" si="19"/>
        <v>35.648709775000007</v>
      </c>
      <c r="L30" s="355">
        <f t="shared" si="19"/>
        <v>35.648709775000007</v>
      </c>
      <c r="M30" s="355">
        <f t="shared" si="19"/>
        <v>35.648709775000007</v>
      </c>
      <c r="N30" s="355">
        <f t="shared" si="19"/>
        <v>35.648709775000007</v>
      </c>
      <c r="O30" s="355">
        <f t="shared" si="19"/>
        <v>35.648709775000007</v>
      </c>
      <c r="P30" s="355">
        <f t="shared" si="19"/>
        <v>35.648709775000007</v>
      </c>
      <c r="Q30" s="355">
        <f t="shared" si="19"/>
        <v>35.648709775000007</v>
      </c>
      <c r="R30" s="355">
        <f t="shared" si="19"/>
        <v>35.648709775000007</v>
      </c>
      <c r="S30" s="355">
        <f t="shared" si="19"/>
        <v>35.648709775000007</v>
      </c>
      <c r="T30" s="355">
        <f t="shared" si="19"/>
        <v>35.648709775000007</v>
      </c>
    </row>
    <row r="31" spans="1:35" s="349" customFormat="1" ht="15" customHeight="1" x14ac:dyDescent="0.2">
      <c r="A31" s="351">
        <v>3</v>
      </c>
      <c r="B31" s="329" t="s">
        <v>520</v>
      </c>
      <c r="C31" s="351" t="s">
        <v>541</v>
      </c>
      <c r="D31" s="351"/>
      <c r="E31" s="351"/>
      <c r="F31" s="355">
        <f>-'Cashflow '!E89</f>
        <v>-58.129676507812512</v>
      </c>
      <c r="G31" s="355">
        <f>-'Cashflow '!F89</f>
        <v>-58.129676507812512</v>
      </c>
      <c r="H31" s="355">
        <f>-'Cashflow '!G89</f>
        <v>-58.129676507812512</v>
      </c>
      <c r="I31" s="355">
        <f>-'Cashflow '!H89</f>
        <v>-58.129676507812512</v>
      </c>
      <c r="J31" s="355">
        <f>-'Cashflow '!I89</f>
        <v>-58.129676507812512</v>
      </c>
      <c r="K31" s="355">
        <f>-'Cashflow '!J89</f>
        <v>-58.129676507812512</v>
      </c>
      <c r="L31" s="355">
        <f>-'Cashflow '!K89</f>
        <v>-58.129676507812512</v>
      </c>
      <c r="M31" s="355">
        <f>-'Cashflow '!L89</f>
        <v>-58.129676507812512</v>
      </c>
      <c r="N31" s="355">
        <f>-'Cashflow '!M89</f>
        <v>0</v>
      </c>
      <c r="O31" s="355">
        <f>-'Cashflow '!N89</f>
        <v>0</v>
      </c>
      <c r="P31" s="355">
        <f>-'Cashflow '!O89</f>
        <v>0</v>
      </c>
      <c r="Q31" s="355">
        <f>-'Cashflow '!P89</f>
        <v>0</v>
      </c>
      <c r="R31" s="355">
        <f>-'Cashflow '!Q89</f>
        <v>0</v>
      </c>
      <c r="S31" s="355">
        <f>-'Cashflow '!R89</f>
        <v>0</v>
      </c>
      <c r="T31" s="355">
        <f>-'Cashflow '!S89</f>
        <v>0</v>
      </c>
    </row>
    <row r="32" spans="1:35" s="349" customFormat="1" ht="15" customHeight="1" x14ac:dyDescent="0.2">
      <c r="A32" s="351">
        <v>4</v>
      </c>
      <c r="B32" s="329" t="s">
        <v>504</v>
      </c>
      <c r="C32" s="351" t="s">
        <v>541</v>
      </c>
      <c r="D32" s="351"/>
      <c r="E32" s="351"/>
      <c r="F32" s="357">
        <f t="shared" ref="F32:T32" si="20">F8</f>
        <v>0</v>
      </c>
      <c r="G32" s="357">
        <f t="shared" si="20"/>
        <v>0</v>
      </c>
      <c r="H32" s="357">
        <f t="shared" si="20"/>
        <v>0</v>
      </c>
      <c r="I32" s="357">
        <f t="shared" si="20"/>
        <v>0</v>
      </c>
      <c r="J32" s="357">
        <f t="shared" si="20"/>
        <v>0</v>
      </c>
      <c r="K32" s="357">
        <f t="shared" si="20"/>
        <v>0</v>
      </c>
      <c r="L32" s="357">
        <f t="shared" si="20"/>
        <v>0</v>
      </c>
      <c r="M32" s="357">
        <f t="shared" si="20"/>
        <v>0</v>
      </c>
      <c r="N32" s="357">
        <f t="shared" si="20"/>
        <v>0</v>
      </c>
      <c r="O32" s="357">
        <f t="shared" si="20"/>
        <v>0</v>
      </c>
      <c r="P32" s="357">
        <f t="shared" si="20"/>
        <v>0</v>
      </c>
      <c r="Q32" s="357">
        <f t="shared" si="20"/>
        <v>0</v>
      </c>
      <c r="R32" s="357">
        <f t="shared" si="20"/>
        <v>0</v>
      </c>
      <c r="S32" s="357">
        <f t="shared" si="20"/>
        <v>0</v>
      </c>
      <c r="T32" s="357">
        <f t="shared" si="20"/>
        <v>9.3351752172140046</v>
      </c>
    </row>
    <row r="33" spans="1:35" s="349" customFormat="1" ht="15" customHeight="1" x14ac:dyDescent="0.2">
      <c r="A33" s="351">
        <v>5</v>
      </c>
      <c r="B33" s="329" t="s">
        <v>518</v>
      </c>
      <c r="C33" s="351" t="s">
        <v>541</v>
      </c>
      <c r="D33" s="351"/>
      <c r="E33" s="351"/>
      <c r="F33" s="357">
        <f t="shared" ref="F33:T33" si="21">F9</f>
        <v>0</v>
      </c>
      <c r="G33" s="357">
        <f t="shared" si="21"/>
        <v>0</v>
      </c>
      <c r="H33" s="357">
        <f t="shared" si="21"/>
        <v>0</v>
      </c>
      <c r="I33" s="357">
        <f t="shared" si="21"/>
        <v>0</v>
      </c>
      <c r="J33" s="357">
        <f t="shared" si="21"/>
        <v>0</v>
      </c>
      <c r="K33" s="357">
        <f t="shared" si="21"/>
        <v>0</v>
      </c>
      <c r="L33" s="357">
        <f t="shared" si="21"/>
        <v>0</v>
      </c>
      <c r="M33" s="357">
        <f t="shared" si="21"/>
        <v>0</v>
      </c>
      <c r="N33" s="357">
        <f t="shared" si="21"/>
        <v>0</v>
      </c>
      <c r="O33" s="357">
        <f t="shared" si="21"/>
        <v>0</v>
      </c>
      <c r="P33" s="357">
        <f t="shared" si="21"/>
        <v>0</v>
      </c>
      <c r="Q33" s="357">
        <f t="shared" si="21"/>
        <v>0</v>
      </c>
      <c r="R33" s="357">
        <f t="shared" si="21"/>
        <v>0</v>
      </c>
      <c r="S33" s="357">
        <f t="shared" si="21"/>
        <v>0</v>
      </c>
      <c r="T33" s="357">
        <f t="shared" si="21"/>
        <v>-28.005525651642014</v>
      </c>
    </row>
    <row r="34" spans="1:35" s="349" customFormat="1" ht="15" customHeight="1" x14ac:dyDescent="0.2">
      <c r="A34" s="351">
        <v>6</v>
      </c>
      <c r="B34" s="332" t="s">
        <v>547</v>
      </c>
      <c r="C34" s="351" t="s">
        <v>541</v>
      </c>
      <c r="D34" s="351"/>
      <c r="E34" s="351"/>
      <c r="F34" s="354">
        <f t="shared" ref="F34:T34" si="22">F10</f>
        <v>0</v>
      </c>
      <c r="G34" s="354">
        <f t="shared" si="22"/>
        <v>0</v>
      </c>
      <c r="H34" s="354">
        <f t="shared" si="22"/>
        <v>0</v>
      </c>
      <c r="I34" s="354">
        <f t="shared" si="22"/>
        <v>0</v>
      </c>
      <c r="J34" s="354">
        <f t="shared" si="22"/>
        <v>0</v>
      </c>
      <c r="K34" s="354">
        <f t="shared" si="22"/>
        <v>0</v>
      </c>
      <c r="L34" s="354">
        <f t="shared" si="22"/>
        <v>0</v>
      </c>
      <c r="M34" s="354">
        <f t="shared" si="22"/>
        <v>0</v>
      </c>
      <c r="N34" s="354">
        <f t="shared" si="22"/>
        <v>0</v>
      </c>
      <c r="O34" s="354">
        <f t="shared" si="22"/>
        <v>0</v>
      </c>
      <c r="P34" s="354">
        <f t="shared" si="22"/>
        <v>0</v>
      </c>
      <c r="Q34" s="354">
        <f t="shared" si="22"/>
        <v>0</v>
      </c>
      <c r="R34" s="354">
        <f t="shared" si="22"/>
        <v>0</v>
      </c>
      <c r="S34" s="354">
        <f t="shared" si="22"/>
        <v>0</v>
      </c>
      <c r="T34" s="357">
        <f t="shared" si="22"/>
        <v>25.609625000000008</v>
      </c>
    </row>
    <row r="35" spans="1:35" s="349" customFormat="1" ht="15" customHeight="1" x14ac:dyDescent="0.2">
      <c r="A35" s="351">
        <v>7</v>
      </c>
      <c r="B35" s="460" t="s">
        <v>544</v>
      </c>
      <c r="C35" s="351" t="s">
        <v>541</v>
      </c>
      <c r="D35" s="463"/>
      <c r="E35" s="463"/>
      <c r="F35" s="388">
        <f>SUM(F29:F34)</f>
        <v>163.36749281073307</v>
      </c>
      <c r="G35" s="388">
        <f t="shared" ref="G35:J35" si="23">SUM(G29:G34)</f>
        <v>236.14872685450223</v>
      </c>
      <c r="H35" s="388">
        <f t="shared" si="23"/>
        <v>267.76494261087004</v>
      </c>
      <c r="I35" s="388">
        <f t="shared" si="23"/>
        <v>269.79759279879119</v>
      </c>
      <c r="J35" s="388">
        <f t="shared" si="23"/>
        <v>271.2813961449454</v>
      </c>
      <c r="K35" s="388">
        <f t="shared" ref="K35" si="24">SUM(K29:K34)</f>
        <v>263.10459050170039</v>
      </c>
      <c r="L35" s="388">
        <f t="shared" ref="L35" si="25">SUM(L29:L34)</f>
        <v>266.36897869182638</v>
      </c>
      <c r="M35" s="388">
        <f t="shared" ref="M35:N35" si="26">SUM(M29:M34)</f>
        <v>269.92760761453127</v>
      </c>
      <c r="N35" s="388">
        <f t="shared" si="26"/>
        <v>331.86610283491655</v>
      </c>
      <c r="O35" s="388">
        <f t="shared" ref="O35" si="27">SUM(O29:O34)</f>
        <v>330.65598863363203</v>
      </c>
      <c r="P35" s="388">
        <f t="shared" ref="P35" si="28">SUM(P29:P34)</f>
        <v>329.62677069382886</v>
      </c>
      <c r="Q35" s="388">
        <f t="shared" ref="Q35:R35" si="29">SUM(Q29:Q34)</f>
        <v>328.7513766631559</v>
      </c>
      <c r="R35" s="388">
        <f t="shared" si="29"/>
        <v>328.00678883342772</v>
      </c>
      <c r="S35" s="388">
        <f t="shared" ref="S35" si="30">SUM(S29:S34)</f>
        <v>339.49610783255901</v>
      </c>
      <c r="T35" s="388">
        <f t="shared" ref="T35" si="31">SUM(T29:T34)</f>
        <v>345.8966256178939</v>
      </c>
    </row>
    <row r="36" spans="1:35" s="349" customFormat="1" ht="15" customHeight="1" x14ac:dyDescent="0.2">
      <c r="A36" s="351">
        <v>8</v>
      </c>
      <c r="B36" s="329" t="s">
        <v>510</v>
      </c>
      <c r="C36" s="351" t="s">
        <v>541</v>
      </c>
      <c r="D36" s="461">
        <f>-C22</f>
        <v>-141.82293750000002</v>
      </c>
      <c r="E36" s="461">
        <f t="shared" ref="E36:T36" si="32">E35</f>
        <v>0</v>
      </c>
      <c r="F36" s="461">
        <f t="shared" si="32"/>
        <v>163.36749281073307</v>
      </c>
      <c r="G36" s="461">
        <f t="shared" si="32"/>
        <v>236.14872685450223</v>
      </c>
      <c r="H36" s="461">
        <f t="shared" si="32"/>
        <v>267.76494261087004</v>
      </c>
      <c r="I36" s="461">
        <f t="shared" si="32"/>
        <v>269.79759279879119</v>
      </c>
      <c r="J36" s="461">
        <f t="shared" si="32"/>
        <v>271.2813961449454</v>
      </c>
      <c r="K36" s="461">
        <f t="shared" si="32"/>
        <v>263.10459050170039</v>
      </c>
      <c r="L36" s="461">
        <f t="shared" si="32"/>
        <v>266.36897869182638</v>
      </c>
      <c r="M36" s="461">
        <f t="shared" si="32"/>
        <v>269.92760761453127</v>
      </c>
      <c r="N36" s="461">
        <f t="shared" si="32"/>
        <v>331.86610283491655</v>
      </c>
      <c r="O36" s="461">
        <f t="shared" si="32"/>
        <v>330.65598863363203</v>
      </c>
      <c r="P36" s="461">
        <f t="shared" si="32"/>
        <v>329.62677069382886</v>
      </c>
      <c r="Q36" s="461">
        <f t="shared" si="32"/>
        <v>328.7513766631559</v>
      </c>
      <c r="R36" s="461">
        <f t="shared" si="32"/>
        <v>328.00678883342772</v>
      </c>
      <c r="S36" s="461">
        <f t="shared" si="32"/>
        <v>339.49610783255901</v>
      </c>
      <c r="T36" s="461">
        <f t="shared" si="32"/>
        <v>345.8966256178939</v>
      </c>
    </row>
    <row r="37" spans="1:35" s="349" customFormat="1" ht="15" customHeight="1" x14ac:dyDescent="0.2">
      <c r="A37" s="351">
        <v>9</v>
      </c>
      <c r="B37" s="329" t="s">
        <v>545</v>
      </c>
      <c r="C37" s="346" t="s">
        <v>541</v>
      </c>
      <c r="D37" s="670">
        <f>IRR(D36:T36)</f>
        <v>0.82468666651504452</v>
      </c>
      <c r="E37" s="461"/>
      <c r="F37" s="461"/>
      <c r="G37" s="461"/>
      <c r="H37" s="461"/>
      <c r="I37" s="461"/>
      <c r="J37" s="461"/>
      <c r="K37" s="461"/>
      <c r="L37" s="461"/>
      <c r="M37" s="461"/>
      <c r="N37" s="461"/>
      <c r="O37" s="461"/>
      <c r="P37" s="461"/>
      <c r="Q37" s="461"/>
      <c r="R37" s="461"/>
      <c r="S37" s="461"/>
      <c r="T37" s="461"/>
    </row>
    <row r="38" spans="1:35" s="349" customFormat="1" ht="15" customHeight="1" x14ac:dyDescent="0.2">
      <c r="A38" s="206"/>
      <c r="B38" s="324"/>
      <c r="C38" s="206"/>
      <c r="D38" s="422"/>
      <c r="E38" s="510"/>
      <c r="F38" s="510"/>
      <c r="G38" s="510"/>
      <c r="H38" s="510"/>
      <c r="I38" s="510"/>
      <c r="J38" s="510"/>
      <c r="K38" s="510"/>
      <c r="L38" s="510"/>
      <c r="M38" s="510"/>
      <c r="N38" s="510"/>
      <c r="O38" s="510"/>
      <c r="P38" s="510"/>
      <c r="Q38" s="510"/>
      <c r="R38" s="510"/>
      <c r="S38" s="510"/>
      <c r="T38" s="510"/>
    </row>
    <row r="39" spans="1:35" s="349" customFormat="1" ht="15" customHeight="1" x14ac:dyDescent="0.2">
      <c r="A39" s="462" t="s">
        <v>402</v>
      </c>
      <c r="B39" s="338" t="s">
        <v>574</v>
      </c>
      <c r="C39" s="322"/>
      <c r="D39" s="507"/>
      <c r="E39" s="506"/>
      <c r="F39" s="502"/>
      <c r="G39" s="502"/>
      <c r="H39" s="502"/>
      <c r="I39" s="502"/>
      <c r="J39" s="502"/>
      <c r="K39" s="502"/>
      <c r="L39" s="502"/>
      <c r="M39" s="502"/>
      <c r="N39" s="502"/>
      <c r="O39" s="502"/>
      <c r="P39" s="502"/>
      <c r="Q39" s="502"/>
      <c r="R39" s="502"/>
      <c r="S39" s="502"/>
      <c r="T39" s="502"/>
    </row>
    <row r="40" spans="1:35" s="349" customFormat="1" ht="15" customHeight="1" x14ac:dyDescent="0.2">
      <c r="A40" s="462">
        <v>1</v>
      </c>
      <c r="B40" s="329" t="s">
        <v>575</v>
      </c>
      <c r="C40" s="328" t="s">
        <v>552</v>
      </c>
      <c r="D40" s="508"/>
      <c r="E40" s="471">
        <f>-D36</f>
        <v>141.82293750000002</v>
      </c>
      <c r="F40" s="509">
        <f>F36</f>
        <v>163.36749281073307</v>
      </c>
      <c r="G40" s="509">
        <f>G36+F36</f>
        <v>399.51621966523533</v>
      </c>
      <c r="H40" s="509">
        <f>H36+G40</f>
        <v>667.28116227610531</v>
      </c>
      <c r="I40" s="509">
        <f>I36+H40</f>
        <v>937.07875507489643</v>
      </c>
      <c r="J40" s="509">
        <f t="shared" ref="J40:T40" si="33">J36+I40</f>
        <v>1208.3601512198418</v>
      </c>
      <c r="K40" s="509">
        <f t="shared" si="33"/>
        <v>1471.4647417215422</v>
      </c>
      <c r="L40" s="509">
        <f t="shared" si="33"/>
        <v>1737.8337204133686</v>
      </c>
      <c r="M40" s="509">
        <f t="shared" si="33"/>
        <v>2007.7613280278999</v>
      </c>
      <c r="N40" s="509">
        <f t="shared" si="33"/>
        <v>2339.6274308628163</v>
      </c>
      <c r="O40" s="509">
        <f t="shared" si="33"/>
        <v>2670.2834194964485</v>
      </c>
      <c r="P40" s="509">
        <f t="shared" si="33"/>
        <v>2999.9101901902773</v>
      </c>
      <c r="Q40" s="509">
        <f t="shared" si="33"/>
        <v>3328.6615668534332</v>
      </c>
      <c r="R40" s="509">
        <f t="shared" si="33"/>
        <v>3656.6683556868611</v>
      </c>
      <c r="S40" s="509">
        <f t="shared" si="33"/>
        <v>3996.1644635194202</v>
      </c>
      <c r="T40" s="509">
        <f t="shared" si="33"/>
        <v>4342.0610891373144</v>
      </c>
    </row>
    <row r="41" spans="1:35" s="349" customFormat="1" ht="15" customHeight="1" x14ac:dyDescent="0.2">
      <c r="A41" s="346">
        <v>2</v>
      </c>
      <c r="B41" s="329" t="s">
        <v>508</v>
      </c>
      <c r="C41" s="328"/>
      <c r="D41" s="508"/>
      <c r="E41" s="471"/>
      <c r="F41" s="331" t="b">
        <f>IF(F40&lt;$E$40,TRUE,FALSE)</f>
        <v>0</v>
      </c>
      <c r="G41" s="331" t="b">
        <f t="shared" ref="G41:T41" si="34">IF(G40&lt;$E$40,TRUE,FALSE)</f>
        <v>0</v>
      </c>
      <c r="H41" s="331" t="b">
        <f t="shared" si="34"/>
        <v>0</v>
      </c>
      <c r="I41" s="331" t="b">
        <f t="shared" si="34"/>
        <v>0</v>
      </c>
      <c r="J41" s="331" t="b">
        <f t="shared" si="34"/>
        <v>0</v>
      </c>
      <c r="K41" s="331" t="b">
        <f t="shared" si="34"/>
        <v>0</v>
      </c>
      <c r="L41" s="331" t="b">
        <f t="shared" si="34"/>
        <v>0</v>
      </c>
      <c r="M41" s="331" t="b">
        <f t="shared" si="34"/>
        <v>0</v>
      </c>
      <c r="N41" s="331" t="b">
        <f t="shared" si="34"/>
        <v>0</v>
      </c>
      <c r="O41" s="331" t="b">
        <f t="shared" si="34"/>
        <v>0</v>
      </c>
      <c r="P41" s="331" t="b">
        <f t="shared" si="34"/>
        <v>0</v>
      </c>
      <c r="Q41" s="331" t="b">
        <f t="shared" si="34"/>
        <v>0</v>
      </c>
      <c r="R41" s="331" t="b">
        <f t="shared" si="34"/>
        <v>0</v>
      </c>
      <c r="S41" s="331" t="b">
        <f t="shared" si="34"/>
        <v>0</v>
      </c>
      <c r="T41" s="331" t="b">
        <f t="shared" si="34"/>
        <v>0</v>
      </c>
    </row>
    <row r="42" spans="1:35" s="349" customFormat="1" ht="15" customHeight="1" x14ac:dyDescent="0.2">
      <c r="A42" s="346">
        <v>3</v>
      </c>
      <c r="B42" s="329"/>
      <c r="C42" s="328"/>
      <c r="D42" s="508"/>
      <c r="E42" s="471"/>
      <c r="F42" s="331">
        <f>IF(F41=TRUE,1,$E$40/F40)</f>
        <v>0.86812214021247691</v>
      </c>
      <c r="G42" s="331">
        <f>IF(G41=TRUE,1,($E$40-F40)/G36)</f>
        <v>-9.1232993705730389E-2</v>
      </c>
      <c r="H42" s="331">
        <f t="shared" ref="H42:T42" si="35">IF(H41=TRUE,1,($E$40-G40)/H36)</f>
        <v>-0.96238618712580537</v>
      </c>
      <c r="I42" s="331">
        <f t="shared" si="35"/>
        <v>-1.9476016050594633</v>
      </c>
      <c r="J42" s="331">
        <f t="shared" si="35"/>
        <v>-2.9314793748333257</v>
      </c>
      <c r="K42" s="331">
        <f t="shared" si="35"/>
        <v>-4.0536625061771732</v>
      </c>
      <c r="L42" s="331">
        <f t="shared" si="35"/>
        <v>-4.9917291823980046</v>
      </c>
      <c r="M42" s="331">
        <f t="shared" si="35"/>
        <v>-5.9127363703846978</v>
      </c>
      <c r="N42" s="331">
        <f t="shared" si="35"/>
        <v>-5.6225639635636186</v>
      </c>
      <c r="O42" s="331">
        <f t="shared" si="35"/>
        <v>-6.6468008108511567</v>
      </c>
      <c r="P42" s="331">
        <f t="shared" si="35"/>
        <v>-7.6706769801321393</v>
      </c>
      <c r="Q42" s="331">
        <f t="shared" si="35"/>
        <v>-8.6937651233586184</v>
      </c>
      <c r="R42" s="331">
        <f t="shared" si="35"/>
        <v>-9.7157703372164388</v>
      </c>
      <c r="S42" s="331">
        <f t="shared" si="35"/>
        <v>-10.353124342504682</v>
      </c>
      <c r="T42" s="331">
        <f t="shared" si="35"/>
        <v>-11.143044599334269</v>
      </c>
    </row>
    <row r="43" spans="1:35" s="349" customFormat="1" ht="15" customHeight="1" x14ac:dyDescent="0.2">
      <c r="A43" s="346">
        <v>4</v>
      </c>
      <c r="B43" s="329" t="s">
        <v>576</v>
      </c>
      <c r="C43" s="328" t="s">
        <v>296</v>
      </c>
      <c r="D43" s="485">
        <f>SUM(F42:I42)+J42</f>
        <v>-5.0645780205118474</v>
      </c>
      <c r="E43" s="506"/>
      <c r="F43" s="330"/>
      <c r="G43" s="330"/>
      <c r="H43" s="330"/>
      <c r="I43" s="330"/>
      <c r="J43" s="330"/>
      <c r="K43" s="330"/>
      <c r="L43" s="330"/>
      <c r="M43" s="330"/>
      <c r="N43" s="330"/>
      <c r="O43" s="330"/>
      <c r="P43" s="330"/>
      <c r="Q43" s="330"/>
      <c r="R43" s="330"/>
      <c r="S43" s="330"/>
      <c r="T43" s="330"/>
    </row>
    <row r="44" spans="1:35" s="349" customFormat="1" ht="15" customHeight="1" x14ac:dyDescent="0.2">
      <c r="A44" s="206"/>
      <c r="B44" s="324"/>
      <c r="C44" s="206"/>
      <c r="D44" s="422"/>
      <c r="E44" s="510"/>
      <c r="F44" s="510"/>
      <c r="G44" s="510"/>
      <c r="H44" s="510"/>
      <c r="I44" s="510"/>
      <c r="J44" s="510"/>
      <c r="K44" s="510"/>
      <c r="L44" s="510"/>
      <c r="M44" s="510"/>
      <c r="N44" s="510"/>
      <c r="O44" s="510"/>
      <c r="P44" s="510"/>
      <c r="Q44" s="510"/>
      <c r="R44" s="510"/>
      <c r="S44" s="510"/>
      <c r="T44" s="510"/>
    </row>
    <row r="45" spans="1:35" ht="15" customHeight="1" x14ac:dyDescent="0.2">
      <c r="D45" s="326"/>
      <c r="E45" s="326"/>
      <c r="J45" s="325"/>
    </row>
    <row r="46" spans="1:35" s="349" customFormat="1" ht="15" customHeight="1" x14ac:dyDescent="0.2">
      <c r="A46" s="206"/>
      <c r="D46" s="363"/>
      <c r="E46" s="363"/>
      <c r="J46" s="362"/>
      <c r="U46" s="346"/>
      <c r="V46" s="369"/>
    </row>
    <row r="47" spans="1:35" s="367" customFormat="1" ht="15" customHeight="1" x14ac:dyDescent="0.25">
      <c r="A47" s="462" t="s">
        <v>402</v>
      </c>
      <c r="B47" s="668" t="s">
        <v>120</v>
      </c>
      <c r="C47" s="462" t="s">
        <v>441</v>
      </c>
      <c r="D47" s="462">
        <f t="shared" ref="D47:T47" si="36">D3</f>
        <v>-2</v>
      </c>
      <c r="E47" s="462">
        <f t="shared" si="36"/>
        <v>-1</v>
      </c>
      <c r="F47" s="462">
        <f t="shared" si="36"/>
        <v>1</v>
      </c>
      <c r="G47" s="462">
        <f t="shared" si="36"/>
        <v>2</v>
      </c>
      <c r="H47" s="462">
        <f t="shared" si="36"/>
        <v>3</v>
      </c>
      <c r="I47" s="462">
        <f t="shared" si="36"/>
        <v>4</v>
      </c>
      <c r="J47" s="462">
        <f t="shared" si="36"/>
        <v>5</v>
      </c>
      <c r="K47" s="462">
        <f t="shared" si="36"/>
        <v>6</v>
      </c>
      <c r="L47" s="462">
        <f t="shared" si="36"/>
        <v>7</v>
      </c>
      <c r="M47" s="462">
        <f t="shared" si="36"/>
        <v>8</v>
      </c>
      <c r="N47" s="462">
        <f t="shared" si="36"/>
        <v>9</v>
      </c>
      <c r="O47" s="462">
        <f t="shared" si="36"/>
        <v>10</v>
      </c>
      <c r="P47" s="462">
        <f t="shared" si="36"/>
        <v>11</v>
      </c>
      <c r="Q47" s="462">
        <f t="shared" si="36"/>
        <v>12</v>
      </c>
      <c r="R47" s="462">
        <f t="shared" si="36"/>
        <v>13</v>
      </c>
      <c r="S47" s="462">
        <f t="shared" si="36"/>
        <v>14</v>
      </c>
      <c r="T47" s="462">
        <f t="shared" si="36"/>
        <v>15</v>
      </c>
      <c r="U47" s="365"/>
      <c r="V47" s="370"/>
      <c r="W47" s="371"/>
      <c r="X47" s="371"/>
      <c r="Y47" s="371"/>
      <c r="Z47" s="371"/>
      <c r="AA47" s="371"/>
      <c r="AB47" s="371"/>
      <c r="AC47" s="371"/>
      <c r="AD47" s="371"/>
      <c r="AE47" s="371"/>
      <c r="AF47" s="371"/>
      <c r="AG47" s="371"/>
      <c r="AH47" s="371"/>
      <c r="AI47" s="366"/>
    </row>
    <row r="48" spans="1:35" s="349" customFormat="1" ht="15" customHeight="1" x14ac:dyDescent="0.2">
      <c r="A48" s="346">
        <v>1</v>
      </c>
      <c r="B48" s="460" t="s">
        <v>511</v>
      </c>
      <c r="C48" s="351" t="s">
        <v>541</v>
      </c>
      <c r="D48" s="466" t="s">
        <v>503</v>
      </c>
      <c r="E48" s="466"/>
      <c r="F48" s="467">
        <f t="shared" ref="F48:T48" si="37">F6</f>
        <v>41.85336708562501</v>
      </c>
      <c r="G48" s="467">
        <f t="shared" si="37"/>
        <v>36.621696199921878</v>
      </c>
      <c r="H48" s="467">
        <f t="shared" si="37"/>
        <v>31.390025314218754</v>
      </c>
      <c r="I48" s="467">
        <f t="shared" si="37"/>
        <v>26.158354428515626</v>
      </c>
      <c r="J48" s="467">
        <f t="shared" si="37"/>
        <v>20.926683542812501</v>
      </c>
      <c r="K48" s="467">
        <f t="shared" si="37"/>
        <v>15.695012657109375</v>
      </c>
      <c r="L48" s="467">
        <f t="shared" si="37"/>
        <v>10.463341771406247</v>
      </c>
      <c r="M48" s="467">
        <f t="shared" si="37"/>
        <v>5.2316708857031218</v>
      </c>
      <c r="N48" s="467">
        <f t="shared" si="37"/>
        <v>0</v>
      </c>
      <c r="O48" s="467">
        <f t="shared" si="37"/>
        <v>0</v>
      </c>
      <c r="P48" s="467">
        <f t="shared" si="37"/>
        <v>0</v>
      </c>
      <c r="Q48" s="467">
        <f t="shared" si="37"/>
        <v>0</v>
      </c>
      <c r="R48" s="467">
        <f t="shared" si="37"/>
        <v>0</v>
      </c>
      <c r="S48" s="467">
        <f t="shared" si="37"/>
        <v>0</v>
      </c>
      <c r="T48" s="467">
        <f t="shared" si="37"/>
        <v>0</v>
      </c>
    </row>
    <row r="49" spans="1:49" ht="15" customHeight="1" x14ac:dyDescent="0.2">
      <c r="A49" s="328">
        <v>2</v>
      </c>
      <c r="B49" s="332" t="s">
        <v>512</v>
      </c>
      <c r="C49" s="351" t="s">
        <v>541</v>
      </c>
      <c r="D49" s="331" t="s">
        <v>503</v>
      </c>
      <c r="E49" s="331"/>
      <c r="F49" s="468">
        <f t="shared" ref="F49:T49" si="38">-F31</f>
        <v>58.129676507812512</v>
      </c>
      <c r="G49" s="468">
        <f t="shared" si="38"/>
        <v>58.129676507812512</v>
      </c>
      <c r="H49" s="468">
        <f t="shared" si="38"/>
        <v>58.129676507812512</v>
      </c>
      <c r="I49" s="468">
        <f t="shared" si="38"/>
        <v>58.129676507812512</v>
      </c>
      <c r="J49" s="468">
        <f t="shared" si="38"/>
        <v>58.129676507812512</v>
      </c>
      <c r="K49" s="468">
        <f t="shared" si="38"/>
        <v>58.129676507812512</v>
      </c>
      <c r="L49" s="468">
        <f t="shared" si="38"/>
        <v>58.129676507812512</v>
      </c>
      <c r="M49" s="468">
        <f t="shared" si="38"/>
        <v>58.129676507812512</v>
      </c>
      <c r="N49" s="468">
        <f t="shared" si="38"/>
        <v>0</v>
      </c>
      <c r="O49" s="468">
        <f t="shared" si="38"/>
        <v>0</v>
      </c>
      <c r="P49" s="468">
        <f t="shared" si="38"/>
        <v>0</v>
      </c>
      <c r="Q49" s="468">
        <f t="shared" si="38"/>
        <v>0</v>
      </c>
      <c r="R49" s="468">
        <f t="shared" si="38"/>
        <v>0</v>
      </c>
      <c r="S49" s="468">
        <f t="shared" si="38"/>
        <v>0</v>
      </c>
      <c r="T49" s="468">
        <f t="shared" si="38"/>
        <v>0</v>
      </c>
      <c r="U49" s="335"/>
    </row>
    <row r="50" spans="1:49" ht="15" customHeight="1" x14ac:dyDescent="0.2">
      <c r="A50" s="328">
        <v>3</v>
      </c>
      <c r="B50" s="329" t="s">
        <v>513</v>
      </c>
      <c r="C50" s="351" t="s">
        <v>541</v>
      </c>
      <c r="D50" s="331"/>
      <c r="E50" s="331"/>
      <c r="F50" s="468">
        <f>F48+F49</f>
        <v>99.983043593437515</v>
      </c>
      <c r="G50" s="468">
        <f t="shared" ref="G50:T50" si="39">G48+G49</f>
        <v>94.75137270773439</v>
      </c>
      <c r="H50" s="468">
        <f t="shared" si="39"/>
        <v>89.519701822031266</v>
      </c>
      <c r="I50" s="468">
        <f t="shared" si="39"/>
        <v>84.288030936328141</v>
      </c>
      <c r="J50" s="468">
        <f t="shared" si="39"/>
        <v>79.056360050625017</v>
      </c>
      <c r="K50" s="468">
        <f t="shared" si="39"/>
        <v>73.824689164921892</v>
      </c>
      <c r="L50" s="468">
        <f t="shared" si="39"/>
        <v>68.593018279218754</v>
      </c>
      <c r="M50" s="468">
        <f t="shared" si="39"/>
        <v>63.361347393515636</v>
      </c>
      <c r="N50" s="468">
        <f t="shared" si="39"/>
        <v>0</v>
      </c>
      <c r="O50" s="468">
        <f t="shared" si="39"/>
        <v>0</v>
      </c>
      <c r="P50" s="468">
        <f t="shared" si="39"/>
        <v>0</v>
      </c>
      <c r="Q50" s="469">
        <f t="shared" si="39"/>
        <v>0</v>
      </c>
      <c r="R50" s="468">
        <f t="shared" si="39"/>
        <v>0</v>
      </c>
      <c r="S50" s="468">
        <f t="shared" si="39"/>
        <v>0</v>
      </c>
      <c r="T50" s="468">
        <f t="shared" si="39"/>
        <v>0</v>
      </c>
    </row>
    <row r="51" spans="1:49" ht="15" customHeight="1" x14ac:dyDescent="0.2">
      <c r="A51" s="328">
        <v>4</v>
      </c>
      <c r="B51" s="329" t="s">
        <v>514</v>
      </c>
      <c r="C51" s="351" t="s">
        <v>541</v>
      </c>
      <c r="D51" s="331"/>
      <c r="E51" s="331"/>
      <c r="F51" s="468">
        <f t="shared" ref="F51:T51" si="40">F4+F5+F6</f>
        <v>263.35053640417061</v>
      </c>
      <c r="G51" s="468">
        <f t="shared" si="40"/>
        <v>330.90009956223662</v>
      </c>
      <c r="H51" s="468">
        <f t="shared" si="40"/>
        <v>357.2846444329013</v>
      </c>
      <c r="I51" s="468">
        <f t="shared" si="40"/>
        <v>354.08562373511933</v>
      </c>
      <c r="J51" s="468">
        <f t="shared" si="40"/>
        <v>350.33775619557042</v>
      </c>
      <c r="K51" s="468">
        <f t="shared" si="40"/>
        <v>336.92927966662228</v>
      </c>
      <c r="L51" s="468">
        <f t="shared" si="40"/>
        <v>334.96199697104515</v>
      </c>
      <c r="M51" s="468">
        <f t="shared" si="40"/>
        <v>333.28895500804691</v>
      </c>
      <c r="N51" s="468">
        <f t="shared" si="40"/>
        <v>331.86610283491655</v>
      </c>
      <c r="O51" s="468">
        <f t="shared" si="40"/>
        <v>330.65598863363203</v>
      </c>
      <c r="P51" s="468">
        <f t="shared" si="40"/>
        <v>329.62677069382886</v>
      </c>
      <c r="Q51" s="468">
        <f t="shared" si="40"/>
        <v>328.7513766631559</v>
      </c>
      <c r="R51" s="468">
        <f t="shared" si="40"/>
        <v>328.00678883342772</v>
      </c>
      <c r="S51" s="468">
        <f t="shared" si="40"/>
        <v>339.49610783255901</v>
      </c>
      <c r="T51" s="468">
        <f t="shared" si="40"/>
        <v>338.95735105232194</v>
      </c>
    </row>
    <row r="52" spans="1:49" s="329" customFormat="1" ht="15" customHeight="1" x14ac:dyDescent="0.2">
      <c r="A52" s="328">
        <v>5</v>
      </c>
      <c r="B52" s="332" t="s">
        <v>120</v>
      </c>
      <c r="C52" s="328" t="s">
        <v>515</v>
      </c>
      <c r="D52" s="331"/>
      <c r="E52" s="331"/>
      <c r="F52" s="331">
        <f>IF(F50&gt;10,F51/F50,0)</f>
        <v>2.6339519876493926</v>
      </c>
      <c r="G52" s="331">
        <f t="shared" ref="G52:T52" si="41">IF(G50&gt;10,G51/G50,0)</f>
        <v>3.4922987404405785</v>
      </c>
      <c r="H52" s="331">
        <f t="shared" si="41"/>
        <v>3.9911286248830162</v>
      </c>
      <c r="I52" s="331">
        <f t="shared" si="41"/>
        <v>4.2009004101970122</v>
      </c>
      <c r="J52" s="331">
        <f t="shared" si="41"/>
        <v>4.4314936327858501</v>
      </c>
      <c r="K52" s="331">
        <f t="shared" si="41"/>
        <v>4.5639105762292278</v>
      </c>
      <c r="L52" s="331">
        <f t="shared" si="41"/>
        <v>4.8833249414325124</v>
      </c>
      <c r="M52" s="331">
        <f t="shared" si="41"/>
        <v>5.2601304852010697</v>
      </c>
      <c r="N52" s="331">
        <f t="shared" si="41"/>
        <v>0</v>
      </c>
      <c r="O52" s="331">
        <f t="shared" si="41"/>
        <v>0</v>
      </c>
      <c r="P52" s="331">
        <f t="shared" si="41"/>
        <v>0</v>
      </c>
      <c r="Q52" s="331">
        <f t="shared" si="41"/>
        <v>0</v>
      </c>
      <c r="R52" s="331">
        <f t="shared" si="41"/>
        <v>0</v>
      </c>
      <c r="S52" s="331">
        <f t="shared" si="41"/>
        <v>0</v>
      </c>
      <c r="T52" s="331">
        <f t="shared" si="41"/>
        <v>0</v>
      </c>
      <c r="U52" s="324"/>
      <c r="V52" s="324"/>
      <c r="W52" s="349"/>
      <c r="X52" s="349"/>
      <c r="Y52" s="349"/>
      <c r="Z52" s="349"/>
      <c r="AA52" s="349"/>
      <c r="AB52" s="349"/>
      <c r="AC52" s="349"/>
      <c r="AD52" s="349"/>
      <c r="AE52" s="349"/>
      <c r="AF52" s="349"/>
      <c r="AG52" s="349"/>
      <c r="AH52" s="349"/>
      <c r="AI52" s="350"/>
      <c r="AJ52" s="347"/>
      <c r="AK52" s="347"/>
      <c r="AL52" s="347"/>
      <c r="AM52" s="347"/>
      <c r="AN52" s="347"/>
      <c r="AO52" s="347"/>
      <c r="AP52" s="347"/>
      <c r="AQ52" s="347"/>
      <c r="AR52" s="347"/>
      <c r="AS52" s="347"/>
      <c r="AT52" s="347"/>
      <c r="AU52" s="347"/>
      <c r="AV52" s="347"/>
      <c r="AW52" s="347"/>
    </row>
    <row r="53" spans="1:49" ht="15" customHeight="1" x14ac:dyDescent="0.2">
      <c r="A53" s="328">
        <v>6</v>
      </c>
      <c r="B53" s="336" t="s">
        <v>516</v>
      </c>
      <c r="C53" s="328" t="s">
        <v>515</v>
      </c>
      <c r="D53" s="337">
        <f>AVERAGE(F52:T52)</f>
        <v>2.2304759599212436</v>
      </c>
      <c r="E53" s="344"/>
      <c r="F53" s="322"/>
      <c r="G53" s="322"/>
      <c r="H53" s="322"/>
      <c r="I53" s="322"/>
      <c r="J53" s="322"/>
      <c r="K53" s="322"/>
      <c r="L53" s="322"/>
      <c r="M53" s="322"/>
      <c r="N53" s="322"/>
      <c r="O53" s="322"/>
    </row>
    <row r="54" spans="1:49" ht="15" customHeight="1" x14ac:dyDescent="0.2">
      <c r="B54" s="338"/>
      <c r="D54" s="322"/>
      <c r="E54" s="322"/>
      <c r="F54" s="322"/>
      <c r="G54" s="322"/>
      <c r="H54" s="322"/>
      <c r="I54" s="322"/>
      <c r="J54" s="322"/>
      <c r="K54" s="322"/>
      <c r="L54" s="322"/>
      <c r="M54" s="322"/>
      <c r="N54" s="322"/>
      <c r="O54" s="322"/>
    </row>
    <row r="55" spans="1:49" ht="15" customHeight="1" x14ac:dyDescent="0.2">
      <c r="B55" s="326"/>
      <c r="D55" s="330"/>
      <c r="E55" s="330"/>
      <c r="F55" s="330"/>
      <c r="G55" s="330"/>
      <c r="H55" s="330"/>
      <c r="I55" s="330"/>
      <c r="J55" s="330"/>
      <c r="K55" s="330"/>
      <c r="L55" s="330"/>
      <c r="M55" s="330"/>
      <c r="N55" s="330"/>
      <c r="O55" s="330"/>
      <c r="P55" s="330"/>
      <c r="Q55" s="330"/>
      <c r="R55" s="330"/>
      <c r="S55" s="330"/>
      <c r="T55" s="330"/>
      <c r="U55" s="335"/>
    </row>
    <row r="56" spans="1:49" ht="15" customHeight="1" x14ac:dyDescent="0.2">
      <c r="D56" s="330"/>
      <c r="E56" s="330"/>
      <c r="F56" s="330"/>
      <c r="G56" s="330"/>
      <c r="H56" s="330"/>
      <c r="I56" s="330"/>
      <c r="J56" s="330"/>
      <c r="K56" s="330"/>
      <c r="L56" s="330"/>
      <c r="M56" s="330"/>
      <c r="N56" s="330"/>
      <c r="O56" s="330"/>
      <c r="P56" s="335"/>
    </row>
    <row r="57" spans="1:49" ht="15" customHeight="1" x14ac:dyDescent="0.2">
      <c r="B57" s="326"/>
      <c r="D57" s="334"/>
      <c r="E57" s="334"/>
      <c r="F57" s="322"/>
      <c r="G57" s="330"/>
      <c r="H57" s="330"/>
      <c r="I57" s="330"/>
      <c r="J57" s="330"/>
      <c r="K57" s="330"/>
      <c r="L57" s="330"/>
      <c r="M57" s="330"/>
      <c r="N57" s="330"/>
      <c r="O57" s="330"/>
      <c r="P57" s="335"/>
    </row>
    <row r="58" spans="1:49" ht="15" customHeight="1" x14ac:dyDescent="0.2">
      <c r="B58" s="326"/>
      <c r="D58" s="330"/>
      <c r="E58" s="330"/>
      <c r="F58" s="330"/>
      <c r="G58" s="330"/>
      <c r="H58" s="330"/>
      <c r="I58" s="330"/>
      <c r="J58" s="330"/>
      <c r="K58" s="330"/>
      <c r="L58" s="330"/>
      <c r="M58" s="330"/>
      <c r="N58" s="330"/>
      <c r="O58" s="330"/>
      <c r="P58" s="335"/>
    </row>
    <row r="59" spans="1:49" ht="15" customHeight="1" x14ac:dyDescent="0.2">
      <c r="D59" s="330"/>
      <c r="E59" s="330"/>
      <c r="F59" s="334"/>
      <c r="G59" s="330"/>
      <c r="H59" s="330"/>
      <c r="I59" s="330"/>
      <c r="J59" s="330"/>
      <c r="K59" s="330"/>
      <c r="L59" s="330"/>
      <c r="M59" s="330"/>
      <c r="N59" s="330"/>
      <c r="O59" s="330"/>
      <c r="P59" s="335"/>
    </row>
    <row r="60" spans="1:49" ht="15" customHeight="1" x14ac:dyDescent="0.2">
      <c r="B60" s="326"/>
      <c r="D60" s="330"/>
      <c r="E60" s="330"/>
      <c r="F60" s="334"/>
      <c r="G60" s="334"/>
      <c r="H60" s="334"/>
      <c r="I60" s="334"/>
      <c r="J60" s="334"/>
      <c r="K60" s="334"/>
      <c r="L60" s="334"/>
      <c r="M60" s="334"/>
      <c r="N60" s="334"/>
      <c r="O60" s="334"/>
      <c r="P60" s="334"/>
      <c r="Q60" s="334"/>
      <c r="R60" s="334"/>
      <c r="S60" s="339"/>
      <c r="T60" s="339"/>
      <c r="U60" s="335"/>
      <c r="V60" s="335"/>
    </row>
    <row r="61" spans="1:49" ht="15" customHeight="1" x14ac:dyDescent="0.2">
      <c r="B61" s="340"/>
      <c r="C61" s="340"/>
      <c r="D61" s="341"/>
      <c r="E61" s="341"/>
      <c r="F61" s="322"/>
      <c r="G61" s="322"/>
      <c r="H61" s="322"/>
      <c r="I61" s="322"/>
      <c r="J61" s="322"/>
      <c r="K61" s="322"/>
      <c r="L61" s="322"/>
      <c r="M61" s="322"/>
      <c r="N61" s="322"/>
      <c r="O61" s="322"/>
      <c r="P61" s="335"/>
    </row>
    <row r="62" spans="1:49" ht="15" customHeight="1" x14ac:dyDescent="0.2">
      <c r="B62" s="342"/>
      <c r="D62" s="330"/>
      <c r="E62" s="330"/>
      <c r="F62" s="330"/>
      <c r="G62" s="330"/>
      <c r="H62" s="330"/>
      <c r="I62" s="330"/>
      <c r="J62" s="330"/>
      <c r="K62" s="330"/>
      <c r="L62" s="330"/>
      <c r="M62" s="330"/>
      <c r="N62" s="330"/>
      <c r="O62" s="330"/>
      <c r="P62" s="330"/>
      <c r="Q62" s="330"/>
      <c r="R62" s="330"/>
      <c r="S62" s="330"/>
      <c r="T62" s="330"/>
    </row>
    <row r="63" spans="1:49" ht="15" customHeight="1" x14ac:dyDescent="0.2">
      <c r="B63" s="323"/>
      <c r="D63" s="343"/>
      <c r="E63" s="343"/>
      <c r="F63" s="344"/>
      <c r="G63" s="330"/>
      <c r="H63" s="330"/>
      <c r="I63" s="330"/>
      <c r="J63" s="330"/>
      <c r="K63" s="330"/>
      <c r="L63" s="330"/>
      <c r="M63" s="330"/>
      <c r="N63" s="330"/>
      <c r="O63" s="330"/>
      <c r="P63" s="335"/>
    </row>
    <row r="64" spans="1:49" ht="15" customHeight="1" x14ac:dyDescent="0.2">
      <c r="D64" s="322"/>
      <c r="E64" s="322"/>
      <c r="F64" s="322"/>
      <c r="G64" s="322"/>
      <c r="H64" s="322"/>
      <c r="I64" s="322"/>
      <c r="J64" s="322"/>
      <c r="K64" s="322"/>
      <c r="L64" s="322"/>
      <c r="M64" s="322"/>
      <c r="N64" s="322"/>
      <c r="O64" s="322"/>
    </row>
    <row r="65" spans="4:10" ht="15" customHeight="1" x14ac:dyDescent="0.2">
      <c r="D65" s="345"/>
      <c r="E65" s="345"/>
      <c r="F65" s="345"/>
      <c r="J65" s="325"/>
    </row>
  </sheetData>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F10" sqref="F10"/>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57" t="s">
        <v>529</v>
      </c>
      <c r="B3" s="757"/>
      <c r="C3" s="757"/>
      <c r="D3" s="757"/>
      <c r="E3" s="757"/>
      <c r="F3" s="757"/>
      <c r="G3" s="757"/>
      <c r="H3" s="757"/>
      <c r="I3" s="757"/>
      <c r="J3" s="757"/>
      <c r="K3" s="757"/>
      <c r="L3" s="757"/>
      <c r="M3" s="757"/>
      <c r="N3" s="757"/>
      <c r="O3" s="757"/>
      <c r="P3" s="757"/>
      <c r="Q3" s="757"/>
      <c r="R3" s="757"/>
      <c r="S3" s="757"/>
    </row>
    <row r="4" spans="1:19" s="665" customFormat="1" x14ac:dyDescent="0.2">
      <c r="A4" s="470" t="s">
        <v>402</v>
      </c>
      <c r="B4" s="390" t="s">
        <v>349</v>
      </c>
      <c r="C4" s="664">
        <f t="shared" ref="C4:S4" si="0">C13</f>
        <v>-2</v>
      </c>
      <c r="D4" s="664">
        <f t="shared" si="0"/>
        <v>-1</v>
      </c>
      <c r="E4" s="471">
        <f t="shared" si="0"/>
        <v>1</v>
      </c>
      <c r="F4" s="471">
        <f t="shared" si="0"/>
        <v>2</v>
      </c>
      <c r="G4" s="471">
        <f t="shared" si="0"/>
        <v>3</v>
      </c>
      <c r="H4" s="471">
        <f t="shared" si="0"/>
        <v>4</v>
      </c>
      <c r="I4" s="471">
        <f t="shared" si="0"/>
        <v>5</v>
      </c>
      <c r="J4" s="471">
        <f t="shared" si="0"/>
        <v>6</v>
      </c>
      <c r="K4" s="471">
        <f t="shared" si="0"/>
        <v>7</v>
      </c>
      <c r="L4" s="471">
        <f t="shared" si="0"/>
        <v>8</v>
      </c>
      <c r="M4" s="471">
        <f t="shared" si="0"/>
        <v>9</v>
      </c>
      <c r="N4" s="471">
        <f t="shared" si="0"/>
        <v>10</v>
      </c>
      <c r="O4" s="471">
        <f t="shared" si="0"/>
        <v>11</v>
      </c>
      <c r="P4" s="471">
        <f t="shared" si="0"/>
        <v>12</v>
      </c>
      <c r="Q4" s="471">
        <f t="shared" si="0"/>
        <v>13</v>
      </c>
      <c r="R4" s="471">
        <f t="shared" si="0"/>
        <v>14</v>
      </c>
      <c r="S4" s="471">
        <f t="shared" si="0"/>
        <v>15</v>
      </c>
    </row>
    <row r="5" spans="1:19" x14ac:dyDescent="0.2">
      <c r="A5" s="348">
        <v>1</v>
      </c>
      <c r="B5" s="380" t="s">
        <v>535</v>
      </c>
      <c r="C5" s="375">
        <f>Capex!B71/2/100</f>
        <v>283.64587500000005</v>
      </c>
      <c r="D5" s="387">
        <f>Capex!B71/100</f>
        <v>567.29175000000009</v>
      </c>
      <c r="E5" s="388">
        <f>D5</f>
        <v>567.29175000000009</v>
      </c>
      <c r="F5" s="388">
        <f t="shared" ref="F5:S5" si="1">E5</f>
        <v>567.29175000000009</v>
      </c>
      <c r="G5" s="388">
        <f t="shared" si="1"/>
        <v>567.29175000000009</v>
      </c>
      <c r="H5" s="388">
        <f t="shared" si="1"/>
        <v>567.29175000000009</v>
      </c>
      <c r="I5" s="388">
        <f t="shared" si="1"/>
        <v>567.29175000000009</v>
      </c>
      <c r="J5" s="388">
        <f t="shared" si="1"/>
        <v>567.29175000000009</v>
      </c>
      <c r="K5" s="388">
        <f t="shared" si="1"/>
        <v>567.29175000000009</v>
      </c>
      <c r="L5" s="388">
        <f t="shared" si="1"/>
        <v>567.29175000000009</v>
      </c>
      <c r="M5" s="388">
        <f t="shared" si="1"/>
        <v>567.29175000000009</v>
      </c>
      <c r="N5" s="388">
        <f t="shared" si="1"/>
        <v>567.29175000000009</v>
      </c>
      <c r="O5" s="388">
        <f t="shared" si="1"/>
        <v>567.29175000000009</v>
      </c>
      <c r="P5" s="388">
        <f t="shared" si="1"/>
        <v>567.29175000000009</v>
      </c>
      <c r="Q5" s="388">
        <f t="shared" si="1"/>
        <v>567.29175000000009</v>
      </c>
      <c r="R5" s="388">
        <f t="shared" si="1"/>
        <v>567.29175000000009</v>
      </c>
      <c r="S5" s="388">
        <f t="shared" si="1"/>
        <v>567.29175000000009</v>
      </c>
    </row>
    <row r="6" spans="1:19" x14ac:dyDescent="0.2">
      <c r="A6" s="348">
        <v>2</v>
      </c>
      <c r="B6" s="380" t="s">
        <v>536</v>
      </c>
      <c r="C6" s="387">
        <v>0</v>
      </c>
      <c r="D6" s="387">
        <v>0</v>
      </c>
      <c r="E6" s="388">
        <f>'Cashflow '!F27</f>
        <v>35.648709775000007</v>
      </c>
      <c r="F6" s="388">
        <f>'Cashflow '!G27</f>
        <v>35.648709775000007</v>
      </c>
      <c r="G6" s="388">
        <f>'Cashflow '!H27</f>
        <v>35.648709775000007</v>
      </c>
      <c r="H6" s="388">
        <f>'Cashflow '!I27</f>
        <v>35.648709775000007</v>
      </c>
      <c r="I6" s="388">
        <f>'Cashflow '!J27</f>
        <v>35.648709775000007</v>
      </c>
      <c r="J6" s="388">
        <f>'Cashflow '!K27</f>
        <v>35.648709775000007</v>
      </c>
      <c r="K6" s="388">
        <f>'Cashflow '!L27</f>
        <v>35.648709775000007</v>
      </c>
      <c r="L6" s="388">
        <f>'Cashflow '!M27</f>
        <v>35.648709775000007</v>
      </c>
      <c r="M6" s="388">
        <f>'Cashflow '!N27</f>
        <v>35.648709775000007</v>
      </c>
      <c r="N6" s="388">
        <f>'Cashflow '!O27</f>
        <v>35.648709775000007</v>
      </c>
      <c r="O6" s="388">
        <f>'Cashflow '!P27</f>
        <v>35.648709775000007</v>
      </c>
      <c r="P6" s="388">
        <f>'Cashflow '!Q27</f>
        <v>35.648709775000007</v>
      </c>
      <c r="Q6" s="388">
        <f>'Cashflow '!R27</f>
        <v>35.648709775000007</v>
      </c>
      <c r="R6" s="388">
        <f>'Cashflow '!S27</f>
        <v>35.648709775000007</v>
      </c>
      <c r="S6" s="388">
        <f>'Cashflow '!T27</f>
        <v>35.648709775000007</v>
      </c>
    </row>
    <row r="7" spans="1:19" x14ac:dyDescent="0.2">
      <c r="A7" s="348">
        <v>3</v>
      </c>
      <c r="B7" s="380" t="s">
        <v>537</v>
      </c>
      <c r="C7" s="375">
        <f>C5-C6</f>
        <v>283.64587500000005</v>
      </c>
      <c r="D7" s="375">
        <f t="shared" ref="D7:S7" si="2">D5-D6</f>
        <v>567.29175000000009</v>
      </c>
      <c r="E7" s="375">
        <f t="shared" si="2"/>
        <v>531.64304022500005</v>
      </c>
      <c r="F7" s="375">
        <f t="shared" si="2"/>
        <v>531.64304022500005</v>
      </c>
      <c r="G7" s="375">
        <f t="shared" si="2"/>
        <v>531.64304022500005</v>
      </c>
      <c r="H7" s="375">
        <f t="shared" si="2"/>
        <v>531.64304022500005</v>
      </c>
      <c r="I7" s="375">
        <f t="shared" si="2"/>
        <v>531.64304022500005</v>
      </c>
      <c r="J7" s="375">
        <f t="shared" si="2"/>
        <v>531.64304022500005</v>
      </c>
      <c r="K7" s="375">
        <f t="shared" si="2"/>
        <v>531.64304022500005</v>
      </c>
      <c r="L7" s="375">
        <f t="shared" si="2"/>
        <v>531.64304022500005</v>
      </c>
      <c r="M7" s="375">
        <f t="shared" si="2"/>
        <v>531.64304022500005</v>
      </c>
      <c r="N7" s="375">
        <f t="shared" si="2"/>
        <v>531.64304022500005</v>
      </c>
      <c r="O7" s="375">
        <f t="shared" si="2"/>
        <v>531.64304022500005</v>
      </c>
      <c r="P7" s="375">
        <f t="shared" si="2"/>
        <v>531.64304022500005</v>
      </c>
      <c r="Q7" s="375">
        <f t="shared" si="2"/>
        <v>531.64304022500005</v>
      </c>
      <c r="R7" s="375">
        <f t="shared" si="2"/>
        <v>531.64304022500005</v>
      </c>
      <c r="S7" s="375">
        <f t="shared" si="2"/>
        <v>531.64304022500005</v>
      </c>
    </row>
    <row r="8" spans="1:19" x14ac:dyDescent="0.2">
      <c r="A8" s="348">
        <v>4</v>
      </c>
      <c r="B8" s="380" t="s">
        <v>538</v>
      </c>
      <c r="C8" s="375">
        <v>0</v>
      </c>
      <c r="D8" s="375">
        <v>0</v>
      </c>
      <c r="E8" s="375">
        <f>'Working Capital'!D13</f>
        <v>27.903532021736311</v>
      </c>
      <c r="F8" s="375">
        <f>'Working Capital'!E13</f>
        <v>31.678399560584186</v>
      </c>
      <c r="G8" s="375">
        <f>'Working Capital'!F13</f>
        <v>37.340700868856018</v>
      </c>
      <c r="H8" s="375">
        <f>'Working Capital'!G13</f>
        <v>37.340700868856018</v>
      </c>
      <c r="I8" s="375">
        <f>'Working Capital'!H13</f>
        <v>37.268605120766004</v>
      </c>
      <c r="J8" s="375">
        <f>'Working Capital'!I13</f>
        <v>36.49012557531146</v>
      </c>
      <c r="K8" s="375">
        <f>'Working Capital'!J13</f>
        <v>36.49012557531146</v>
      </c>
      <c r="L8" s="375">
        <f>'Working Capital'!K13</f>
        <v>36.49012557531146</v>
      </c>
      <c r="M8" s="375">
        <f>'Working Capital'!L13</f>
        <v>36.49012557531146</v>
      </c>
      <c r="N8" s="375">
        <f>'Working Capital'!M13</f>
        <v>36.49012557531146</v>
      </c>
      <c r="O8" s="375">
        <f>'Working Capital'!N13</f>
        <v>36.49012557531146</v>
      </c>
      <c r="P8" s="375">
        <f>'Working Capital'!O13</f>
        <v>36.49012557531146</v>
      </c>
      <c r="Q8" s="375">
        <f>'Working Capital'!P13</f>
        <v>36.49012557531146</v>
      </c>
      <c r="R8" s="375">
        <f>'Working Capital'!Q13</f>
        <v>37.340700868856018</v>
      </c>
      <c r="S8" s="375">
        <f>'Working Capital'!R13</f>
        <v>37.340700868856018</v>
      </c>
    </row>
    <row r="9" spans="1:19" x14ac:dyDescent="0.2">
      <c r="A9" s="348">
        <v>5</v>
      </c>
      <c r="B9" s="380" t="s">
        <v>528</v>
      </c>
      <c r="C9" s="375">
        <v>0</v>
      </c>
      <c r="D9" s="375">
        <v>0</v>
      </c>
      <c r="E9" s="375">
        <f>'Cashflow '!E76</f>
        <v>192.0403195802989</v>
      </c>
      <c r="F9" s="375">
        <f>'Cashflow '!F76</f>
        <v>270.85371974479028</v>
      </c>
      <c r="G9" s="375">
        <f>'Cashflow '!G76</f>
        <v>301.9980770588021</v>
      </c>
      <c r="H9" s="375">
        <f>'Cashflow '!H76</f>
        <v>305.44630257379123</v>
      </c>
      <c r="I9" s="375">
        <f>'Cashflow '!I76</f>
        <v>306.94812985696797</v>
      </c>
      <c r="J9" s="375">
        <f>'Cashflow '!J76</f>
        <v>298.94792016306405</v>
      </c>
      <c r="K9" s="375">
        <f>'Cashflow '!K76</f>
        <v>302.01768846682637</v>
      </c>
      <c r="L9" s="375">
        <f>'Cashflow '!L76</f>
        <v>305.57631738953131</v>
      </c>
      <c r="M9" s="375">
        <f>'Cashflow '!M76</f>
        <v>367.51481260991653</v>
      </c>
      <c r="N9" s="375">
        <f>'Cashflow '!N76</f>
        <v>366.30469840863202</v>
      </c>
      <c r="O9" s="375">
        <f>'Cashflow '!O76</f>
        <v>365.27548046882885</v>
      </c>
      <c r="P9" s="375">
        <f>'Cashflow '!P76</f>
        <v>364.40008643815588</v>
      </c>
      <c r="Q9" s="375">
        <f>'Cashflow '!Q76</f>
        <v>363.65549860842771</v>
      </c>
      <c r="R9" s="375">
        <f>'Cashflow '!R76</f>
        <v>374.93217378417285</v>
      </c>
      <c r="S9" s="375">
        <f>'Cashflow '!S76</f>
        <v>374.60606082732198</v>
      </c>
    </row>
    <row r="10" spans="1:19" x14ac:dyDescent="0.2">
      <c r="A10" s="348">
        <v>6</v>
      </c>
      <c r="B10" s="380" t="s">
        <v>47</v>
      </c>
      <c r="C10" s="375">
        <f>SUM(C7:C9)</f>
        <v>283.64587500000005</v>
      </c>
      <c r="D10" s="375">
        <f t="shared" ref="D10:S10" si="3">SUM(D7:D9)</f>
        <v>567.29175000000009</v>
      </c>
      <c r="E10" s="375">
        <f t="shared" si="3"/>
        <v>751.58689182703529</v>
      </c>
      <c r="F10" s="375">
        <f t="shared" si="3"/>
        <v>834.17515953037457</v>
      </c>
      <c r="G10" s="375">
        <f t="shared" si="3"/>
        <v>870.98181815265821</v>
      </c>
      <c r="H10" s="375">
        <f t="shared" si="3"/>
        <v>874.4300436676474</v>
      </c>
      <c r="I10" s="375">
        <f t="shared" si="3"/>
        <v>875.859775202734</v>
      </c>
      <c r="J10" s="375">
        <f t="shared" si="3"/>
        <v>867.08108596337559</v>
      </c>
      <c r="K10" s="375">
        <f t="shared" si="3"/>
        <v>870.1508542671379</v>
      </c>
      <c r="L10" s="375">
        <f t="shared" si="3"/>
        <v>873.70948318984279</v>
      </c>
      <c r="M10" s="375">
        <f t="shared" si="3"/>
        <v>935.64797841022801</v>
      </c>
      <c r="N10" s="375">
        <f t="shared" si="3"/>
        <v>934.43786420894355</v>
      </c>
      <c r="O10" s="375">
        <f t="shared" si="3"/>
        <v>933.40864626914038</v>
      </c>
      <c r="P10" s="375">
        <f t="shared" si="3"/>
        <v>932.53325223846741</v>
      </c>
      <c r="Q10" s="375">
        <f t="shared" si="3"/>
        <v>931.78866440873924</v>
      </c>
      <c r="R10" s="375">
        <f t="shared" si="3"/>
        <v>943.91591487802896</v>
      </c>
      <c r="S10" s="375">
        <f t="shared" si="3"/>
        <v>943.58980192117815</v>
      </c>
    </row>
    <row r="11" spans="1:19" x14ac:dyDescent="0.2">
      <c r="A11" s="374"/>
      <c r="B11" s="373"/>
      <c r="C11" s="379"/>
      <c r="D11" s="379"/>
      <c r="E11" s="377"/>
      <c r="F11" s="377"/>
      <c r="G11" s="377"/>
      <c r="H11" s="377"/>
      <c r="I11" s="377"/>
      <c r="J11" s="377"/>
      <c r="K11" s="377"/>
      <c r="L11" s="377"/>
      <c r="M11" s="377"/>
      <c r="N11" s="377"/>
      <c r="O11" s="377"/>
      <c r="P11" s="373"/>
      <c r="Q11" s="373"/>
      <c r="R11" s="373"/>
      <c r="S11" s="373"/>
    </row>
    <row r="12" spans="1:19" x14ac:dyDescent="0.2">
      <c r="A12" s="373"/>
      <c r="B12" s="373"/>
      <c r="C12" s="376"/>
      <c r="D12" s="376"/>
      <c r="E12" s="376"/>
      <c r="F12" s="376"/>
      <c r="G12" s="376"/>
      <c r="H12" s="376"/>
      <c r="I12" s="376"/>
      <c r="J12" s="376"/>
      <c r="K12" s="376"/>
      <c r="L12" s="376"/>
      <c r="M12" s="376"/>
      <c r="N12" s="376"/>
      <c r="O12" s="378"/>
      <c r="P12" s="378"/>
      <c r="Q12" s="373"/>
      <c r="R12" s="373"/>
      <c r="S12" s="373"/>
    </row>
    <row r="13" spans="1:19" x14ac:dyDescent="0.2">
      <c r="A13" s="666" t="s">
        <v>402</v>
      </c>
      <c r="B13" s="390" t="s">
        <v>350</v>
      </c>
      <c r="C13" s="348">
        <v>-2</v>
      </c>
      <c r="D13" s="348">
        <v>-1</v>
      </c>
      <c r="E13" s="381">
        <v>1</v>
      </c>
      <c r="F13" s="348">
        <v>2</v>
      </c>
      <c r="G13" s="348">
        <v>3</v>
      </c>
      <c r="H13" s="348">
        <v>4</v>
      </c>
      <c r="I13" s="348">
        <v>5</v>
      </c>
      <c r="J13" s="348">
        <v>6</v>
      </c>
      <c r="K13" s="348">
        <v>7</v>
      </c>
      <c r="L13" s="348">
        <v>8</v>
      </c>
      <c r="M13" s="348">
        <v>9</v>
      </c>
      <c r="N13" s="348">
        <v>10</v>
      </c>
      <c r="O13" s="348">
        <v>11</v>
      </c>
      <c r="P13" s="348">
        <v>12</v>
      </c>
      <c r="Q13" s="348">
        <v>13</v>
      </c>
      <c r="R13" s="348">
        <v>14</v>
      </c>
      <c r="S13" s="348">
        <v>15</v>
      </c>
    </row>
    <row r="14" spans="1:19" x14ac:dyDescent="0.2">
      <c r="A14" s="354">
        <v>1</v>
      </c>
      <c r="B14" s="382" t="s">
        <v>531</v>
      </c>
      <c r="C14" s="383">
        <f>Capex!B77/100</f>
        <v>141.82293750000002</v>
      </c>
      <c r="D14" s="383">
        <f>C14</f>
        <v>141.82293750000002</v>
      </c>
      <c r="E14" s="383">
        <f>C14</f>
        <v>141.82293750000002</v>
      </c>
      <c r="F14" s="383">
        <f t="shared" ref="F14:S14" si="4">E14</f>
        <v>141.82293750000002</v>
      </c>
      <c r="G14" s="383">
        <f t="shared" si="4"/>
        <v>141.82293750000002</v>
      </c>
      <c r="H14" s="383">
        <f t="shared" si="4"/>
        <v>141.82293750000002</v>
      </c>
      <c r="I14" s="383">
        <f t="shared" si="4"/>
        <v>141.82293750000002</v>
      </c>
      <c r="J14" s="383">
        <f t="shared" si="4"/>
        <v>141.82293750000002</v>
      </c>
      <c r="K14" s="383">
        <f t="shared" si="4"/>
        <v>141.82293750000002</v>
      </c>
      <c r="L14" s="383">
        <f t="shared" si="4"/>
        <v>141.82293750000002</v>
      </c>
      <c r="M14" s="383">
        <f t="shared" si="4"/>
        <v>141.82293750000002</v>
      </c>
      <c r="N14" s="383">
        <f t="shared" si="4"/>
        <v>141.82293750000002</v>
      </c>
      <c r="O14" s="383">
        <f t="shared" si="4"/>
        <v>141.82293750000002</v>
      </c>
      <c r="P14" s="383">
        <f t="shared" si="4"/>
        <v>141.82293750000002</v>
      </c>
      <c r="Q14" s="383">
        <f t="shared" si="4"/>
        <v>141.82293750000002</v>
      </c>
      <c r="R14" s="383">
        <f t="shared" si="4"/>
        <v>141.82293750000002</v>
      </c>
      <c r="S14" s="383">
        <f t="shared" si="4"/>
        <v>141.82293750000002</v>
      </c>
    </row>
    <row r="15" spans="1:19" x14ac:dyDescent="0.2">
      <c r="A15" s="203">
        <v>2</v>
      </c>
      <c r="B15" s="372" t="s">
        <v>534</v>
      </c>
      <c r="C15" s="384">
        <v>0</v>
      </c>
      <c r="D15" s="384">
        <v>0</v>
      </c>
      <c r="E15" s="384">
        <f>'Cashflow '!F31</f>
        <v>185.84845954354557</v>
      </c>
      <c r="F15" s="384">
        <f>'Cashflow '!G31</f>
        <v>444.47815313086033</v>
      </c>
      <c r="G15" s="384">
        <f>'Cashflow '!H31</f>
        <v>734.72406247454296</v>
      </c>
      <c r="H15" s="384">
        <f>'Cashflow '!I31</f>
        <v>1027.0026220061468</v>
      </c>
      <c r="I15" s="384">
        <f>'Cashflow '!J31</f>
        <v>1320.7649848839046</v>
      </c>
      <c r="J15" s="384">
        <f>'Cashflow '!K31</f>
        <v>1606.3505421184175</v>
      </c>
      <c r="K15" s="384">
        <f>'Cashflow '!L31</f>
        <v>1895.2004875430564</v>
      </c>
      <c r="L15" s="384">
        <f>'Cashflow '!M31</f>
        <v>2187.6090618904</v>
      </c>
      <c r="M15" s="384">
        <f>'Cashflow '!N31</f>
        <v>2483.8264549503165</v>
      </c>
      <c r="N15" s="384">
        <f>'Cashflow '!O31</f>
        <v>2778.8337338089486</v>
      </c>
      <c r="O15" s="384">
        <f>'Cashflow '!P31</f>
        <v>3072.8117947277774</v>
      </c>
      <c r="P15" s="384">
        <f>'Cashflow '!Q31</f>
        <v>3365.9144616159333</v>
      </c>
      <c r="Q15" s="384">
        <f>'Cashflow '!R31</f>
        <v>3658.2725406743612</v>
      </c>
      <c r="R15" s="384">
        <f>'Cashflow '!S31</f>
        <v>3962.1199387319202</v>
      </c>
      <c r="S15" s="384">
        <f>'Cashflow '!T31</f>
        <v>4265.4285800092421</v>
      </c>
    </row>
    <row r="16" spans="1:19" x14ac:dyDescent="0.2">
      <c r="A16" s="203">
        <v>3</v>
      </c>
      <c r="B16" s="372" t="s">
        <v>532</v>
      </c>
      <c r="C16" s="384">
        <f>'Cashflow '!C63</f>
        <v>141.82293750000002</v>
      </c>
      <c r="D16" s="384">
        <f>'Cashflow '!D63+'Cashflow '!C63</f>
        <v>425.46881250000007</v>
      </c>
      <c r="E16" s="384">
        <f>'Cashflow '!E90</f>
        <v>465.0374120625001</v>
      </c>
      <c r="F16" s="384">
        <f>'Cashflow '!F90</f>
        <v>406.90773555468758</v>
      </c>
      <c r="G16" s="384">
        <f>'Cashflow '!G90</f>
        <v>348.77805904687506</v>
      </c>
      <c r="H16" s="384">
        <f>'Cashflow '!H90</f>
        <v>290.64838253906254</v>
      </c>
      <c r="I16" s="384">
        <f>'Cashflow '!I90</f>
        <v>232.51870603125002</v>
      </c>
      <c r="J16" s="384">
        <f>'Cashflow '!J90</f>
        <v>174.3890295234375</v>
      </c>
      <c r="K16" s="384">
        <f>'Cashflow '!K90</f>
        <v>116.25935301562498</v>
      </c>
      <c r="L16" s="384">
        <f>'Cashflow '!L90</f>
        <v>58.129676507812469</v>
      </c>
      <c r="M16" s="384">
        <f>'Cashflow '!M90</f>
        <v>0</v>
      </c>
      <c r="N16" s="384">
        <f>'Cashflow '!N90</f>
        <v>0</v>
      </c>
      <c r="O16" s="384">
        <f>'Cashflow '!O90</f>
        <v>0</v>
      </c>
      <c r="P16" s="384">
        <f>'Cashflow '!P90</f>
        <v>0</v>
      </c>
      <c r="Q16" s="384">
        <f>'Cashflow '!Q90</f>
        <v>0</v>
      </c>
      <c r="R16" s="384">
        <f>'Cashflow '!R90</f>
        <v>0</v>
      </c>
      <c r="S16" s="384">
        <f>'Cashflow '!S90</f>
        <v>0</v>
      </c>
    </row>
    <row r="17" spans="1:19" x14ac:dyDescent="0.2">
      <c r="A17" s="203">
        <v>5</v>
      </c>
      <c r="B17" s="385" t="s">
        <v>533</v>
      </c>
      <c r="C17" s="386">
        <v>0</v>
      </c>
      <c r="D17" s="386">
        <v>0</v>
      </c>
      <c r="E17" s="386">
        <f>'Working Capital'!D18</f>
        <v>20.927649016302233</v>
      </c>
      <c r="F17" s="386">
        <f>'Working Capital'!E18</f>
        <v>23.75879967043814</v>
      </c>
      <c r="G17" s="386">
        <f>'Working Capital'!F18</f>
        <v>28.005525651642014</v>
      </c>
      <c r="H17" s="386">
        <f>'Working Capital'!G18</f>
        <v>28.005525651642014</v>
      </c>
      <c r="I17" s="386">
        <f>'Working Capital'!H18</f>
        <v>27.951453840574501</v>
      </c>
      <c r="J17" s="386">
        <f>'Working Capital'!I18</f>
        <v>27.367594181483597</v>
      </c>
      <c r="K17" s="386">
        <f>'Working Capital'!J18</f>
        <v>27.367594181483597</v>
      </c>
      <c r="L17" s="386">
        <f>'Working Capital'!K18</f>
        <v>27.367594181483597</v>
      </c>
      <c r="M17" s="386">
        <f>'Working Capital'!L18</f>
        <v>27.367594181483597</v>
      </c>
      <c r="N17" s="386">
        <f>'Working Capital'!M18</f>
        <v>27.367594181483597</v>
      </c>
      <c r="O17" s="386">
        <f>'Working Capital'!N18</f>
        <v>27.367594181483597</v>
      </c>
      <c r="P17" s="386">
        <f>'Working Capital'!O18</f>
        <v>27.367594181483597</v>
      </c>
      <c r="Q17" s="386">
        <f>'Working Capital'!P18</f>
        <v>27.367594181483597</v>
      </c>
      <c r="R17" s="386">
        <f>'Working Capital'!Q18</f>
        <v>28.005525651642014</v>
      </c>
      <c r="S17" s="386">
        <f>'Working Capital'!R18</f>
        <v>28.005525651642014</v>
      </c>
    </row>
    <row r="18" spans="1:19" x14ac:dyDescent="0.2">
      <c r="A18" s="348">
        <v>6</v>
      </c>
      <c r="B18" s="380" t="s">
        <v>47</v>
      </c>
      <c r="C18" s="375">
        <f>SUM(C14:C17)</f>
        <v>283.64587500000005</v>
      </c>
      <c r="D18" s="375">
        <f t="shared" ref="D18:S18" si="5">SUM(D14:D17)</f>
        <v>567.29175000000009</v>
      </c>
      <c r="E18" s="375">
        <f t="shared" si="5"/>
        <v>813.6364581223479</v>
      </c>
      <c r="F18" s="375">
        <f t="shared" si="5"/>
        <v>1016.9676258559861</v>
      </c>
      <c r="G18" s="375">
        <f t="shared" si="5"/>
        <v>1253.3305846730602</v>
      </c>
      <c r="H18" s="375">
        <f t="shared" si="5"/>
        <v>1487.4794676968515</v>
      </c>
      <c r="I18" s="375">
        <f t="shared" si="5"/>
        <v>1723.0580822557292</v>
      </c>
      <c r="J18" s="375">
        <f t="shared" si="5"/>
        <v>1949.9301033233387</v>
      </c>
      <c r="K18" s="375">
        <f t="shared" si="5"/>
        <v>2180.6503722401649</v>
      </c>
      <c r="L18" s="375">
        <f t="shared" si="5"/>
        <v>2414.9292700796959</v>
      </c>
      <c r="M18" s="375">
        <f t="shared" si="5"/>
        <v>2653.0169866318001</v>
      </c>
      <c r="N18" s="375">
        <f t="shared" si="5"/>
        <v>2948.0242654904323</v>
      </c>
      <c r="O18" s="375">
        <f t="shared" si="5"/>
        <v>3242.0023264092611</v>
      </c>
      <c r="P18" s="375">
        <f t="shared" si="5"/>
        <v>3535.104993297417</v>
      </c>
      <c r="Q18" s="375">
        <f t="shared" si="5"/>
        <v>3827.4630723558448</v>
      </c>
      <c r="R18" s="375">
        <f t="shared" si="5"/>
        <v>4131.9484018835619</v>
      </c>
      <c r="S18" s="375">
        <f t="shared" si="5"/>
        <v>4435.2570431608838</v>
      </c>
    </row>
    <row r="20" spans="1:19" x14ac:dyDescent="0.2">
      <c r="B20" s="374" t="s">
        <v>539</v>
      </c>
      <c r="C20" s="667">
        <f>C10-C18</f>
        <v>0</v>
      </c>
      <c r="D20" s="667">
        <f t="shared" ref="D20:S20" si="6">D10-D18</f>
        <v>0</v>
      </c>
      <c r="E20" s="667">
        <f t="shared" si="6"/>
        <v>-62.049566295312616</v>
      </c>
      <c r="F20" s="667">
        <f t="shared" si="6"/>
        <v>-182.79246632561149</v>
      </c>
      <c r="G20" s="667">
        <f t="shared" si="6"/>
        <v>-382.34876652040202</v>
      </c>
      <c r="H20" s="667">
        <f t="shared" si="6"/>
        <v>-613.04942402920415</v>
      </c>
      <c r="I20" s="667">
        <f t="shared" si="6"/>
        <v>-847.19830705299523</v>
      </c>
      <c r="J20" s="667">
        <f t="shared" si="6"/>
        <v>-1082.849017359963</v>
      </c>
      <c r="K20" s="667">
        <f t="shared" si="6"/>
        <v>-1310.499517973027</v>
      </c>
      <c r="L20" s="667">
        <f t="shared" si="6"/>
        <v>-1541.2197868898531</v>
      </c>
      <c r="M20" s="667">
        <f t="shared" si="6"/>
        <v>-1717.3690082215721</v>
      </c>
      <c r="N20" s="667">
        <f t="shared" si="6"/>
        <v>-2013.5864012814886</v>
      </c>
      <c r="O20" s="667">
        <f t="shared" si="6"/>
        <v>-2308.5936801401208</v>
      </c>
      <c r="P20" s="667">
        <f t="shared" si="6"/>
        <v>-2602.5717410589496</v>
      </c>
      <c r="Q20" s="667">
        <f t="shared" si="6"/>
        <v>-2895.6744079471055</v>
      </c>
      <c r="R20" s="667">
        <f t="shared" si="6"/>
        <v>-3188.0324870055329</v>
      </c>
      <c r="S20" s="667">
        <f t="shared" si="6"/>
        <v>-3491.6672412397056</v>
      </c>
    </row>
  </sheetData>
  <mergeCells count="1">
    <mergeCell ref="A3:S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workbookViewId="0">
      <selection activeCell="E20" sqref="E20"/>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5703125" style="1" bestFit="1" customWidth="1"/>
    <col min="13" max="16384" width="9.140625" style="1"/>
  </cols>
  <sheetData>
    <row r="2" spans="1:13" ht="15" x14ac:dyDescent="0.25">
      <c r="A2" s="622" t="s">
        <v>579</v>
      </c>
      <c r="B2" s="758" t="s">
        <v>583</v>
      </c>
      <c r="C2" s="758"/>
      <c r="D2" s="758"/>
      <c r="E2" s="758"/>
      <c r="F2" s="758"/>
      <c r="H2" s="622" t="s">
        <v>587</v>
      </c>
      <c r="I2" s="758" t="s">
        <v>588</v>
      </c>
      <c r="J2" s="758"/>
      <c r="K2" s="758"/>
      <c r="L2" s="758"/>
      <c r="M2" s="758"/>
    </row>
    <row r="4" spans="1:13" x14ac:dyDescent="0.2">
      <c r="B4" s="264" t="s">
        <v>580</v>
      </c>
      <c r="C4" s="623">
        <v>0.15970000000000001</v>
      </c>
      <c r="D4" s="624"/>
      <c r="E4" s="623" t="s">
        <v>581</v>
      </c>
      <c r="F4" s="625">
        <v>5</v>
      </c>
      <c r="I4" s="264" t="s">
        <v>580</v>
      </c>
      <c r="J4" s="623">
        <v>0.18</v>
      </c>
      <c r="K4" s="624"/>
      <c r="L4" s="623" t="s">
        <v>581</v>
      </c>
      <c r="M4" s="625">
        <v>4.5999999999999996</v>
      </c>
    </row>
    <row r="5" spans="1:13" x14ac:dyDescent="0.2">
      <c r="B5" s="264" t="s">
        <v>419</v>
      </c>
      <c r="C5" s="623">
        <v>0.23419999999999999</v>
      </c>
      <c r="D5" s="624"/>
      <c r="E5" s="623" t="s">
        <v>582</v>
      </c>
      <c r="F5" s="625">
        <v>4.78</v>
      </c>
      <c r="I5" s="264" t="s">
        <v>419</v>
      </c>
      <c r="J5" s="623">
        <v>0.27750000000000002</v>
      </c>
      <c r="K5" s="624"/>
      <c r="L5" s="623" t="s">
        <v>582</v>
      </c>
      <c r="M5" s="625">
        <v>3.44</v>
      </c>
    </row>
    <row r="8" spans="1:13" x14ac:dyDescent="0.2">
      <c r="B8" s="328" t="s">
        <v>80</v>
      </c>
      <c r="C8" s="328">
        <v>2025</v>
      </c>
      <c r="D8" s="328">
        <v>2030</v>
      </c>
      <c r="E8" s="328">
        <v>2035</v>
      </c>
      <c r="F8" s="328">
        <v>2037</v>
      </c>
      <c r="I8" s="328" t="s">
        <v>80</v>
      </c>
      <c r="J8" s="328">
        <v>2025</v>
      </c>
      <c r="K8" s="328">
        <v>2030</v>
      </c>
      <c r="L8" s="328">
        <v>2035</v>
      </c>
      <c r="M8" s="328">
        <v>2037</v>
      </c>
    </row>
    <row r="9" spans="1:13" x14ac:dyDescent="0.2">
      <c r="B9" s="270" t="s">
        <v>8</v>
      </c>
      <c r="C9" s="271">
        <v>273.75443200000001</v>
      </c>
      <c r="D9" s="271">
        <v>371.52387199999998</v>
      </c>
      <c r="E9" s="271">
        <v>371.52387199999998</v>
      </c>
      <c r="F9" s="271">
        <v>371.52387199999998</v>
      </c>
      <c r="I9" s="270" t="s">
        <v>8</v>
      </c>
      <c r="J9" s="271">
        <v>273.75443200000001</v>
      </c>
      <c r="K9" s="271">
        <v>371.52387199999998</v>
      </c>
      <c r="L9" s="271">
        <v>371.52387199999998</v>
      </c>
      <c r="M9" s="271">
        <v>363.71073541796875</v>
      </c>
    </row>
    <row r="10" spans="1:13" x14ac:dyDescent="0.2">
      <c r="B10" s="270" t="s">
        <v>9</v>
      </c>
      <c r="C10" s="271">
        <v>149.596765430625</v>
      </c>
      <c r="D10" s="271">
        <v>187.35141930147657</v>
      </c>
      <c r="E10" s="271">
        <v>187.35141930147657</v>
      </c>
      <c r="F10" s="271">
        <v>187.35141930147657</v>
      </c>
      <c r="I10" s="270" t="s">
        <v>9</v>
      </c>
      <c r="J10" s="271">
        <v>141.08249114479685</v>
      </c>
      <c r="K10" s="271">
        <v>176.42556185904141</v>
      </c>
      <c r="L10" s="271">
        <v>176.42556185904141</v>
      </c>
      <c r="M10" s="271">
        <v>176.42556185904141</v>
      </c>
    </row>
    <row r="11" spans="1:13" x14ac:dyDescent="0.2">
      <c r="B11" s="270" t="s">
        <v>353</v>
      </c>
      <c r="C11" s="271">
        <v>124.15766656937501</v>
      </c>
      <c r="D11" s="271">
        <v>184.17245269852341</v>
      </c>
      <c r="E11" s="271">
        <v>184.17245269852341</v>
      </c>
      <c r="F11" s="271">
        <v>184.17245269852341</v>
      </c>
      <c r="I11" s="270" t="s">
        <v>353</v>
      </c>
      <c r="J11" s="271">
        <v>132.67194085520316</v>
      </c>
      <c r="K11" s="271">
        <v>195.09831014095857</v>
      </c>
      <c r="L11" s="271">
        <v>195.09831014095857</v>
      </c>
      <c r="M11" s="271">
        <f t="shared" ref="M11" si="0">M9-M10</f>
        <v>187.28517355892734</v>
      </c>
    </row>
    <row r="12" spans="1:13" x14ac:dyDescent="0.2">
      <c r="B12" s="264" t="s">
        <v>584</v>
      </c>
      <c r="C12" s="626">
        <f>C11/C9</f>
        <v>0.45353664473046779</v>
      </c>
      <c r="D12" s="626">
        <f>D11/D9</f>
        <v>0.49572171959524425</v>
      </c>
      <c r="E12" s="626">
        <f>E11/E9</f>
        <v>0.49572171959524425</v>
      </c>
      <c r="F12" s="626">
        <f>F11/F9</f>
        <v>0.49572171959524425</v>
      </c>
      <c r="I12" s="264" t="s">
        <v>584</v>
      </c>
      <c r="J12" s="626">
        <f>J11/J9</f>
        <v>0.4846385130130173</v>
      </c>
      <c r="K12" s="626">
        <f>K11/K9</f>
        <v>0.52512994411556568</v>
      </c>
      <c r="L12" s="626">
        <f>L11/L9</f>
        <v>0.52512994411556568</v>
      </c>
      <c r="M12" s="626">
        <f>M11/M9</f>
        <v>0.51492891279027864</v>
      </c>
    </row>
    <row r="13" spans="1:13" x14ac:dyDescent="0.2">
      <c r="B13" s="264" t="s">
        <v>130</v>
      </c>
      <c r="C13" s="271">
        <v>45.86410504371306</v>
      </c>
      <c r="D13" s="271">
        <v>131.78627520493106</v>
      </c>
      <c r="E13" s="271">
        <v>147.48128786204043</v>
      </c>
      <c r="F13" s="271">
        <v>147.48128786204043</v>
      </c>
      <c r="I13" s="264" t="s">
        <v>130</v>
      </c>
      <c r="J13" s="271">
        <v>58.261271748177563</v>
      </c>
      <c r="K13" s="271">
        <v>145.28493525127848</v>
      </c>
      <c r="L13" s="271">
        <v>160.19519727553239</v>
      </c>
      <c r="M13" s="271">
        <v>152.40336924781582</v>
      </c>
    </row>
    <row r="14" spans="1:13" x14ac:dyDescent="0.2">
      <c r="B14" s="264" t="s">
        <v>585</v>
      </c>
      <c r="C14" s="626">
        <f>C13/C9</f>
        <v>0.16753739732591091</v>
      </c>
      <c r="D14" s="626">
        <f>D13/D9</f>
        <v>0.35471818942749139</v>
      </c>
      <c r="E14" s="626">
        <f>E13/E9</f>
        <v>0.39696315358718171</v>
      </c>
      <c r="F14" s="626">
        <f>F13/F9</f>
        <v>0.39696315358718171</v>
      </c>
      <c r="I14" s="264" t="s">
        <v>585</v>
      </c>
      <c r="J14" s="626">
        <f>J13/J9</f>
        <v>0.21282311786710201</v>
      </c>
      <c r="K14" s="626">
        <f>K13/K9</f>
        <v>0.3910514133834137</v>
      </c>
      <c r="L14" s="626">
        <f>L13/L9</f>
        <v>0.43118412933511957</v>
      </c>
      <c r="M14" s="626">
        <f>M13/M9</f>
        <v>0.41902356572642008</v>
      </c>
    </row>
    <row r="15" spans="1:13" x14ac:dyDescent="0.2">
      <c r="B15" s="264" t="s">
        <v>357</v>
      </c>
      <c r="C15" s="271">
        <v>19.612297901934653</v>
      </c>
      <c r="D15" s="271">
        <v>68.143964277874829</v>
      </c>
      <c r="E15" s="271">
        <v>76.536467962190727</v>
      </c>
      <c r="F15" s="271">
        <v>74.916486101789644</v>
      </c>
      <c r="I15" s="264" t="s">
        <v>357</v>
      </c>
      <c r="J15" s="552">
        <v>28.174890349724169</v>
      </c>
      <c r="K15" s="271">
        <v>77.792422147795406</v>
      </c>
      <c r="L15" s="271">
        <v>85.767153080516778</v>
      </c>
      <c r="M15" s="271">
        <v>79.16679117684842</v>
      </c>
    </row>
    <row r="16" spans="1:13" x14ac:dyDescent="0.2">
      <c r="B16" s="264" t="s">
        <v>586</v>
      </c>
      <c r="C16" s="626">
        <f>C15/C9</f>
        <v>7.1641937478968937E-2</v>
      </c>
      <c r="D16" s="626">
        <f>D15/D9</f>
        <v>0.18341745824040839</v>
      </c>
      <c r="E16" s="626">
        <f>E15/E9</f>
        <v>0.20600686451230443</v>
      </c>
      <c r="F16" s="626">
        <f>F15/F9</f>
        <v>0.20164649366539131</v>
      </c>
      <c r="I16" s="264" t="s">
        <v>586</v>
      </c>
      <c r="J16" s="626">
        <f>J15/J9</f>
        <v>0.10292030760519036</v>
      </c>
      <c r="K16" s="626">
        <f>K15/K9</f>
        <v>0.20938741225165583</v>
      </c>
      <c r="L16" s="626">
        <f>L15/L9</f>
        <v>0.23085233424924248</v>
      </c>
      <c r="M16" s="626">
        <f>M15/M9</f>
        <v>0.21766415854036203</v>
      </c>
    </row>
    <row r="19" spans="1:6" ht="15" x14ac:dyDescent="0.25">
      <c r="A19" s="622" t="s">
        <v>589</v>
      </c>
      <c r="B19" s="758" t="s">
        <v>590</v>
      </c>
      <c r="C19" s="758"/>
      <c r="D19" s="758"/>
      <c r="E19" s="758"/>
      <c r="F19" s="758"/>
    </row>
    <row r="21" spans="1:6" x14ac:dyDescent="0.2">
      <c r="B21" s="264" t="s">
        <v>580</v>
      </c>
      <c r="C21" s="623">
        <v>0.2044</v>
      </c>
      <c r="D21" s="624"/>
      <c r="E21" s="623" t="s">
        <v>581</v>
      </c>
      <c r="F21" s="625">
        <v>4.13</v>
      </c>
    </row>
    <row r="22" spans="1:6" x14ac:dyDescent="0.2">
      <c r="B22" s="264" t="s">
        <v>419</v>
      </c>
      <c r="C22" s="623">
        <v>0.33040000000000003</v>
      </c>
      <c r="D22" s="624"/>
      <c r="E22" s="623" t="s">
        <v>582</v>
      </c>
      <c r="F22" s="625">
        <v>1.79</v>
      </c>
    </row>
    <row r="25" spans="1:6" x14ac:dyDescent="0.2">
      <c r="B25" s="328" t="s">
        <v>80</v>
      </c>
      <c r="C25" s="328">
        <v>2025</v>
      </c>
      <c r="D25" s="328">
        <v>2030</v>
      </c>
      <c r="E25" s="328">
        <v>2035</v>
      </c>
      <c r="F25" s="328">
        <v>2037</v>
      </c>
    </row>
    <row r="26" spans="1:6" x14ac:dyDescent="0.2">
      <c r="B26" s="270" t="s">
        <v>8</v>
      </c>
      <c r="C26" s="271">
        <v>301.12987520000001</v>
      </c>
      <c r="D26" s="271">
        <v>408.67625920000006</v>
      </c>
      <c r="E26" s="271">
        <v>399.00550325796883</v>
      </c>
      <c r="F26" s="271">
        <v>399.00550325796883</v>
      </c>
    </row>
    <row r="27" spans="1:6" x14ac:dyDescent="0.2">
      <c r="B27" s="270" t="s">
        <v>9</v>
      </c>
      <c r="C27" s="271">
        <v>141.23420623218749</v>
      </c>
      <c r="D27" s="271">
        <v>176.56969119206252</v>
      </c>
      <c r="E27" s="271">
        <v>176.56969119206252</v>
      </c>
      <c r="F27" s="271">
        <v>176.56969119206252</v>
      </c>
    </row>
    <row r="28" spans="1:6" x14ac:dyDescent="0.2">
      <c r="B28" s="270" t="s">
        <v>353</v>
      </c>
      <c r="C28" s="271">
        <v>159.89566896781253</v>
      </c>
      <c r="D28" s="271">
        <v>232.10656800793754</v>
      </c>
      <c r="E28" s="271">
        <v>222.4358120659063</v>
      </c>
      <c r="F28" s="271">
        <v>222.4358120659063</v>
      </c>
    </row>
    <row r="29" spans="1:6" x14ac:dyDescent="0.2">
      <c r="B29" s="264" t="s">
        <v>584</v>
      </c>
      <c r="C29" s="626">
        <f>C28/C26</f>
        <v>0.53098573783692293</v>
      </c>
      <c r="D29" s="626">
        <f>D28/D26</f>
        <v>0.56794727558262215</v>
      </c>
      <c r="E29" s="626">
        <f>E28/E26</f>
        <v>0.55747554920839026</v>
      </c>
      <c r="F29" s="626">
        <f>F28/F26</f>
        <v>0.55747554920839026</v>
      </c>
    </row>
    <row r="30" spans="1:6" x14ac:dyDescent="0.2">
      <c r="B30" s="264" t="s">
        <v>130</v>
      </c>
      <c r="C30" s="271">
        <v>81.519867072551733</v>
      </c>
      <c r="D30" s="271">
        <v>179.6087785841753</v>
      </c>
      <c r="E30" s="271">
        <v>185.65941008818626</v>
      </c>
      <c r="F30" s="271">
        <v>185.65941008818626</v>
      </c>
    </row>
    <row r="31" spans="1:6" x14ac:dyDescent="0.2">
      <c r="B31" s="264" t="s">
        <v>585</v>
      </c>
      <c r="C31" s="626">
        <f>C30/C26</f>
        <v>0.27071331603484733</v>
      </c>
      <c r="D31" s="626">
        <f>D30/D26</f>
        <v>0.43948914217764101</v>
      </c>
      <c r="E31" s="626">
        <f>E30/E26</f>
        <v>0.46530538694889123</v>
      </c>
      <c r="F31" s="626">
        <f>F30/F26</f>
        <v>0.46530538694889123</v>
      </c>
    </row>
    <row r="32" spans="1:6" x14ac:dyDescent="0.2">
      <c r="B32" s="264" t="s">
        <v>357</v>
      </c>
      <c r="C32" s="271">
        <v>42.779772372663317</v>
      </c>
      <c r="D32" s="271">
        <v>99.21637040339742</v>
      </c>
      <c r="E32" s="271">
        <v>101.34384189099829</v>
      </c>
      <c r="F32" s="271">
        <v>99.723860030597208</v>
      </c>
    </row>
    <row r="33" spans="2:6" x14ac:dyDescent="0.2">
      <c r="B33" s="264" t="s">
        <v>586</v>
      </c>
      <c r="C33" s="626">
        <f>C32/C26</f>
        <v>0.14206419188481539</v>
      </c>
      <c r="D33" s="626">
        <f>D32/D26</f>
        <v>0.24277497938739429</v>
      </c>
      <c r="E33" s="626">
        <f>E32/E26</f>
        <v>0.25399108800130132</v>
      </c>
      <c r="F33" s="626">
        <f>F32/F26</f>
        <v>0.24993103908675363</v>
      </c>
    </row>
  </sheetData>
  <mergeCells count="3">
    <mergeCell ref="B2:F2"/>
    <mergeCell ref="I2:M2"/>
    <mergeCell ref="B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8" t="s">
        <v>250</v>
      </c>
    </row>
    <row r="16" spans="7:21" x14ac:dyDescent="0.25">
      <c r="U16" s="208" t="s">
        <v>251</v>
      </c>
    </row>
    <row r="31" spans="21:21" x14ac:dyDescent="0.25">
      <c r="U31" s="208"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topLeftCell="B3" zoomScaleNormal="100" workbookViewId="0">
      <selection activeCell="G9" sqref="G9"/>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94" t="s">
        <v>197</v>
      </c>
      <c r="B1" s="694"/>
      <c r="C1" s="694"/>
      <c r="D1" s="694"/>
      <c r="E1" s="694"/>
      <c r="F1" s="694"/>
    </row>
    <row r="2" spans="1:44" ht="38.25" customHeight="1" x14ac:dyDescent="0.2">
      <c r="A2" s="151" t="s">
        <v>206</v>
      </c>
      <c r="B2" s="151" t="s">
        <v>204</v>
      </c>
      <c r="C2" s="151" t="s">
        <v>198</v>
      </c>
      <c r="D2" s="151" t="s">
        <v>203</v>
      </c>
      <c r="E2" s="151" t="s">
        <v>45</v>
      </c>
      <c r="F2" s="151" t="s">
        <v>207</v>
      </c>
      <c r="G2" s="192"/>
    </row>
    <row r="3" spans="1:44" ht="38.25" customHeight="1" x14ac:dyDescent="0.2">
      <c r="A3" s="695" t="s">
        <v>134</v>
      </c>
      <c r="B3" s="697">
        <v>82500</v>
      </c>
      <c r="C3" s="264" t="s">
        <v>136</v>
      </c>
      <c r="D3" s="264">
        <v>0.28749999999999998</v>
      </c>
      <c r="E3" s="264" t="s">
        <v>46</v>
      </c>
      <c r="F3" s="605">
        <f>D3*B3</f>
        <v>23718.749999999996</v>
      </c>
    </row>
    <row r="4" spans="1:44" ht="38.25" customHeight="1" x14ac:dyDescent="0.2">
      <c r="A4" s="695"/>
      <c r="B4" s="697"/>
      <c r="C4" s="264" t="s">
        <v>205</v>
      </c>
      <c r="D4" s="264">
        <v>8.5000000000000006E-5</v>
      </c>
      <c r="E4" s="264" t="s">
        <v>199</v>
      </c>
      <c r="F4" s="605">
        <f>D4*B3</f>
        <v>7.0125000000000002</v>
      </c>
    </row>
    <row r="5" spans="1:44" ht="38.25" customHeight="1" x14ac:dyDescent="0.2">
      <c r="A5" s="695" t="s">
        <v>177</v>
      </c>
      <c r="B5" s="697">
        <v>100000</v>
      </c>
      <c r="C5" s="264" t="s">
        <v>187</v>
      </c>
      <c r="D5" s="264">
        <v>0.78700000000000003</v>
      </c>
      <c r="E5" s="264" t="s">
        <v>46</v>
      </c>
      <c r="F5" s="264">
        <f>D5*B5</f>
        <v>78700</v>
      </c>
    </row>
    <row r="6" spans="1:44" ht="38.25" customHeight="1" x14ac:dyDescent="0.2">
      <c r="A6" s="695"/>
      <c r="B6" s="697"/>
      <c r="C6" s="264" t="s">
        <v>136</v>
      </c>
      <c r="D6" s="264">
        <v>0.21299999999999999</v>
      </c>
      <c r="E6" s="264" t="s">
        <v>46</v>
      </c>
      <c r="F6" s="264">
        <f>D6*B5</f>
        <v>21300</v>
      </c>
    </row>
    <row r="7" spans="1:44" x14ac:dyDescent="0.2">
      <c r="A7" s="694" t="s">
        <v>329</v>
      </c>
      <c r="B7" s="694"/>
      <c r="C7" s="694"/>
      <c r="D7" s="694"/>
      <c r="E7" s="694"/>
      <c r="F7" s="694"/>
      <c r="G7" s="169"/>
    </row>
    <row r="8" spans="1:44" s="187" customFormat="1" x14ac:dyDescent="0.2">
      <c r="A8" s="151" t="s">
        <v>97</v>
      </c>
      <c r="B8" s="151" t="s">
        <v>98</v>
      </c>
      <c r="C8" s="151" t="s">
        <v>45</v>
      </c>
      <c r="D8" s="151" t="s">
        <v>248</v>
      </c>
      <c r="E8" s="151" t="s">
        <v>99</v>
      </c>
      <c r="F8" s="607" t="s">
        <v>1</v>
      </c>
      <c r="G8" s="606" t="s">
        <v>216</v>
      </c>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95" t="s">
        <v>102</v>
      </c>
      <c r="B9" s="264" t="s">
        <v>101</v>
      </c>
      <c r="C9" s="608" t="s">
        <v>219</v>
      </c>
      <c r="D9" s="270"/>
      <c r="E9" s="264" t="s">
        <v>218</v>
      </c>
      <c r="F9" s="609" t="s">
        <v>136</v>
      </c>
      <c r="G9" s="618">
        <v>57642</v>
      </c>
      <c r="H9" s="186"/>
      <c r="I9" s="618">
        <v>26536.75</v>
      </c>
      <c r="J9" s="186">
        <f>I9*1.1</f>
        <v>29190.425000000003</v>
      </c>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95"/>
      <c r="B10" s="264" t="s">
        <v>101</v>
      </c>
      <c r="C10" s="608" t="s">
        <v>219</v>
      </c>
      <c r="D10" s="270"/>
      <c r="E10" s="264" t="s">
        <v>220</v>
      </c>
      <c r="F10" s="609" t="s">
        <v>136</v>
      </c>
      <c r="G10" s="619">
        <v>60632</v>
      </c>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10" t="s">
        <v>137</v>
      </c>
      <c r="B11" s="270" t="s">
        <v>103</v>
      </c>
      <c r="C11" s="270" t="s">
        <v>104</v>
      </c>
      <c r="D11" s="270"/>
      <c r="E11" s="264" t="s">
        <v>138</v>
      </c>
      <c r="F11" s="609" t="s">
        <v>134</v>
      </c>
      <c r="G11" s="286">
        <f t="shared" ref="G11" si="0">100000</f>
        <v>100000</v>
      </c>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95" t="s">
        <v>140</v>
      </c>
      <c r="B12" s="270"/>
      <c r="C12" s="270"/>
      <c r="D12" s="611"/>
      <c r="E12" s="696" t="s">
        <v>245</v>
      </c>
      <c r="F12" s="612"/>
      <c r="G12" s="287"/>
      <c r="H12" s="186"/>
      <c r="J12" s="186"/>
      <c r="K12" s="186"/>
    </row>
    <row r="13" spans="1:44" s="187" customFormat="1" x14ac:dyDescent="0.2">
      <c r="A13" s="695"/>
      <c r="B13" s="270" t="s">
        <v>101</v>
      </c>
      <c r="C13" s="270" t="s">
        <v>104</v>
      </c>
      <c r="D13" s="328">
        <v>132.69999999999999</v>
      </c>
      <c r="E13" s="696"/>
      <c r="F13" s="612" t="s">
        <v>41</v>
      </c>
      <c r="G13" s="176"/>
      <c r="H13" s="186"/>
      <c r="J13" s="186"/>
      <c r="K13" s="186"/>
    </row>
    <row r="14" spans="1:44" s="187" customFormat="1" x14ac:dyDescent="0.2">
      <c r="A14" s="695"/>
      <c r="B14" s="270"/>
      <c r="C14" s="270"/>
      <c r="D14" s="613"/>
      <c r="E14" s="696"/>
      <c r="F14" s="612"/>
      <c r="G14" s="176"/>
      <c r="H14" s="186"/>
      <c r="J14" s="186"/>
      <c r="K14" s="186"/>
    </row>
    <row r="15" spans="1:44" s="187" customFormat="1" ht="24.75" customHeight="1" x14ac:dyDescent="0.2">
      <c r="A15" s="695"/>
      <c r="B15" s="264"/>
      <c r="C15" s="264"/>
      <c r="D15" s="614"/>
      <c r="E15" s="696"/>
      <c r="F15" s="612"/>
      <c r="G15" s="176"/>
      <c r="H15" s="186"/>
      <c r="J15" s="186"/>
      <c r="K15" s="186"/>
    </row>
    <row r="16" spans="1:44" s="187" customFormat="1" x14ac:dyDescent="0.2">
      <c r="A16" s="695"/>
      <c r="B16" s="346" t="s">
        <v>101</v>
      </c>
      <c r="C16" s="346" t="s">
        <v>447</v>
      </c>
      <c r="D16" s="346">
        <v>8.5000000000000006E-2</v>
      </c>
      <c r="E16" s="696"/>
      <c r="F16" s="612" t="s">
        <v>448</v>
      </c>
      <c r="G16" s="176"/>
      <c r="H16" s="186"/>
      <c r="J16" s="617">
        <v>50</v>
      </c>
      <c r="K16" s="617" t="s">
        <v>443</v>
      </c>
    </row>
    <row r="17" spans="1:45" s="187" customFormat="1" ht="12" customHeight="1" x14ac:dyDescent="0.2">
      <c r="A17" s="695"/>
      <c r="B17" s="270"/>
      <c r="C17" s="270"/>
      <c r="D17" s="270"/>
      <c r="E17" s="696"/>
      <c r="F17" s="612"/>
      <c r="G17" s="176"/>
      <c r="H17" s="186"/>
      <c r="J17" s="617"/>
      <c r="K17" s="617"/>
    </row>
    <row r="18" spans="1:45" s="187" customFormat="1" x14ac:dyDescent="0.2">
      <c r="A18" s="695"/>
      <c r="B18" s="270" t="s">
        <v>101</v>
      </c>
      <c r="C18" s="270" t="s">
        <v>46</v>
      </c>
      <c r="D18" s="346">
        <v>1.07</v>
      </c>
      <c r="E18" s="696"/>
      <c r="F18" s="615" t="s">
        <v>105</v>
      </c>
      <c r="G18" s="176"/>
      <c r="H18" s="186"/>
      <c r="J18" s="617">
        <v>250</v>
      </c>
      <c r="K18" s="617" t="s">
        <v>443</v>
      </c>
    </row>
    <row r="19" spans="1:45" s="187" customFormat="1" x14ac:dyDescent="0.2">
      <c r="A19" s="695"/>
      <c r="B19" s="604"/>
      <c r="C19" s="270"/>
      <c r="D19" s="613"/>
      <c r="E19" s="696"/>
      <c r="F19" s="616"/>
      <c r="G19" s="175"/>
      <c r="H19" s="602"/>
      <c r="I19" s="186"/>
      <c r="J19" s="186"/>
      <c r="K19" s="186"/>
    </row>
    <row r="20" spans="1:45" s="187" customFormat="1" ht="29.45" customHeight="1" x14ac:dyDescent="0.2">
      <c r="A20" s="695" t="s">
        <v>231</v>
      </c>
      <c r="B20" s="270"/>
      <c r="C20" s="270"/>
      <c r="D20" s="613"/>
      <c r="E20" s="697" t="s">
        <v>245</v>
      </c>
      <c r="F20" s="612"/>
      <c r="G20" s="287"/>
      <c r="H20" s="186"/>
      <c r="I20" s="186"/>
      <c r="J20" s="186"/>
      <c r="K20" s="186"/>
    </row>
    <row r="21" spans="1:45" s="187" customFormat="1" x14ac:dyDescent="0.2">
      <c r="A21" s="695"/>
      <c r="B21" s="270" t="s">
        <v>101</v>
      </c>
      <c r="C21" s="270" t="s">
        <v>104</v>
      </c>
      <c r="D21" s="346">
        <v>15</v>
      </c>
      <c r="E21" s="697"/>
      <c r="F21" s="612" t="s">
        <v>41</v>
      </c>
      <c r="G21" s="176"/>
      <c r="H21" s="186"/>
    </row>
    <row r="22" spans="1:45" s="187" customFormat="1" x14ac:dyDescent="0.2">
      <c r="A22" s="695"/>
      <c r="B22" s="270"/>
      <c r="C22" s="270"/>
      <c r="D22" s="613"/>
      <c r="E22" s="697"/>
      <c r="F22" s="612"/>
      <c r="G22" s="176"/>
      <c r="H22" s="186"/>
    </row>
    <row r="23" spans="1:45" s="187" customFormat="1" x14ac:dyDescent="0.2">
      <c r="A23" s="695"/>
      <c r="B23" s="264"/>
      <c r="C23" s="264"/>
      <c r="D23" s="614"/>
      <c r="E23" s="697"/>
      <c r="F23" s="612"/>
      <c r="G23" s="176"/>
      <c r="H23" s="186"/>
    </row>
    <row r="24" spans="1:45" s="187" customFormat="1" x14ac:dyDescent="0.2">
      <c r="A24" s="695"/>
      <c r="B24" s="270"/>
      <c r="C24" s="270"/>
      <c r="D24" s="613"/>
      <c r="E24" s="697"/>
      <c r="F24" s="612"/>
      <c r="G24" s="176"/>
    </row>
    <row r="25" spans="1:45" s="187" customFormat="1" x14ac:dyDescent="0.2">
      <c r="A25" s="695"/>
      <c r="B25" s="270"/>
      <c r="C25" s="270"/>
      <c r="D25" s="270"/>
      <c r="E25" s="697"/>
      <c r="F25" s="612"/>
      <c r="G25" s="176"/>
      <c r="H25" s="186"/>
    </row>
    <row r="26" spans="1:45" x14ac:dyDescent="0.2">
      <c r="A26" s="695"/>
      <c r="B26" s="270"/>
      <c r="C26" s="270"/>
      <c r="D26" s="346"/>
      <c r="E26" s="697"/>
      <c r="F26" s="615"/>
      <c r="G26" s="176"/>
      <c r="H26" s="186"/>
    </row>
    <row r="27" spans="1:45" s="187" customFormat="1" x14ac:dyDescent="0.2">
      <c r="A27" s="695"/>
      <c r="B27" s="270"/>
      <c r="C27" s="270"/>
      <c r="D27" s="270"/>
      <c r="E27" s="697"/>
      <c r="F27" s="616"/>
      <c r="G27" s="288"/>
      <c r="H27" s="186"/>
    </row>
    <row r="28" spans="1:45" s="187" customFormat="1" ht="32.25" customHeight="1" x14ac:dyDescent="0.2">
      <c r="A28" s="381" t="s">
        <v>449</v>
      </c>
      <c r="B28" s="348" t="s">
        <v>101</v>
      </c>
      <c r="C28" s="348" t="s">
        <v>450</v>
      </c>
      <c r="D28" s="388">
        <v>3000</v>
      </c>
      <c r="E28" s="347"/>
      <c r="F28" s="609" t="s">
        <v>236</v>
      </c>
      <c r="G28" s="193">
        <f>$D$28*B3</f>
        <v>247500000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81" t="s">
        <v>451</v>
      </c>
      <c r="B29" s="348" t="s">
        <v>101</v>
      </c>
      <c r="C29" s="348" t="s">
        <v>452</v>
      </c>
      <c r="D29" s="388">
        <v>5</v>
      </c>
      <c r="E29" s="347"/>
      <c r="F29" s="609" t="s">
        <v>47</v>
      </c>
      <c r="G29" s="193">
        <v>500000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98" t="s">
        <v>224</v>
      </c>
      <c r="B32" s="698"/>
      <c r="C32" s="698"/>
      <c r="D32" s="698"/>
      <c r="E32" s="698"/>
    </row>
    <row r="33" spans="1:8" x14ac:dyDescent="0.2">
      <c r="A33" s="691" t="s">
        <v>212</v>
      </c>
      <c r="B33" s="692"/>
      <c r="C33" s="692"/>
      <c r="D33" s="692"/>
      <c r="E33" s="692"/>
      <c r="H33" s="683"/>
    </row>
    <row r="34" spans="1:8" x14ac:dyDescent="0.2">
      <c r="A34" s="151" t="s">
        <v>38</v>
      </c>
      <c r="B34" s="151" t="s">
        <v>52</v>
      </c>
      <c r="C34" s="151" t="s">
        <v>49</v>
      </c>
      <c r="D34" s="106" t="s">
        <v>50</v>
      </c>
      <c r="E34" s="151" t="s">
        <v>51</v>
      </c>
      <c r="F34" s="603"/>
      <c r="H34" s="683"/>
    </row>
    <row r="35" spans="1:8" x14ac:dyDescent="0.2">
      <c r="A35" s="8">
        <v>1</v>
      </c>
      <c r="B35" s="36" t="s">
        <v>139</v>
      </c>
      <c r="C35" s="603">
        <v>24529.709929649995</v>
      </c>
      <c r="D35" s="290">
        <f>B3-(D5*B5)</f>
        <v>3800</v>
      </c>
      <c r="E35" s="290">
        <f>(D35*C35)/10^7</f>
        <v>9.3212897732669973</v>
      </c>
      <c r="G35" s="603">
        <v>20652</v>
      </c>
      <c r="H35" s="683">
        <f>G35*1.1</f>
        <v>22717.200000000001</v>
      </c>
    </row>
    <row r="36" spans="1:8" ht="15" customHeight="1" x14ac:dyDescent="0.2">
      <c r="A36" s="698" t="s">
        <v>268</v>
      </c>
      <c r="B36" s="698"/>
      <c r="C36" s="698"/>
      <c r="D36" s="698"/>
      <c r="E36" s="698"/>
      <c r="H36" s="683"/>
    </row>
    <row r="37" spans="1:8" x14ac:dyDescent="0.2">
      <c r="A37" s="691" t="s">
        <v>212</v>
      </c>
      <c r="B37" s="692"/>
      <c r="C37" s="692"/>
      <c r="D37" s="692"/>
      <c r="E37" s="692"/>
      <c r="G37" s="289">
        <v>38323</v>
      </c>
      <c r="H37" s="683">
        <f>G37*1.1</f>
        <v>42155.3</v>
      </c>
    </row>
    <row r="38" spans="1:8" x14ac:dyDescent="0.2">
      <c r="A38" s="151" t="s">
        <v>38</v>
      </c>
      <c r="B38" s="151" t="s">
        <v>52</v>
      </c>
      <c r="C38" s="151" t="s">
        <v>49</v>
      </c>
      <c r="D38" s="106" t="s">
        <v>50</v>
      </c>
      <c r="E38" s="151" t="s">
        <v>51</v>
      </c>
      <c r="F38" s="185"/>
      <c r="H38" s="683"/>
    </row>
    <row r="39" spans="1:8" x14ac:dyDescent="0.2">
      <c r="A39" s="8">
        <v>1</v>
      </c>
      <c r="B39" s="36" t="s">
        <v>226</v>
      </c>
      <c r="C39" s="289">
        <v>87682</v>
      </c>
      <c r="D39" s="290">
        <f>B5</f>
        <v>100000</v>
      </c>
      <c r="E39" s="290">
        <f>(C39*D39)/10^7</f>
        <v>876.82</v>
      </c>
      <c r="F39" s="289"/>
      <c r="H39" s="683"/>
    </row>
    <row r="40" spans="1:8" ht="18" customHeight="1" x14ac:dyDescent="0.2">
      <c r="A40" s="143"/>
      <c r="B40" s="143"/>
      <c r="C40" s="143"/>
      <c r="D40" s="143"/>
      <c r="E40" s="143"/>
    </row>
    <row r="41" spans="1:8" x14ac:dyDescent="0.2">
      <c r="A41" s="693" t="s">
        <v>225</v>
      </c>
      <c r="B41" s="693"/>
      <c r="C41" s="693"/>
      <c r="D41" s="693"/>
    </row>
    <row r="42" spans="1:8" x14ac:dyDescent="0.2">
      <c r="A42" s="98" t="s">
        <v>26</v>
      </c>
      <c r="B42" s="99" t="s">
        <v>27</v>
      </c>
      <c r="C42" s="99" t="s">
        <v>36</v>
      </c>
      <c r="D42" s="100" t="s">
        <v>28</v>
      </c>
    </row>
    <row r="43" spans="1:8" x14ac:dyDescent="0.2">
      <c r="A43" s="7" t="s">
        <v>29</v>
      </c>
      <c r="B43" s="13">
        <v>1</v>
      </c>
      <c r="C43" s="13">
        <v>35</v>
      </c>
      <c r="D43" s="13">
        <f t="shared" ref="D43:D48" si="1">C43*B43</f>
        <v>35</v>
      </c>
    </row>
    <row r="44" spans="1:8" x14ac:dyDescent="0.2">
      <c r="A44" s="7" t="s">
        <v>30</v>
      </c>
      <c r="B44" s="13">
        <v>2</v>
      </c>
      <c r="C44" s="13">
        <v>25</v>
      </c>
      <c r="D44" s="13">
        <f t="shared" si="1"/>
        <v>50</v>
      </c>
    </row>
    <row r="45" spans="1:8" x14ac:dyDescent="0.2">
      <c r="A45" s="7" t="s">
        <v>31</v>
      </c>
      <c r="B45" s="13">
        <v>3</v>
      </c>
      <c r="C45" s="13">
        <v>20</v>
      </c>
      <c r="D45" s="13">
        <f t="shared" si="1"/>
        <v>60</v>
      </c>
    </row>
    <row r="46" spans="1:8" x14ac:dyDescent="0.2">
      <c r="A46" s="7" t="s">
        <v>32</v>
      </c>
      <c r="B46" s="13">
        <v>5</v>
      </c>
      <c r="C46" s="13">
        <v>8</v>
      </c>
      <c r="D46" s="13">
        <f t="shared" si="1"/>
        <v>40</v>
      </c>
    </row>
    <row r="47" spans="1:8" x14ac:dyDescent="0.2">
      <c r="A47" s="7" t="s">
        <v>33</v>
      </c>
      <c r="B47" s="13">
        <v>10</v>
      </c>
      <c r="C47" s="13">
        <v>6</v>
      </c>
      <c r="D47" s="13">
        <f t="shared" si="1"/>
        <v>60</v>
      </c>
    </row>
    <row r="48" spans="1:8" x14ac:dyDescent="0.2">
      <c r="A48" s="7" t="s">
        <v>34</v>
      </c>
      <c r="B48" s="13">
        <v>30</v>
      </c>
      <c r="C48" s="13">
        <v>3.5</v>
      </c>
      <c r="D48" s="13">
        <f t="shared" si="1"/>
        <v>105</v>
      </c>
    </row>
    <row r="49" spans="1:6" x14ac:dyDescent="0.2">
      <c r="A49" s="101" t="s">
        <v>47</v>
      </c>
      <c r="B49" s="102">
        <f>SUM(B43:B48)</f>
        <v>51</v>
      </c>
      <c r="C49" s="102"/>
      <c r="D49" s="102">
        <f>SUM(D43:D48)/100</f>
        <v>3.5</v>
      </c>
    </row>
    <row r="50" spans="1:6" s="209" customFormat="1" x14ac:dyDescent="0.2">
      <c r="A50" s="363" t="s">
        <v>454</v>
      </c>
      <c r="B50" s="206"/>
      <c r="C50" s="206"/>
      <c r="D50" s="206">
        <f>D49*0.25</f>
        <v>0.875</v>
      </c>
    </row>
    <row r="51" spans="1:6" s="358" customFormat="1" x14ac:dyDescent="0.2">
      <c r="A51" s="181"/>
      <c r="B51" s="181"/>
      <c r="C51" s="181"/>
      <c r="D51" s="181"/>
      <c r="E51" s="181"/>
      <c r="F51" s="181"/>
    </row>
    <row r="52" spans="1:6" s="358" customFormat="1" x14ac:dyDescent="0.2">
      <c r="A52" s="620" t="s">
        <v>498</v>
      </c>
      <c r="B52" s="621">
        <v>0.09</v>
      </c>
      <c r="C52" s="181"/>
      <c r="D52" s="181"/>
      <c r="E52" s="181"/>
      <c r="F52" s="181"/>
    </row>
    <row r="53" spans="1:6" s="358" customFormat="1" x14ac:dyDescent="0.2">
      <c r="A53" s="620" t="s">
        <v>499</v>
      </c>
      <c r="B53" s="621">
        <v>0.08</v>
      </c>
      <c r="C53" s="181"/>
      <c r="D53" s="181"/>
      <c r="E53" s="181"/>
      <c r="F53" s="181"/>
    </row>
  </sheetData>
  <mergeCells count="16">
    <mergeCell ref="A1:F1"/>
    <mergeCell ref="A32:E32"/>
    <mergeCell ref="A33:E33"/>
    <mergeCell ref="A36:E36"/>
    <mergeCell ref="B3:B4"/>
    <mergeCell ref="A3:A4"/>
    <mergeCell ref="A5:A6"/>
    <mergeCell ref="B5:B6"/>
    <mergeCell ref="A37:E37"/>
    <mergeCell ref="A41:D41"/>
    <mergeCell ref="A7:F7"/>
    <mergeCell ref="A9:A10"/>
    <mergeCell ref="A12:A19"/>
    <mergeCell ref="E12:E19"/>
    <mergeCell ref="A20:A27"/>
    <mergeCell ref="E20:E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K93"/>
  <sheetViews>
    <sheetView showGridLines="0" zoomScaleNormal="100" workbookViewId="0">
      <selection activeCell="B11" sqref="B11"/>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35" style="94" bestFit="1"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0" x14ac:dyDescent="0.2">
      <c r="A1" s="266"/>
      <c r="B1" s="267"/>
      <c r="C1" s="268"/>
      <c r="D1" s="583" t="s">
        <v>424</v>
      </c>
      <c r="E1" s="584"/>
      <c r="F1" s="584"/>
      <c r="G1" s="583"/>
      <c r="H1" s="583"/>
      <c r="I1" s="268"/>
      <c r="J1" s="268"/>
    </row>
    <row r="2" spans="1:10" x14ac:dyDescent="0.2">
      <c r="A2" s="283" t="s">
        <v>80</v>
      </c>
      <c r="B2" s="283" t="s">
        <v>39</v>
      </c>
      <c r="C2" s="268"/>
      <c r="D2" s="676" t="s">
        <v>431</v>
      </c>
      <c r="E2" s="462" t="s">
        <v>6</v>
      </c>
      <c r="F2" s="585" t="s">
        <v>432</v>
      </c>
      <c r="G2" s="586" t="s">
        <v>441</v>
      </c>
      <c r="H2" s="585" t="s">
        <v>433</v>
      </c>
      <c r="I2" s="268"/>
      <c r="J2" s="268"/>
    </row>
    <row r="3" spans="1:10" x14ac:dyDescent="0.2">
      <c r="A3" s="282" t="s">
        <v>392</v>
      </c>
      <c r="B3" s="270">
        <v>0</v>
      </c>
      <c r="C3" s="268"/>
      <c r="D3" s="587">
        <v>1</v>
      </c>
      <c r="E3" s="588" t="s">
        <v>425</v>
      </c>
      <c r="F3" s="588">
        <v>3000</v>
      </c>
      <c r="G3" s="588" t="s">
        <v>435</v>
      </c>
      <c r="H3" s="461">
        <v>5</v>
      </c>
      <c r="I3" s="268"/>
      <c r="J3" s="268" t="s">
        <v>577</v>
      </c>
    </row>
    <row r="4" spans="1:10" x14ac:dyDescent="0.2">
      <c r="A4" s="282" t="s">
        <v>393</v>
      </c>
      <c r="B4" s="271">
        <f>D22</f>
        <v>8.254999999999999</v>
      </c>
      <c r="C4" s="268"/>
      <c r="D4" s="587">
        <v>2</v>
      </c>
      <c r="E4" s="588" t="s">
        <v>426</v>
      </c>
      <c r="F4" s="588">
        <v>50</v>
      </c>
      <c r="G4" s="588" t="s">
        <v>436</v>
      </c>
      <c r="H4" s="461">
        <v>1</v>
      </c>
      <c r="I4" s="268">
        <f>65*82</f>
        <v>5330</v>
      </c>
      <c r="J4" s="268">
        <f>I4/10</f>
        <v>533</v>
      </c>
    </row>
    <row r="5" spans="1:10" x14ac:dyDescent="0.2">
      <c r="A5" s="282" t="s">
        <v>394</v>
      </c>
      <c r="B5" s="271">
        <f>B45</f>
        <v>440.73750000000001</v>
      </c>
      <c r="C5" s="268"/>
      <c r="D5" s="587">
        <v>3</v>
      </c>
      <c r="E5" s="588" t="s">
        <v>427</v>
      </c>
      <c r="F5" s="588">
        <v>3</v>
      </c>
      <c r="G5" s="588" t="s">
        <v>437</v>
      </c>
      <c r="H5" s="461">
        <v>10</v>
      </c>
      <c r="I5" s="268"/>
      <c r="J5" s="268"/>
    </row>
    <row r="6" spans="1:10" x14ac:dyDescent="0.2">
      <c r="A6" s="282" t="s">
        <v>314</v>
      </c>
      <c r="B6" s="271">
        <f>B56</f>
        <v>15</v>
      </c>
      <c r="C6" s="268"/>
      <c r="D6" s="587">
        <v>4</v>
      </c>
      <c r="E6" s="588" t="s">
        <v>428</v>
      </c>
      <c r="F6" s="588">
        <v>5000</v>
      </c>
      <c r="G6" s="588" t="s">
        <v>46</v>
      </c>
      <c r="H6" s="461">
        <v>3</v>
      </c>
      <c r="I6" s="268"/>
      <c r="J6" s="268"/>
    </row>
    <row r="7" spans="1:10" x14ac:dyDescent="0.2">
      <c r="A7" s="282" t="s">
        <v>327</v>
      </c>
      <c r="B7" s="271">
        <f>B30</f>
        <v>20</v>
      </c>
      <c r="C7" s="268"/>
      <c r="D7" s="587">
        <v>5</v>
      </c>
      <c r="E7" s="588" t="s">
        <v>429</v>
      </c>
      <c r="F7" s="588" t="s">
        <v>595</v>
      </c>
      <c r="G7" s="588" t="s">
        <v>46</v>
      </c>
      <c r="H7" s="461">
        <v>1.5</v>
      </c>
      <c r="I7" s="268"/>
      <c r="J7" s="268"/>
    </row>
    <row r="8" spans="1:10" x14ac:dyDescent="0.2">
      <c r="A8" s="282" t="s">
        <v>395</v>
      </c>
      <c r="B8" s="271">
        <f>B67</f>
        <v>2</v>
      </c>
      <c r="C8" s="268"/>
      <c r="D8" s="587">
        <v>6</v>
      </c>
      <c r="E8" s="588" t="s">
        <v>430</v>
      </c>
      <c r="F8" s="588">
        <v>100</v>
      </c>
      <c r="G8" s="588" t="s">
        <v>438</v>
      </c>
      <c r="H8" s="461">
        <v>0.5</v>
      </c>
      <c r="I8" s="268"/>
      <c r="J8" s="268"/>
    </row>
    <row r="9" spans="1:10" x14ac:dyDescent="0.2">
      <c r="A9" s="282" t="s">
        <v>303</v>
      </c>
      <c r="B9" s="271">
        <f>B34</f>
        <v>48.599250000000005</v>
      </c>
      <c r="C9" s="268"/>
      <c r="D9" s="587">
        <v>7</v>
      </c>
      <c r="E9" s="588" t="s">
        <v>434</v>
      </c>
      <c r="F9" s="588">
        <v>500</v>
      </c>
      <c r="G9" s="588" t="s">
        <v>439</v>
      </c>
      <c r="H9" s="461">
        <v>0.2</v>
      </c>
      <c r="I9" s="268"/>
      <c r="J9" s="268"/>
    </row>
    <row r="10" spans="1:10" x14ac:dyDescent="0.2">
      <c r="A10" s="282" t="s">
        <v>396</v>
      </c>
      <c r="B10" s="590">
        <v>4.5</v>
      </c>
      <c r="C10" s="268">
        <v>52</v>
      </c>
      <c r="D10" s="587">
        <v>8</v>
      </c>
      <c r="E10" s="679" t="s">
        <v>442</v>
      </c>
      <c r="F10" s="588">
        <v>2500</v>
      </c>
      <c r="G10" s="588" t="s">
        <v>440</v>
      </c>
      <c r="H10" s="461">
        <v>1.5</v>
      </c>
      <c r="I10" s="268"/>
      <c r="J10" s="268"/>
    </row>
    <row r="11" spans="1:10" ht="13.5" thickBot="1" x14ac:dyDescent="0.25">
      <c r="A11" s="284" t="s">
        <v>397</v>
      </c>
      <c r="B11" s="285">
        <f>SUM(B4:B10)+H14</f>
        <v>567.29175000000009</v>
      </c>
      <c r="C11" s="274">
        <f>B11*2%</f>
        <v>11.345835000000003</v>
      </c>
      <c r="D11" s="587">
        <v>9</v>
      </c>
      <c r="E11" s="680" t="s">
        <v>596</v>
      </c>
      <c r="F11" s="681">
        <v>15</v>
      </c>
      <c r="G11" s="681" t="s">
        <v>597</v>
      </c>
      <c r="H11" s="678">
        <v>0.5</v>
      </c>
      <c r="I11" s="268"/>
      <c r="J11" s="268"/>
    </row>
    <row r="12" spans="1:10" ht="13.5" thickBot="1" x14ac:dyDescent="0.25">
      <c r="A12" s="284"/>
      <c r="B12" s="285"/>
      <c r="C12" s="274"/>
      <c r="D12" s="587">
        <v>10</v>
      </c>
      <c r="E12" s="678" t="s">
        <v>598</v>
      </c>
      <c r="F12" s="681">
        <v>500</v>
      </c>
      <c r="G12" s="681" t="s">
        <v>599</v>
      </c>
      <c r="H12" s="678">
        <v>5</v>
      </c>
      <c r="I12" s="268"/>
      <c r="J12" s="268"/>
    </row>
    <row r="13" spans="1:10" x14ac:dyDescent="0.2">
      <c r="A13" s="282" t="s">
        <v>398</v>
      </c>
      <c r="B13" s="271">
        <f>K87/100</f>
        <v>39.568599562500005</v>
      </c>
      <c r="C13" s="274"/>
      <c r="I13" s="268"/>
      <c r="J13" s="268"/>
    </row>
    <row r="14" spans="1:10" x14ac:dyDescent="0.2">
      <c r="A14" s="29"/>
      <c r="B14" s="166">
        <f>B13+B11</f>
        <v>606.86034956250012</v>
      </c>
      <c r="C14" s="591">
        <f>'Working Capital'!F16</f>
        <v>9.3351752172140046</v>
      </c>
      <c r="D14" s="585"/>
      <c r="E14" s="462" t="s">
        <v>47</v>
      </c>
      <c r="F14" s="462"/>
      <c r="G14" s="585"/>
      <c r="H14" s="589">
        <f>SUM(H3:H12)</f>
        <v>28.2</v>
      </c>
      <c r="I14" s="268"/>
      <c r="J14" s="268"/>
    </row>
    <row r="15" spans="1:10" x14ac:dyDescent="0.2">
      <c r="A15" s="282" t="s">
        <v>352</v>
      </c>
      <c r="B15" s="272">
        <v>0.25</v>
      </c>
      <c r="C15" s="268"/>
      <c r="D15" s="671"/>
      <c r="E15" s="671"/>
      <c r="F15" s="294"/>
      <c r="G15" s="293"/>
      <c r="H15" s="293"/>
      <c r="I15" s="268"/>
      <c r="J15" s="268"/>
    </row>
    <row r="16" spans="1:10" x14ac:dyDescent="0.2">
      <c r="A16" s="266"/>
      <c r="B16" s="267"/>
      <c r="C16" s="268"/>
      <c r="D16" s="268"/>
      <c r="E16" s="682"/>
      <c r="F16" s="267"/>
      <c r="G16" s="268"/>
      <c r="H16" s="268"/>
      <c r="I16" s="268"/>
      <c r="J16" s="268"/>
    </row>
    <row r="17" spans="1:6" ht="41.25" customHeight="1" x14ac:dyDescent="0.2">
      <c r="A17" s="702"/>
      <c r="B17" s="702"/>
      <c r="C17" s="702"/>
      <c r="D17" s="702"/>
      <c r="E17" s="702"/>
      <c r="F17" s="503"/>
    </row>
    <row r="18" spans="1:6" x14ac:dyDescent="0.2">
      <c r="A18" s="260" t="s">
        <v>297</v>
      </c>
      <c r="B18" s="260" t="s">
        <v>298</v>
      </c>
      <c r="C18" s="260" t="s">
        <v>328</v>
      </c>
      <c r="D18" s="260" t="s">
        <v>295</v>
      </c>
    </row>
    <row r="19" spans="1:6" x14ac:dyDescent="0.2">
      <c r="A19" s="260"/>
      <c r="B19" s="260" t="s">
        <v>299</v>
      </c>
      <c r="C19" s="260"/>
      <c r="D19" s="260" t="s">
        <v>39</v>
      </c>
    </row>
    <row r="20" spans="1:6" x14ac:dyDescent="0.2">
      <c r="A20" s="260" t="s">
        <v>300</v>
      </c>
      <c r="B20" s="260">
        <f>31*42</f>
        <v>1302</v>
      </c>
      <c r="C20" s="260">
        <v>25000</v>
      </c>
      <c r="D20" s="263">
        <f>(C20*B20)/10^7</f>
        <v>3.2549999999999999</v>
      </c>
    </row>
    <row r="21" spans="1:6" ht="76.5" x14ac:dyDescent="0.2">
      <c r="A21" s="261" t="s">
        <v>301</v>
      </c>
      <c r="B21" s="264" t="s">
        <v>302</v>
      </c>
      <c r="C21" s="260"/>
      <c r="D21" s="677">
        <v>5</v>
      </c>
    </row>
    <row r="22" spans="1:6" x14ac:dyDescent="0.2">
      <c r="A22" s="260" t="s">
        <v>47</v>
      </c>
      <c r="B22" s="260"/>
      <c r="C22" s="260"/>
      <c r="D22" s="263">
        <f>SUM(D20:D21)</f>
        <v>8.254999999999999</v>
      </c>
    </row>
    <row r="23" spans="1:6" x14ac:dyDescent="0.2">
      <c r="A23" s="260"/>
      <c r="B23" s="260"/>
      <c r="C23" s="260"/>
      <c r="D23" s="260"/>
    </row>
    <row r="24" spans="1:6" x14ac:dyDescent="0.2">
      <c r="A24" s="260"/>
      <c r="B24" s="260"/>
      <c r="C24" s="260"/>
      <c r="D24" s="260"/>
    </row>
    <row r="25" spans="1:6" x14ac:dyDescent="0.2">
      <c r="A25" s="260" t="s">
        <v>303</v>
      </c>
      <c r="B25" s="260"/>
      <c r="C25" s="260"/>
      <c r="D25" s="260"/>
    </row>
    <row r="26" spans="1:6" x14ac:dyDescent="0.2">
      <c r="A26" s="260" t="s">
        <v>6</v>
      </c>
      <c r="B26" s="260" t="s">
        <v>39</v>
      </c>
      <c r="C26" s="260"/>
      <c r="D26" s="260"/>
    </row>
    <row r="27" spans="1:6" x14ac:dyDescent="0.2">
      <c r="A27" s="260" t="s">
        <v>304</v>
      </c>
      <c r="B27" s="263">
        <f>D22</f>
        <v>8.254999999999999</v>
      </c>
      <c r="C27" s="260"/>
      <c r="D27" s="260"/>
    </row>
    <row r="28" spans="1:6" x14ac:dyDescent="0.2">
      <c r="A28" s="260" t="s">
        <v>305</v>
      </c>
      <c r="B28" s="265">
        <f>B45</f>
        <v>440.73750000000001</v>
      </c>
      <c r="C28" s="260"/>
      <c r="D28" s="260"/>
    </row>
    <row r="29" spans="1:6" x14ac:dyDescent="0.2">
      <c r="A29" s="260" t="s">
        <v>314</v>
      </c>
      <c r="B29" s="260">
        <f>B56</f>
        <v>15</v>
      </c>
      <c r="C29" s="260"/>
      <c r="D29" s="260"/>
    </row>
    <row r="30" spans="1:6" x14ac:dyDescent="0.2">
      <c r="A30" s="260" t="s">
        <v>327</v>
      </c>
      <c r="B30" s="260">
        <v>20</v>
      </c>
      <c r="C30" s="260"/>
      <c r="D30" s="260"/>
    </row>
    <row r="31" spans="1:6" x14ac:dyDescent="0.2">
      <c r="A31" s="260" t="s">
        <v>306</v>
      </c>
      <c r="B31" s="260">
        <v>2</v>
      </c>
      <c r="C31" s="260"/>
      <c r="D31" s="260"/>
    </row>
    <row r="32" spans="1:6" x14ac:dyDescent="0.2">
      <c r="A32" s="260" t="s">
        <v>47</v>
      </c>
      <c r="B32" s="265">
        <f>SUM(B27:B31)</f>
        <v>485.99250000000001</v>
      </c>
      <c r="C32" s="260"/>
      <c r="D32" s="260"/>
    </row>
    <row r="33" spans="1:6" x14ac:dyDescent="0.2">
      <c r="A33" s="260"/>
      <c r="B33" s="260"/>
      <c r="C33" s="260"/>
      <c r="D33" s="260"/>
    </row>
    <row r="34" spans="1:6" x14ac:dyDescent="0.2">
      <c r="A34" s="260" t="s">
        <v>307</v>
      </c>
      <c r="B34" s="265">
        <f>B32*0.1</f>
        <v>48.599250000000005</v>
      </c>
      <c r="C34" s="260"/>
      <c r="D34" s="260"/>
    </row>
    <row r="35" spans="1:6" x14ac:dyDescent="0.2">
      <c r="A35" s="260"/>
      <c r="B35" s="260"/>
      <c r="C35" s="260"/>
      <c r="D35" s="260"/>
    </row>
    <row r="36" spans="1:6" x14ac:dyDescent="0.2">
      <c r="A36" s="260"/>
      <c r="B36" s="260"/>
      <c r="C36" s="260"/>
      <c r="D36" s="260"/>
    </row>
    <row r="37" spans="1:6" x14ac:dyDescent="0.2">
      <c r="A37" s="260"/>
      <c r="B37" s="260"/>
      <c r="C37" s="260"/>
      <c r="D37" s="260"/>
    </row>
    <row r="38" spans="1:6" x14ac:dyDescent="0.2">
      <c r="A38" s="260" t="s">
        <v>308</v>
      </c>
      <c r="B38" s="260" t="s">
        <v>39</v>
      </c>
      <c r="C38" s="260"/>
      <c r="D38" s="260"/>
    </row>
    <row r="39" spans="1:6" x14ac:dyDescent="0.2">
      <c r="A39" s="260" t="s">
        <v>309</v>
      </c>
      <c r="B39" s="501">
        <v>365</v>
      </c>
      <c r="C39" s="260">
        <v>365</v>
      </c>
      <c r="D39" s="260"/>
      <c r="E39" s="94">
        <v>370</v>
      </c>
      <c r="F39" s="501">
        <v>365</v>
      </c>
    </row>
    <row r="40" spans="1:6" x14ac:dyDescent="0.2">
      <c r="A40" s="260" t="s">
        <v>310</v>
      </c>
      <c r="B40" s="262">
        <f>5%*B39</f>
        <v>18.25</v>
      </c>
      <c r="C40" s="260"/>
      <c r="D40" s="260"/>
      <c r="F40" s="262">
        <f>5%*F39</f>
        <v>18.25</v>
      </c>
    </row>
    <row r="41" spans="1:6" x14ac:dyDescent="0.2">
      <c r="A41" s="260" t="s">
        <v>311</v>
      </c>
      <c r="B41" s="262">
        <f>1%*(B39+B40)</f>
        <v>3.8325</v>
      </c>
      <c r="C41" s="260"/>
      <c r="D41" s="260"/>
      <c r="F41" s="262"/>
    </row>
    <row r="42" spans="1:6" x14ac:dyDescent="0.2">
      <c r="A42" s="260" t="s">
        <v>312</v>
      </c>
      <c r="B42" s="262">
        <f>2%*(B39+B40)</f>
        <v>7.665</v>
      </c>
      <c r="C42" s="260"/>
      <c r="D42" s="260"/>
      <c r="F42" s="262">
        <f>2%*(F39+F40)</f>
        <v>7.665</v>
      </c>
    </row>
    <row r="43" spans="1:6" x14ac:dyDescent="0.2">
      <c r="A43" s="260" t="s">
        <v>578</v>
      </c>
      <c r="B43" s="262">
        <f>10%*(B39+B40)</f>
        <v>38.325000000000003</v>
      </c>
      <c r="C43" s="260"/>
      <c r="D43" s="260"/>
      <c r="E43" s="94">
        <f>10%*(B40+B39)</f>
        <v>38.325000000000003</v>
      </c>
      <c r="F43" s="262">
        <f>10%*(F39+F40)</f>
        <v>38.325000000000003</v>
      </c>
    </row>
    <row r="44" spans="1:6" x14ac:dyDescent="0.2">
      <c r="A44" s="260" t="s">
        <v>313</v>
      </c>
      <c r="B44" s="262">
        <f>2%*(B39+B40)</f>
        <v>7.665</v>
      </c>
      <c r="C44" s="260"/>
      <c r="D44" s="260"/>
      <c r="F44" s="262">
        <f>2%*(F39+F40)</f>
        <v>7.665</v>
      </c>
    </row>
    <row r="45" spans="1:6" x14ac:dyDescent="0.2">
      <c r="A45" s="260" t="s">
        <v>47</v>
      </c>
      <c r="B45" s="262">
        <f>SUM(B39:B44)</f>
        <v>440.73750000000001</v>
      </c>
      <c r="C45" s="260"/>
      <c r="D45" s="260"/>
      <c r="F45" s="262">
        <f>SUM(F39:F44)</f>
        <v>436.90500000000003</v>
      </c>
    </row>
    <row r="46" spans="1:6" x14ac:dyDescent="0.2">
      <c r="A46" s="260"/>
      <c r="B46" s="260"/>
      <c r="C46" s="260"/>
      <c r="D46" s="260"/>
    </row>
    <row r="47" spans="1:6" x14ac:dyDescent="0.2">
      <c r="A47" s="260" t="s">
        <v>314</v>
      </c>
      <c r="B47" s="260"/>
      <c r="C47" s="260"/>
      <c r="D47" s="260"/>
    </row>
    <row r="48" spans="1:6" x14ac:dyDescent="0.2">
      <c r="A48" s="260"/>
      <c r="B48" s="260"/>
      <c r="C48" s="260"/>
      <c r="D48" s="260"/>
    </row>
    <row r="49" spans="1:4" x14ac:dyDescent="0.2">
      <c r="A49" s="260" t="s">
        <v>315</v>
      </c>
      <c r="B49" s="260"/>
      <c r="C49" s="260"/>
      <c r="D49" s="260"/>
    </row>
    <row r="50" spans="1:4" x14ac:dyDescent="0.2">
      <c r="A50" s="260" t="s">
        <v>316</v>
      </c>
      <c r="B50" s="260"/>
      <c r="C50" s="260"/>
      <c r="D50" s="260"/>
    </row>
    <row r="51" spans="1:4" x14ac:dyDescent="0.2">
      <c r="A51" s="260" t="s">
        <v>317</v>
      </c>
      <c r="B51" s="260"/>
      <c r="C51" s="260"/>
      <c r="D51" s="260"/>
    </row>
    <row r="52" spans="1:4" x14ac:dyDescent="0.2">
      <c r="A52" s="260" t="s">
        <v>318</v>
      </c>
      <c r="B52" s="260"/>
      <c r="C52" s="260"/>
      <c r="D52" s="260"/>
    </row>
    <row r="53" spans="1:4" x14ac:dyDescent="0.2">
      <c r="A53" s="260" t="s">
        <v>319</v>
      </c>
      <c r="B53" s="260"/>
      <c r="C53" s="260"/>
      <c r="D53" s="260"/>
    </row>
    <row r="54" spans="1:4" x14ac:dyDescent="0.2">
      <c r="A54" s="260" t="s">
        <v>320</v>
      </c>
      <c r="B54" s="260"/>
      <c r="C54" s="260"/>
      <c r="D54" s="260"/>
    </row>
    <row r="55" spans="1:4" x14ac:dyDescent="0.2">
      <c r="A55" s="260" t="s">
        <v>330</v>
      </c>
      <c r="B55" s="260"/>
      <c r="C55" s="260"/>
      <c r="D55" s="260"/>
    </row>
    <row r="56" spans="1:4" x14ac:dyDescent="0.2">
      <c r="A56" s="260" t="s">
        <v>47</v>
      </c>
      <c r="B56" s="260">
        <v>15</v>
      </c>
      <c r="C56" s="260"/>
      <c r="D56" s="260"/>
    </row>
    <row r="57" spans="1:4" x14ac:dyDescent="0.2">
      <c r="A57" s="260"/>
      <c r="B57" s="260"/>
      <c r="C57" s="260"/>
      <c r="D57" s="260"/>
    </row>
    <row r="58" spans="1:4" x14ac:dyDescent="0.2">
      <c r="A58" s="260"/>
      <c r="B58" s="260"/>
      <c r="C58" s="260"/>
      <c r="D58" s="260"/>
    </row>
    <row r="59" spans="1:4" x14ac:dyDescent="0.2">
      <c r="A59" s="260" t="s">
        <v>321</v>
      </c>
      <c r="B59" s="260"/>
      <c r="C59" s="260"/>
      <c r="D59" s="260"/>
    </row>
    <row r="60" spans="1:4" x14ac:dyDescent="0.2">
      <c r="A60" s="260"/>
      <c r="B60" s="260"/>
      <c r="C60" s="260"/>
      <c r="D60" s="260"/>
    </row>
    <row r="61" spans="1:4" x14ac:dyDescent="0.2">
      <c r="A61" s="260" t="s">
        <v>6</v>
      </c>
      <c r="B61" s="260"/>
      <c r="C61" s="260"/>
      <c r="D61" s="260"/>
    </row>
    <row r="62" spans="1:4" x14ac:dyDescent="0.2">
      <c r="A62" s="260" t="s">
        <v>322</v>
      </c>
      <c r="B62" s="260"/>
      <c r="C62" s="260"/>
      <c r="D62" s="260"/>
    </row>
    <row r="63" spans="1:4" x14ac:dyDescent="0.2">
      <c r="A63" s="260" t="s">
        <v>323</v>
      </c>
      <c r="B63" s="260"/>
      <c r="C63" s="260"/>
      <c r="D63" s="260"/>
    </row>
    <row r="64" spans="1:4" x14ac:dyDescent="0.2">
      <c r="A64" s="260" t="s">
        <v>324</v>
      </c>
      <c r="B64" s="260"/>
      <c r="C64" s="260"/>
      <c r="D64" s="260"/>
    </row>
    <row r="65" spans="1:11" x14ac:dyDescent="0.2">
      <c r="A65" s="260" t="s">
        <v>325</v>
      </c>
      <c r="B65" s="260"/>
      <c r="C65" s="260"/>
      <c r="D65" s="260"/>
    </row>
    <row r="66" spans="1:11" x14ac:dyDescent="0.2">
      <c r="A66" s="260" t="s">
        <v>326</v>
      </c>
      <c r="B66" s="260"/>
      <c r="C66" s="260"/>
      <c r="D66" s="260"/>
    </row>
    <row r="67" spans="1:11" x14ac:dyDescent="0.2">
      <c r="A67" s="260" t="s">
        <v>47</v>
      </c>
      <c r="B67" s="260">
        <v>2</v>
      </c>
      <c r="C67" s="260"/>
      <c r="D67" s="260"/>
    </row>
    <row r="68" spans="1:11" s="1" customFormat="1" x14ac:dyDescent="0.2">
      <c r="A68" s="349"/>
      <c r="B68" s="349"/>
      <c r="C68" s="349"/>
      <c r="D68" s="349"/>
      <c r="E68" s="349"/>
      <c r="F68" s="349"/>
      <c r="G68" s="349"/>
      <c r="H68" s="349"/>
      <c r="I68" s="349"/>
      <c r="J68" s="349"/>
      <c r="K68" s="349"/>
    </row>
    <row r="69" spans="1:11" s="319" customFormat="1" x14ac:dyDescent="0.2">
      <c r="A69" s="592" t="s">
        <v>398</v>
      </c>
      <c r="B69" s="349"/>
      <c r="C69" s="349"/>
      <c r="D69" s="349"/>
      <c r="E69" s="349"/>
      <c r="F69" s="349"/>
      <c r="G69" s="349"/>
      <c r="H69" s="349"/>
      <c r="I69" s="349"/>
      <c r="J69" s="349"/>
      <c r="K69" s="349"/>
    </row>
    <row r="70" spans="1:11" s="319" customFormat="1" x14ac:dyDescent="0.2">
      <c r="A70" s="349"/>
      <c r="B70" s="349"/>
      <c r="C70" s="349"/>
      <c r="D70" s="349"/>
      <c r="E70" s="349"/>
      <c r="F70" s="349"/>
      <c r="G70" s="349"/>
      <c r="H70" s="349"/>
      <c r="I70" s="349"/>
      <c r="J70" s="349"/>
      <c r="K70" s="349"/>
    </row>
    <row r="71" spans="1:11" s="319" customFormat="1" x14ac:dyDescent="0.2">
      <c r="A71" s="347" t="s">
        <v>469</v>
      </c>
      <c r="B71" s="552">
        <f>B11*100</f>
        <v>56729.17500000001</v>
      </c>
      <c r="C71" s="347" t="s">
        <v>470</v>
      </c>
      <c r="D71" s="349"/>
      <c r="E71" s="349"/>
      <c r="F71" s="349"/>
      <c r="G71" s="349"/>
      <c r="H71" s="349"/>
      <c r="I71" s="349"/>
      <c r="J71" s="349"/>
      <c r="K71" s="349"/>
    </row>
    <row r="72" spans="1:11" s="319" customFormat="1" x14ac:dyDescent="0.2">
      <c r="A72" s="347" t="s">
        <v>410</v>
      </c>
      <c r="B72" s="438">
        <f>K87</f>
        <v>3956.8599562500003</v>
      </c>
      <c r="C72" s="347" t="s">
        <v>470</v>
      </c>
      <c r="D72" s="349"/>
      <c r="E72" s="349"/>
      <c r="F72" s="349"/>
      <c r="G72" s="349"/>
      <c r="H72" s="349"/>
      <c r="I72" s="349"/>
      <c r="J72" s="349"/>
      <c r="K72" s="349"/>
    </row>
    <row r="73" spans="1:11" s="319" customFormat="1" x14ac:dyDescent="0.2">
      <c r="A73" s="347" t="s">
        <v>475</v>
      </c>
      <c r="B73" s="593">
        <f>B71+B72</f>
        <v>60686.034956250012</v>
      </c>
      <c r="C73" s="347" t="s">
        <v>470</v>
      </c>
      <c r="D73" s="349"/>
      <c r="E73" s="349"/>
      <c r="F73" s="349"/>
      <c r="G73" s="349"/>
      <c r="H73" s="349"/>
      <c r="I73" s="349"/>
      <c r="J73" s="349"/>
      <c r="K73" s="349"/>
    </row>
    <row r="74" spans="1:11" s="319" customFormat="1" x14ac:dyDescent="0.2">
      <c r="A74" s="347"/>
      <c r="B74" s="552"/>
      <c r="C74" s="347"/>
      <c r="D74" s="349"/>
      <c r="E74" s="349"/>
      <c r="F74" s="349"/>
      <c r="G74" s="349"/>
      <c r="H74" s="349"/>
      <c r="I74" s="349"/>
      <c r="J74" s="349"/>
      <c r="K74" s="349"/>
    </row>
    <row r="75" spans="1:11" s="319" customFormat="1" x14ac:dyDescent="0.2">
      <c r="A75" s="347" t="s">
        <v>472</v>
      </c>
      <c r="B75" s="594">
        <v>0.75</v>
      </c>
      <c r="C75" s="594">
        <v>0.25</v>
      </c>
      <c r="D75" s="349"/>
      <c r="E75" s="349"/>
      <c r="F75" s="349"/>
      <c r="G75" s="349"/>
      <c r="H75" s="349"/>
      <c r="I75" s="349"/>
      <c r="J75" s="349"/>
      <c r="K75" s="349"/>
    </row>
    <row r="76" spans="1:11" s="319" customFormat="1" x14ac:dyDescent="0.2">
      <c r="A76" s="347" t="s">
        <v>417</v>
      </c>
      <c r="B76" s="595">
        <f>B71-B77+B72</f>
        <v>46503.741206250008</v>
      </c>
      <c r="C76" s="347"/>
      <c r="D76" s="349"/>
      <c r="E76" s="349"/>
      <c r="F76" s="349"/>
      <c r="G76" s="349"/>
      <c r="H76" s="349"/>
      <c r="I76" s="349"/>
      <c r="J76" s="349"/>
      <c r="K76" s="349"/>
    </row>
    <row r="77" spans="1:11" s="319" customFormat="1" x14ac:dyDescent="0.2">
      <c r="A77" s="347" t="s">
        <v>418</v>
      </c>
      <c r="B77" s="595">
        <f>B71*C75</f>
        <v>14182.293750000003</v>
      </c>
      <c r="C77" s="347"/>
      <c r="D77" s="349"/>
      <c r="E77" s="349"/>
      <c r="F77" s="349"/>
      <c r="G77" s="349"/>
      <c r="H77" s="349"/>
      <c r="I77" s="349"/>
      <c r="J77" s="349"/>
      <c r="K77" s="349"/>
    </row>
    <row r="78" spans="1:11" s="319" customFormat="1" x14ac:dyDescent="0.2">
      <c r="A78" s="347"/>
      <c r="B78" s="596">
        <f>B76+B77</f>
        <v>60686.034956250012</v>
      </c>
      <c r="C78" s="585"/>
      <c r="D78" s="592"/>
      <c r="E78" s="592"/>
      <c r="F78" s="592"/>
      <c r="G78" s="592"/>
      <c r="H78" s="349"/>
      <c r="I78" s="592"/>
      <c r="J78" s="592"/>
      <c r="K78" s="592"/>
    </row>
    <row r="79" spans="1:11" s="281" customFormat="1" x14ac:dyDescent="0.2">
      <c r="A79" s="328">
        <v>1</v>
      </c>
      <c r="B79" s="329" t="s">
        <v>459</v>
      </c>
      <c r="C79" s="464">
        <v>24</v>
      </c>
      <c r="D79" s="324"/>
      <c r="E79" s="324"/>
      <c r="F79" s="324"/>
      <c r="G79" s="324"/>
      <c r="H79" s="324"/>
      <c r="I79" s="324"/>
      <c r="J79" s="324"/>
      <c r="K79" s="324"/>
    </row>
    <row r="80" spans="1:11" s="281" customFormat="1" x14ac:dyDescent="0.2">
      <c r="A80" s="328">
        <v>2</v>
      </c>
      <c r="B80" s="329" t="s">
        <v>460</v>
      </c>
      <c r="C80" s="599">
        <f>Norms!B52</f>
        <v>0.09</v>
      </c>
      <c r="D80" s="324"/>
      <c r="E80" s="324"/>
      <c r="F80" s="324"/>
      <c r="G80" s="324"/>
      <c r="H80" s="324"/>
      <c r="I80" s="324"/>
      <c r="J80" s="324"/>
      <c r="K80" s="324"/>
    </row>
    <row r="81" spans="1:11" s="319" customFormat="1" x14ac:dyDescent="0.2">
      <c r="A81" s="206"/>
      <c r="B81" s="349"/>
      <c r="C81" s="597"/>
      <c r="D81" s="349"/>
      <c r="E81" s="699" t="s">
        <v>418</v>
      </c>
      <c r="F81" s="700"/>
      <c r="G81" s="701"/>
      <c r="H81" s="699" t="s">
        <v>417</v>
      </c>
      <c r="I81" s="700"/>
      <c r="J81" s="700"/>
      <c r="K81" s="701"/>
    </row>
    <row r="82" spans="1:11" s="319" customFormat="1" x14ac:dyDescent="0.2">
      <c r="A82" s="346" t="s">
        <v>402</v>
      </c>
      <c r="B82" s="347" t="s">
        <v>464</v>
      </c>
      <c r="C82" s="438" t="s">
        <v>463</v>
      </c>
      <c r="D82" s="346" t="s">
        <v>471</v>
      </c>
      <c r="E82" s="346" t="s">
        <v>474</v>
      </c>
      <c r="F82" s="346" t="s">
        <v>461</v>
      </c>
      <c r="G82" s="346" t="s">
        <v>473</v>
      </c>
      <c r="H82" s="346" t="s">
        <v>474</v>
      </c>
      <c r="I82" s="346" t="s">
        <v>462</v>
      </c>
      <c r="J82" s="346" t="s">
        <v>473</v>
      </c>
      <c r="K82" s="346" t="s">
        <v>280</v>
      </c>
    </row>
    <row r="83" spans="1:11" s="281" customFormat="1" x14ac:dyDescent="0.2">
      <c r="A83" s="328">
        <v>1</v>
      </c>
      <c r="B83" s="347" t="s">
        <v>465</v>
      </c>
      <c r="C83" s="598">
        <v>0.2</v>
      </c>
      <c r="D83" s="438">
        <f>C83*$B$71</f>
        <v>11345.835000000003</v>
      </c>
      <c r="E83" s="464">
        <f>D83</f>
        <v>11345.835000000003</v>
      </c>
      <c r="F83" s="464">
        <f>E83</f>
        <v>11345.835000000003</v>
      </c>
      <c r="G83" s="464">
        <f>B77-F83</f>
        <v>2836.4587499999998</v>
      </c>
      <c r="H83" s="464">
        <f>D83-E83</f>
        <v>0</v>
      </c>
      <c r="I83" s="464">
        <f>H83</f>
        <v>0</v>
      </c>
      <c r="J83" s="464">
        <f>B76-I83</f>
        <v>46503.741206250008</v>
      </c>
      <c r="K83" s="464">
        <f>I83*$C$80/2</f>
        <v>0</v>
      </c>
    </row>
    <row r="84" spans="1:11" s="281" customFormat="1" x14ac:dyDescent="0.2">
      <c r="A84" s="328">
        <v>2</v>
      </c>
      <c r="B84" s="347" t="s">
        <v>466</v>
      </c>
      <c r="C84" s="598">
        <v>0.3</v>
      </c>
      <c r="D84" s="438">
        <f t="shared" ref="D84:D86" si="0">C84*$B$71</f>
        <v>17018.752500000002</v>
      </c>
      <c r="E84" s="464">
        <f>IF(G83&gt;0, MIN(D84,G83),0)</f>
        <v>2836.4587499999998</v>
      </c>
      <c r="F84" s="464">
        <f>E84+F83</f>
        <v>14182.293750000003</v>
      </c>
      <c r="G84" s="464">
        <f>$B$77-F84</f>
        <v>0</v>
      </c>
      <c r="H84" s="464">
        <f>D84-E84</f>
        <v>14182.293750000003</v>
      </c>
      <c r="I84" s="464">
        <f>H84+I83</f>
        <v>14182.293750000003</v>
      </c>
      <c r="J84" s="464">
        <f>$B$76-I84</f>
        <v>32321.447456250004</v>
      </c>
      <c r="K84" s="464">
        <f t="shared" ref="K84:K86" si="1">I84*$C$80/2</f>
        <v>638.20321875000013</v>
      </c>
    </row>
    <row r="85" spans="1:11" s="281" customFormat="1" x14ac:dyDescent="0.2">
      <c r="A85" s="328">
        <v>3</v>
      </c>
      <c r="B85" s="347" t="s">
        <v>467</v>
      </c>
      <c r="C85" s="598">
        <v>0.3</v>
      </c>
      <c r="D85" s="438">
        <f t="shared" si="0"/>
        <v>17018.752500000002</v>
      </c>
      <c r="E85" s="464">
        <f>IF(G84&gt;0, MIN(D85,G84),0)</f>
        <v>0</v>
      </c>
      <c r="F85" s="464">
        <f>E85+F84</f>
        <v>14182.293750000003</v>
      </c>
      <c r="G85" s="464">
        <f t="shared" ref="G85:G87" si="2">$B$77-F85</f>
        <v>0</v>
      </c>
      <c r="H85" s="464">
        <f t="shared" ref="H85:H86" si="3">D85-E85</f>
        <v>17018.752500000002</v>
      </c>
      <c r="I85" s="464">
        <f>H85+I84</f>
        <v>31201.046250000007</v>
      </c>
      <c r="J85" s="464">
        <f>$B$76-I85</f>
        <v>15302.694956250001</v>
      </c>
      <c r="K85" s="464">
        <f t="shared" si="1"/>
        <v>1404.0470812500002</v>
      </c>
    </row>
    <row r="86" spans="1:11" s="281" customFormat="1" x14ac:dyDescent="0.2">
      <c r="A86" s="328">
        <v>4</v>
      </c>
      <c r="B86" s="347" t="s">
        <v>468</v>
      </c>
      <c r="C86" s="598">
        <v>0.2</v>
      </c>
      <c r="D86" s="438">
        <f t="shared" si="0"/>
        <v>11345.835000000003</v>
      </c>
      <c r="E86" s="464">
        <f>IF(G85&gt;0, MIN(D86,G85),0)</f>
        <v>0</v>
      </c>
      <c r="F86" s="464">
        <f>E86+F85</f>
        <v>14182.293750000003</v>
      </c>
      <c r="G86" s="464">
        <f t="shared" si="2"/>
        <v>0</v>
      </c>
      <c r="H86" s="464">
        <f t="shared" si="3"/>
        <v>11345.835000000003</v>
      </c>
      <c r="I86" s="464">
        <f>H86+I85</f>
        <v>42546.881250000006</v>
      </c>
      <c r="J86" s="464">
        <f>$B$76-I86</f>
        <v>3956.8599562500021</v>
      </c>
      <c r="K86" s="464">
        <f t="shared" si="1"/>
        <v>1914.6096562500002</v>
      </c>
    </row>
    <row r="87" spans="1:11" s="281" customFormat="1" x14ac:dyDescent="0.2">
      <c r="A87" s="328"/>
      <c r="B87" s="359" t="s">
        <v>47</v>
      </c>
      <c r="C87" s="599">
        <f>SUM(C83:C86)</f>
        <v>1</v>
      </c>
      <c r="D87" s="438">
        <f>SUM(D83:D86)</f>
        <v>56729.175000000017</v>
      </c>
      <c r="E87" s="464">
        <f>SUM(E83:E86)</f>
        <v>14182.293750000003</v>
      </c>
      <c r="F87" s="464">
        <f>F86</f>
        <v>14182.293750000003</v>
      </c>
      <c r="G87" s="464">
        <f t="shared" si="2"/>
        <v>0</v>
      </c>
      <c r="H87" s="464">
        <f>SUM(H83:H86)</f>
        <v>42546.881250000006</v>
      </c>
      <c r="I87" s="464">
        <f>I86</f>
        <v>42546.881250000006</v>
      </c>
      <c r="J87" s="464">
        <f>J86</f>
        <v>3956.8599562500021</v>
      </c>
      <c r="K87" s="600">
        <f>SUM(K83:K86)</f>
        <v>3956.8599562500003</v>
      </c>
    </row>
    <row r="88" spans="1:11" s="281" customFormat="1" x14ac:dyDescent="0.2"/>
    <row r="93" spans="1:11" x14ac:dyDescent="0.2">
      <c r="K93" s="94" t="s">
        <v>249</v>
      </c>
    </row>
  </sheetData>
  <mergeCells count="3">
    <mergeCell ref="H81:K81"/>
    <mergeCell ref="A17:E17"/>
    <mergeCell ref="E81:G8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33"/>
  <sheetViews>
    <sheetView showGridLines="0" topLeftCell="A13" zoomScaleNormal="100" workbookViewId="0">
      <selection activeCell="D33" sqref="D33"/>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6" customWidth="1"/>
    <col min="20" max="20" width="15.140625" style="546" customWidth="1"/>
    <col min="21" max="30" width="9.140625" style="546" customWidth="1"/>
    <col min="31" max="16384" width="9.140625" style="546"/>
  </cols>
  <sheetData>
    <row r="1" spans="1:19" x14ac:dyDescent="0.25">
      <c r="A1" s="703" t="s">
        <v>591</v>
      </c>
      <c r="B1" s="703"/>
      <c r="C1" s="703"/>
      <c r="D1" s="512" t="s">
        <v>39</v>
      </c>
      <c r="E1" s="513"/>
      <c r="F1" s="513"/>
      <c r="G1" s="513"/>
      <c r="H1" s="513"/>
      <c r="I1" s="513"/>
      <c r="J1" s="513"/>
      <c r="K1" s="513"/>
      <c r="L1" s="513"/>
      <c r="M1" s="513"/>
      <c r="N1" s="513"/>
      <c r="O1" s="513"/>
      <c r="P1" s="513"/>
      <c r="Q1" s="513"/>
      <c r="R1" s="535"/>
    </row>
    <row r="2" spans="1:19" x14ac:dyDescent="0.25">
      <c r="A2" s="703"/>
      <c r="B2" s="703"/>
      <c r="C2" s="703"/>
      <c r="D2" s="512">
        <v>2025</v>
      </c>
      <c r="E2" s="512">
        <v>2026</v>
      </c>
      <c r="F2" s="512">
        <v>2027</v>
      </c>
      <c r="G2" s="512">
        <v>2028</v>
      </c>
      <c r="H2" s="512">
        <v>2029</v>
      </c>
      <c r="I2" s="512">
        <v>2030</v>
      </c>
      <c r="J2" s="512">
        <v>2031</v>
      </c>
      <c r="K2" s="512">
        <v>2032</v>
      </c>
      <c r="L2" s="512">
        <v>2033</v>
      </c>
      <c r="M2" s="512">
        <v>2034</v>
      </c>
      <c r="N2" s="512">
        <v>2035</v>
      </c>
      <c r="O2" s="512">
        <v>2036</v>
      </c>
      <c r="P2" s="512">
        <v>2037</v>
      </c>
      <c r="Q2" s="512">
        <v>2038</v>
      </c>
      <c r="R2" s="504">
        <v>2039</v>
      </c>
    </row>
    <row r="3" spans="1:19" s="547" customFormat="1" x14ac:dyDescent="0.25">
      <c r="A3" s="514" t="s">
        <v>423</v>
      </c>
      <c r="B3" s="514" t="s">
        <v>422</v>
      </c>
      <c r="C3" s="514"/>
      <c r="D3" s="515">
        <v>0.7</v>
      </c>
      <c r="E3" s="515">
        <v>0.8</v>
      </c>
      <c r="F3" s="515">
        <v>0.95</v>
      </c>
      <c r="G3" s="515">
        <v>0.95</v>
      </c>
      <c r="H3" s="515">
        <v>0.95</v>
      </c>
      <c r="I3" s="515">
        <v>0.95</v>
      </c>
      <c r="J3" s="515">
        <v>0.95</v>
      </c>
      <c r="K3" s="515">
        <v>0.95</v>
      </c>
      <c r="L3" s="515">
        <v>0.95</v>
      </c>
      <c r="M3" s="515">
        <v>0.95</v>
      </c>
      <c r="N3" s="515">
        <v>0.95</v>
      </c>
      <c r="O3" s="515">
        <v>0.95</v>
      </c>
      <c r="P3" s="515">
        <v>0.95</v>
      </c>
      <c r="Q3" s="515">
        <v>0.95</v>
      </c>
      <c r="R3" s="536">
        <v>0.95</v>
      </c>
    </row>
    <row r="4" spans="1:19" s="547" customFormat="1" x14ac:dyDescent="0.25">
      <c r="A4" s="514" t="s">
        <v>421</v>
      </c>
      <c r="B4" s="514" t="s">
        <v>46</v>
      </c>
      <c r="C4" s="514"/>
      <c r="D4" s="516">
        <f>Norms!$B$3*Opex!D3</f>
        <v>57749.999999999993</v>
      </c>
      <c r="E4" s="516">
        <f>Norms!$B$3*Opex!E3</f>
        <v>66000</v>
      </c>
      <c r="F4" s="516">
        <f>Norms!$B$3*Opex!F3</f>
        <v>78375</v>
      </c>
      <c r="G4" s="516">
        <f>Norms!$B$3*Opex!G3</f>
        <v>78375</v>
      </c>
      <c r="H4" s="516">
        <f>Norms!$B$3*Opex!H3</f>
        <v>78375</v>
      </c>
      <c r="I4" s="516">
        <f>Norms!$B$3*Opex!I3</f>
        <v>78375</v>
      </c>
      <c r="J4" s="516">
        <f>Norms!$B$3*Opex!J3</f>
        <v>78375</v>
      </c>
      <c r="K4" s="516">
        <f>Norms!$B$3*Opex!K3</f>
        <v>78375</v>
      </c>
      <c r="L4" s="516">
        <f>Norms!$B$3*Opex!L3</f>
        <v>78375</v>
      </c>
      <c r="M4" s="516">
        <f>Norms!$B$3*Opex!M3</f>
        <v>78375</v>
      </c>
      <c r="N4" s="516">
        <f>Norms!$B$3*Opex!N3</f>
        <v>78375</v>
      </c>
      <c r="O4" s="516">
        <f>Norms!$B$3*Opex!O3</f>
        <v>78375</v>
      </c>
      <c r="P4" s="516">
        <f>Norms!$B$3*Opex!P3</f>
        <v>78375</v>
      </c>
      <c r="Q4" s="516">
        <f>Norms!$B$3*Opex!Q3</f>
        <v>78375</v>
      </c>
      <c r="R4" s="537">
        <f>Norms!$B$3*Opex!R3</f>
        <v>78375</v>
      </c>
    </row>
    <row r="5" spans="1:19" s="548" customFormat="1" x14ac:dyDescent="0.25">
      <c r="A5" s="514"/>
      <c r="B5" s="514"/>
      <c r="C5" s="514"/>
      <c r="D5" s="516"/>
      <c r="E5" s="516"/>
      <c r="F5" s="516"/>
      <c r="G5" s="516"/>
      <c r="H5" s="516"/>
      <c r="I5" s="516"/>
      <c r="J5" s="516"/>
      <c r="K5" s="516"/>
      <c r="L5" s="516"/>
      <c r="M5" s="516"/>
      <c r="N5" s="516"/>
      <c r="O5" s="516"/>
      <c r="P5" s="516"/>
      <c r="Q5" s="516"/>
      <c r="R5" s="537"/>
    </row>
    <row r="6" spans="1:19" s="548" customFormat="1" x14ac:dyDescent="0.25">
      <c r="A6" s="517" t="s">
        <v>274</v>
      </c>
      <c r="B6" s="518" t="s">
        <v>25</v>
      </c>
      <c r="C6" s="518" t="s">
        <v>43</v>
      </c>
      <c r="D6" s="519">
        <f>SUM(D7:D9)</f>
        <v>135.56567062499997</v>
      </c>
      <c r="E6" s="519">
        <f t="shared" ref="E6:J6" si="0">SUM(E7:E9)</f>
        <v>154.93219500000001</v>
      </c>
      <c r="F6" s="519">
        <f t="shared" si="0"/>
        <v>183.98198156250001</v>
      </c>
      <c r="G6" s="519">
        <f t="shared" si="0"/>
        <v>183.98198156250001</v>
      </c>
      <c r="H6" s="519">
        <f t="shared" si="0"/>
        <v>183.98198156250001</v>
      </c>
      <c r="I6" s="519">
        <f t="shared" si="0"/>
        <v>183.98198156250001</v>
      </c>
      <c r="J6" s="519">
        <f t="shared" si="0"/>
        <v>183.98198156250001</v>
      </c>
      <c r="K6" s="519">
        <f>SUM(K7:K9)</f>
        <v>183.98198156250001</v>
      </c>
      <c r="L6" s="519">
        <f t="shared" ref="L6" si="1">SUM(L7:L9)</f>
        <v>183.98198156250001</v>
      </c>
      <c r="M6" s="519">
        <f t="shared" ref="M6" si="2">SUM(M7:M9)</f>
        <v>183.98198156250001</v>
      </c>
      <c r="N6" s="519">
        <f t="shared" ref="N6" si="3">SUM(N7:N9)</f>
        <v>183.98198156250001</v>
      </c>
      <c r="O6" s="519">
        <f t="shared" ref="O6" si="4">SUM(O7:O9)</f>
        <v>183.98198156250001</v>
      </c>
      <c r="P6" s="519">
        <f>SUM(P7:P9)</f>
        <v>183.98198156250001</v>
      </c>
      <c r="Q6" s="519">
        <f t="shared" ref="Q6" si="5">SUM(Q7:Q9)</f>
        <v>183.98198156250001</v>
      </c>
      <c r="R6" s="538">
        <f t="shared" ref="R6" si="6">SUM(R7:R9)</f>
        <v>183.98198156250001</v>
      </c>
    </row>
    <row r="7" spans="1:19" s="548" customFormat="1" x14ac:dyDescent="0.25">
      <c r="A7" s="348" t="s">
        <v>133</v>
      </c>
      <c r="B7" s="388">
        <f>Norms!F3</f>
        <v>23718.749999999996</v>
      </c>
      <c r="C7" s="388">
        <f>Norms!G9</f>
        <v>57642</v>
      </c>
      <c r="D7" s="520">
        <f>D4*Norms!$D$3*Opex!$C$7/10^7</f>
        <v>95.703733124999971</v>
      </c>
      <c r="E7" s="520">
        <f>E4*Norms!$D$3*Opex!$C$7/10^7</f>
        <v>109.37569499999999</v>
      </c>
      <c r="F7" s="520">
        <f>F4*Norms!$D$3*Opex!$C$7/10^7</f>
        <v>129.88363781250001</v>
      </c>
      <c r="G7" s="520">
        <f>G4*Norms!$D$3*Opex!$C$7/10^7</f>
        <v>129.88363781250001</v>
      </c>
      <c r="H7" s="520">
        <f>H4*Norms!$D$3*Opex!$C$7/10^7</f>
        <v>129.88363781250001</v>
      </c>
      <c r="I7" s="520">
        <f>I4*Norms!$D$3*Opex!$C$7/10^7</f>
        <v>129.88363781250001</v>
      </c>
      <c r="J7" s="520">
        <f>J4*Norms!$D$3*Opex!$C$7/10^7</f>
        <v>129.88363781250001</v>
      </c>
      <c r="K7" s="520">
        <f>K4*Norms!$D$3*Opex!$C$7/10^7</f>
        <v>129.88363781250001</v>
      </c>
      <c r="L7" s="520">
        <f>L4*Norms!$D$3*Opex!$C$7/10^7</f>
        <v>129.88363781250001</v>
      </c>
      <c r="M7" s="520">
        <f>M4*Norms!$D$3*Opex!$C$7/10^7</f>
        <v>129.88363781250001</v>
      </c>
      <c r="N7" s="520">
        <f>N4*Norms!$D$3*Opex!$C$7/10^7</f>
        <v>129.88363781250001</v>
      </c>
      <c r="O7" s="520">
        <f>O4*Norms!$D$3*Opex!$C$7/10^7</f>
        <v>129.88363781250001</v>
      </c>
      <c r="P7" s="520">
        <f>P4*Norms!$D$3*Opex!$C$7/10^7</f>
        <v>129.88363781250001</v>
      </c>
      <c r="Q7" s="520">
        <f>Q4*Norms!$D$3*Opex!$C$7/10^7</f>
        <v>129.88363781250001</v>
      </c>
      <c r="R7" s="368">
        <f>R4*Norms!$D$3*Opex!$C$7/10^7</f>
        <v>129.88363781250001</v>
      </c>
    </row>
    <row r="8" spans="1:19" s="548" customFormat="1" x14ac:dyDescent="0.25">
      <c r="A8" s="348" t="s">
        <v>445</v>
      </c>
      <c r="B8" s="388"/>
      <c r="C8" s="388"/>
      <c r="D8" s="520">
        <f>D4*Norms!$D$13*Norms!$J$16/10^7</f>
        <v>38.31712499999999</v>
      </c>
      <c r="E8" s="520">
        <f>E4*Norms!$D$13*Norms!$J$16/10^7</f>
        <v>43.790999999999997</v>
      </c>
      <c r="F8" s="520">
        <f>F4*Norms!$D$13*Norms!$J$16/10^7</f>
        <v>52.0018125</v>
      </c>
      <c r="G8" s="520">
        <f>G4*Norms!$D$13*Norms!$J$16/10^7</f>
        <v>52.0018125</v>
      </c>
      <c r="H8" s="520">
        <f>H4*Norms!$D$13*Norms!$J$16/10^7</f>
        <v>52.0018125</v>
      </c>
      <c r="I8" s="520">
        <f>I4*Norms!$D$13*Norms!$J$16/10^7</f>
        <v>52.0018125</v>
      </c>
      <c r="J8" s="520">
        <f>J4*Norms!$D$13*Norms!$J$16/10^7</f>
        <v>52.0018125</v>
      </c>
      <c r="K8" s="520">
        <f>K4*Norms!$D$13*Norms!$J$16/10^7</f>
        <v>52.0018125</v>
      </c>
      <c r="L8" s="520">
        <f>L4*Norms!$D$13*Norms!$J$16/10^7</f>
        <v>52.0018125</v>
      </c>
      <c r="M8" s="520">
        <f>M4*Norms!$D$13*Norms!$J$16/10^7</f>
        <v>52.0018125</v>
      </c>
      <c r="N8" s="520">
        <f>N4*Norms!$D$13*Norms!$J$16/10^7</f>
        <v>52.0018125</v>
      </c>
      <c r="O8" s="520">
        <f>O4*Norms!$D$13*Norms!$J$16/10^7</f>
        <v>52.0018125</v>
      </c>
      <c r="P8" s="520">
        <f>P4*Norms!$D$13*Norms!$J$16/10^7</f>
        <v>52.0018125</v>
      </c>
      <c r="Q8" s="520">
        <f>Q4*Norms!$D$13*Norms!$J$16/10^7</f>
        <v>52.0018125</v>
      </c>
      <c r="R8" s="368">
        <f>R4*Norms!$D$13*Norms!$J$16/10^7</f>
        <v>52.0018125</v>
      </c>
    </row>
    <row r="9" spans="1:19" s="548" customFormat="1" x14ac:dyDescent="0.25">
      <c r="A9" s="348" t="s">
        <v>444</v>
      </c>
      <c r="B9" s="388"/>
      <c r="C9" s="388"/>
      <c r="D9" s="520">
        <f>D4*Norms!$D$18*Norms!$J$18/10^7</f>
        <v>1.5448124999999999</v>
      </c>
      <c r="E9" s="520">
        <f>E4*Norms!$D$18*Norms!$J$18/10^7</f>
        <v>1.7655000000000001</v>
      </c>
      <c r="F9" s="520">
        <f>F4*Norms!$D$18*Norms!$J$18/10^7</f>
        <v>2.09653125</v>
      </c>
      <c r="G9" s="520">
        <f>G4*Norms!$D$18*Norms!$J$18/10^7</f>
        <v>2.09653125</v>
      </c>
      <c r="H9" s="520">
        <f>H4*Norms!$D$18*Norms!$J$18/10^7</f>
        <v>2.09653125</v>
      </c>
      <c r="I9" s="520">
        <f>I4*Norms!$D$18*Norms!$J$18/10^7</f>
        <v>2.09653125</v>
      </c>
      <c r="J9" s="520">
        <f>J4*Norms!$D$18*Norms!$J$18/10^7</f>
        <v>2.09653125</v>
      </c>
      <c r="K9" s="520">
        <f>K4*Norms!$D$18*Norms!$J$18/10^7</f>
        <v>2.09653125</v>
      </c>
      <c r="L9" s="520">
        <f>L4*Norms!$D$18*Norms!$J$18/10^7</f>
        <v>2.09653125</v>
      </c>
      <c r="M9" s="520">
        <f>M4*Norms!$D$18*Norms!$J$18/10^7</f>
        <v>2.09653125</v>
      </c>
      <c r="N9" s="520">
        <f>N4*Norms!$D$18*Norms!$J$18/10^7</f>
        <v>2.09653125</v>
      </c>
      <c r="O9" s="520">
        <f>O4*Norms!$D$18*Norms!$J$18/10^7</f>
        <v>2.09653125</v>
      </c>
      <c r="P9" s="520">
        <f>P4*Norms!$D$18*Norms!$J$18/10^7</f>
        <v>2.09653125</v>
      </c>
      <c r="Q9" s="520">
        <f>Q4*Norms!$D$18*Norms!$J$18/10^7</f>
        <v>2.09653125</v>
      </c>
      <c r="R9" s="368">
        <f>R4*Norms!$D$18*Norms!$J$18/10^7</f>
        <v>2.09653125</v>
      </c>
    </row>
    <row r="10" spans="1:19" s="548" customFormat="1" x14ac:dyDescent="0.25">
      <c r="A10" s="381" t="s">
        <v>446</v>
      </c>
      <c r="B10" s="388"/>
      <c r="C10" s="388"/>
      <c r="D10" s="520">
        <f>SUM(D7:D9)</f>
        <v>135.56567062499997</v>
      </c>
      <c r="E10" s="520">
        <f t="shared" ref="E10:R10" si="7">SUM(E7:E9)</f>
        <v>154.93219500000001</v>
      </c>
      <c r="F10" s="520">
        <f t="shared" si="7"/>
        <v>183.98198156250001</v>
      </c>
      <c r="G10" s="520">
        <f t="shared" si="7"/>
        <v>183.98198156250001</v>
      </c>
      <c r="H10" s="520">
        <f t="shared" si="7"/>
        <v>183.98198156250001</v>
      </c>
      <c r="I10" s="520">
        <f t="shared" si="7"/>
        <v>183.98198156250001</v>
      </c>
      <c r="J10" s="520">
        <f t="shared" si="7"/>
        <v>183.98198156250001</v>
      </c>
      <c r="K10" s="520">
        <f t="shared" si="7"/>
        <v>183.98198156250001</v>
      </c>
      <c r="L10" s="520">
        <f t="shared" si="7"/>
        <v>183.98198156250001</v>
      </c>
      <c r="M10" s="520">
        <f t="shared" si="7"/>
        <v>183.98198156250001</v>
      </c>
      <c r="N10" s="520">
        <f t="shared" si="7"/>
        <v>183.98198156250001</v>
      </c>
      <c r="O10" s="520">
        <f t="shared" si="7"/>
        <v>183.98198156250001</v>
      </c>
      <c r="P10" s="520">
        <f t="shared" si="7"/>
        <v>183.98198156250001</v>
      </c>
      <c r="Q10" s="520">
        <f t="shared" si="7"/>
        <v>183.98198156250001</v>
      </c>
      <c r="R10" s="368">
        <f t="shared" si="7"/>
        <v>183.98198156250001</v>
      </c>
    </row>
    <row r="11" spans="1:19" x14ac:dyDescent="0.25">
      <c r="A11" s="518" t="s">
        <v>275</v>
      </c>
      <c r="B11" s="521"/>
      <c r="C11" s="521"/>
      <c r="D11" s="519">
        <f>SUM(D12:D17)</f>
        <v>17.746676747812501</v>
      </c>
      <c r="E11" s="522">
        <f>SUM(E12:E17)</f>
        <v>17.9570517478125</v>
      </c>
      <c r="F11" s="522">
        <f t="shared" ref="F11:R11" si="8">SUM(F12:F17)</f>
        <v>18.272614247812502</v>
      </c>
      <c r="G11" s="522">
        <f t="shared" si="8"/>
        <v>18.272614247812502</v>
      </c>
      <c r="H11" s="522">
        <f t="shared" si="8"/>
        <v>18.272614247812502</v>
      </c>
      <c r="I11" s="522">
        <f t="shared" si="8"/>
        <v>18.272614247812502</v>
      </c>
      <c r="J11" s="522">
        <f t="shared" si="8"/>
        <v>18.272614247812502</v>
      </c>
      <c r="K11" s="522">
        <f t="shared" si="8"/>
        <v>18.272614247812502</v>
      </c>
      <c r="L11" s="522">
        <f t="shared" si="8"/>
        <v>18.272614247812502</v>
      </c>
      <c r="M11" s="522">
        <f t="shared" si="8"/>
        <v>18.272614247812502</v>
      </c>
      <c r="N11" s="522">
        <f t="shared" si="8"/>
        <v>18.272614247812502</v>
      </c>
      <c r="O11" s="522">
        <f t="shared" si="8"/>
        <v>18.272614247812502</v>
      </c>
      <c r="P11" s="522">
        <f t="shared" si="8"/>
        <v>18.272614247812502</v>
      </c>
      <c r="Q11" s="522">
        <f t="shared" si="8"/>
        <v>18.272614247812502</v>
      </c>
      <c r="R11" s="539">
        <f t="shared" si="8"/>
        <v>18.272614247812502</v>
      </c>
    </row>
    <row r="12" spans="1:19" s="548" customFormat="1" x14ac:dyDescent="0.25">
      <c r="A12" s="523" t="s">
        <v>453</v>
      </c>
      <c r="B12" s="388"/>
      <c r="C12" s="388"/>
      <c r="D12" s="520">
        <f>Norms!$D$16*Norms!$D$28*Opex!D4/10^7</f>
        <v>1.4726250000000001</v>
      </c>
      <c r="E12" s="520">
        <f>Norms!$D$16*Norms!$D$28*Opex!E4/10^7</f>
        <v>1.6830000000000003</v>
      </c>
      <c r="F12" s="520">
        <f>Norms!$D$16*Norms!$D$28*Opex!F4/10^7</f>
        <v>1.9985625000000005</v>
      </c>
      <c r="G12" s="520">
        <f>Norms!$D$16*Norms!$D$28*Opex!G4/10^7</f>
        <v>1.9985625000000005</v>
      </c>
      <c r="H12" s="520">
        <f>Norms!$D$16*Norms!$D$28*Opex!H4/10^7</f>
        <v>1.9985625000000005</v>
      </c>
      <c r="I12" s="520">
        <f>Norms!$D$16*Norms!$D$28*Opex!I4/10^7</f>
        <v>1.9985625000000005</v>
      </c>
      <c r="J12" s="520">
        <f>Norms!$D$16*Norms!$D$28*Opex!J4/10^7</f>
        <v>1.9985625000000005</v>
      </c>
      <c r="K12" s="520">
        <f>Norms!$D$16*Norms!$D$28*Opex!K4/10^7</f>
        <v>1.9985625000000005</v>
      </c>
      <c r="L12" s="520">
        <f>Norms!$D$16*Norms!$D$28*Opex!L4/10^7</f>
        <v>1.9985625000000005</v>
      </c>
      <c r="M12" s="520">
        <f>Norms!$D$16*Norms!$D$28*Opex!M4/10^7</f>
        <v>1.9985625000000005</v>
      </c>
      <c r="N12" s="520">
        <f>Norms!$D$16*Norms!$D$28*Opex!N4/10^7</f>
        <v>1.9985625000000005</v>
      </c>
      <c r="O12" s="520">
        <f>Norms!$D$16*Norms!$D$28*Opex!O4/10^7</f>
        <v>1.9985625000000005</v>
      </c>
      <c r="P12" s="520">
        <f>Norms!$D$16*Norms!$D$28*Opex!P4/10^7</f>
        <v>1.9985625000000005</v>
      </c>
      <c r="Q12" s="520">
        <f>Norms!$D$16*Norms!$D$28*Opex!Q4/10^7</f>
        <v>1.9985625000000005</v>
      </c>
      <c r="R12" s="368">
        <f>Norms!$D$16*Norms!$D$28*Opex!R4/10^7</f>
        <v>1.9985625000000005</v>
      </c>
    </row>
    <row r="13" spans="1:19" s="548" customFormat="1" x14ac:dyDescent="0.25">
      <c r="A13" s="523" t="s">
        <v>451</v>
      </c>
      <c r="B13" s="523"/>
      <c r="C13" s="523"/>
      <c r="D13" s="520">
        <f>Norms!$D$29/100</f>
        <v>0.05</v>
      </c>
      <c r="E13" s="520">
        <f>Norms!$D$29/100</f>
        <v>0.05</v>
      </c>
      <c r="F13" s="520">
        <f>Norms!$D$29/100</f>
        <v>0.05</v>
      </c>
      <c r="G13" s="520">
        <f>Norms!$D$29/100</f>
        <v>0.05</v>
      </c>
      <c r="H13" s="520">
        <f>Norms!$D$29/100</f>
        <v>0.05</v>
      </c>
      <c r="I13" s="520">
        <f>Norms!$D$29/100</f>
        <v>0.05</v>
      </c>
      <c r="J13" s="520">
        <f>Norms!$D$29/100</f>
        <v>0.05</v>
      </c>
      <c r="K13" s="520">
        <f>Norms!$D$29/100</f>
        <v>0.05</v>
      </c>
      <c r="L13" s="520">
        <f>Norms!$D$29/100</f>
        <v>0.05</v>
      </c>
      <c r="M13" s="520">
        <f>Norms!$D$29/100</f>
        <v>0.05</v>
      </c>
      <c r="N13" s="520">
        <f>Norms!$D$29/100</f>
        <v>0.05</v>
      </c>
      <c r="O13" s="520">
        <f>Norms!$D$29/100</f>
        <v>0.05</v>
      </c>
      <c r="P13" s="520">
        <f>Norms!$D$29/100</f>
        <v>0.05</v>
      </c>
      <c r="Q13" s="520">
        <f>Norms!$D$29/100</f>
        <v>0.05</v>
      </c>
      <c r="R13" s="368">
        <f>Norms!$D$29/100</f>
        <v>0.05</v>
      </c>
    </row>
    <row r="14" spans="1:19" s="548" customFormat="1" x14ac:dyDescent="0.25">
      <c r="A14" s="523" t="s">
        <v>593</v>
      </c>
      <c r="B14" s="523"/>
      <c r="C14" s="523"/>
      <c r="D14" s="520">
        <f>Norms!D49</f>
        <v>3.5</v>
      </c>
      <c r="E14" s="530">
        <f>D14</f>
        <v>3.5</v>
      </c>
      <c r="F14" s="530">
        <f t="shared" ref="F14:R14" si="9">E14</f>
        <v>3.5</v>
      </c>
      <c r="G14" s="530">
        <f t="shared" si="9"/>
        <v>3.5</v>
      </c>
      <c r="H14" s="530">
        <f t="shared" si="9"/>
        <v>3.5</v>
      </c>
      <c r="I14" s="530">
        <f t="shared" si="9"/>
        <v>3.5</v>
      </c>
      <c r="J14" s="530">
        <f t="shared" si="9"/>
        <v>3.5</v>
      </c>
      <c r="K14" s="530">
        <f t="shared" si="9"/>
        <v>3.5</v>
      </c>
      <c r="L14" s="530">
        <f t="shared" si="9"/>
        <v>3.5</v>
      </c>
      <c r="M14" s="530">
        <f t="shared" si="9"/>
        <v>3.5</v>
      </c>
      <c r="N14" s="530">
        <f t="shared" si="9"/>
        <v>3.5</v>
      </c>
      <c r="O14" s="530">
        <f t="shared" si="9"/>
        <v>3.5</v>
      </c>
      <c r="P14" s="530">
        <f t="shared" si="9"/>
        <v>3.5</v>
      </c>
      <c r="Q14" s="530">
        <f t="shared" si="9"/>
        <v>3.5</v>
      </c>
      <c r="R14" s="540">
        <f t="shared" si="9"/>
        <v>3.5</v>
      </c>
    </row>
    <row r="15" spans="1:19" s="548" customFormat="1" ht="29.25" customHeight="1" x14ac:dyDescent="0.25">
      <c r="A15" s="523" t="s">
        <v>276</v>
      </c>
      <c r="B15" s="523"/>
      <c r="C15" s="531">
        <v>0.02</v>
      </c>
      <c r="D15" s="532">
        <f>C15*Capex!$B$5</f>
        <v>8.8147500000000001</v>
      </c>
      <c r="E15" s="532">
        <f>D15</f>
        <v>8.8147500000000001</v>
      </c>
      <c r="F15" s="532">
        <f t="shared" ref="F15:R15" si="10">E15</f>
        <v>8.8147500000000001</v>
      </c>
      <c r="G15" s="532">
        <f t="shared" si="10"/>
        <v>8.8147500000000001</v>
      </c>
      <c r="H15" s="532">
        <f t="shared" si="10"/>
        <v>8.8147500000000001</v>
      </c>
      <c r="I15" s="532">
        <f t="shared" si="10"/>
        <v>8.8147500000000001</v>
      </c>
      <c r="J15" s="532">
        <f t="shared" si="10"/>
        <v>8.8147500000000001</v>
      </c>
      <c r="K15" s="532">
        <f t="shared" si="10"/>
        <v>8.8147500000000001</v>
      </c>
      <c r="L15" s="532">
        <f t="shared" si="10"/>
        <v>8.8147500000000001</v>
      </c>
      <c r="M15" s="532">
        <f t="shared" si="10"/>
        <v>8.8147500000000001</v>
      </c>
      <c r="N15" s="532">
        <f t="shared" si="10"/>
        <v>8.8147500000000001</v>
      </c>
      <c r="O15" s="532">
        <f t="shared" si="10"/>
        <v>8.8147500000000001</v>
      </c>
      <c r="P15" s="532">
        <f t="shared" si="10"/>
        <v>8.8147500000000001</v>
      </c>
      <c r="Q15" s="532">
        <f t="shared" si="10"/>
        <v>8.8147500000000001</v>
      </c>
      <c r="R15" s="541">
        <f t="shared" si="10"/>
        <v>8.8147500000000001</v>
      </c>
      <c r="S15" s="549"/>
    </row>
    <row r="16" spans="1:19" s="548" customFormat="1" ht="29.25" customHeight="1" x14ac:dyDescent="0.25">
      <c r="A16" s="523" t="s">
        <v>494</v>
      </c>
      <c r="B16" s="523"/>
      <c r="C16" s="531">
        <v>5.0000000000000001E-3</v>
      </c>
      <c r="D16" s="532">
        <f>$C$16*Capex!$B$14</f>
        <v>3.0343017478125005</v>
      </c>
      <c r="E16" s="532">
        <f>$C$16*Capex!$B$14</f>
        <v>3.0343017478125005</v>
      </c>
      <c r="F16" s="532">
        <f>$C$16*Capex!$B$14</f>
        <v>3.0343017478125005</v>
      </c>
      <c r="G16" s="532">
        <f>$C$16*Capex!$B$14</f>
        <v>3.0343017478125005</v>
      </c>
      <c r="H16" s="532">
        <f>$C$16*Capex!$B$14</f>
        <v>3.0343017478125005</v>
      </c>
      <c r="I16" s="532">
        <f>$C$16*Capex!$B$14</f>
        <v>3.0343017478125005</v>
      </c>
      <c r="J16" s="532">
        <f>$C$16*Capex!$B$14</f>
        <v>3.0343017478125005</v>
      </c>
      <c r="K16" s="532">
        <f>$C$16*Capex!$B$14</f>
        <v>3.0343017478125005</v>
      </c>
      <c r="L16" s="532">
        <f>$C$16*Capex!$B$14</f>
        <v>3.0343017478125005</v>
      </c>
      <c r="M16" s="532">
        <f>$C$16*Capex!$B$14</f>
        <v>3.0343017478125005</v>
      </c>
      <c r="N16" s="532">
        <f>$C$16*Capex!$B$14</f>
        <v>3.0343017478125005</v>
      </c>
      <c r="O16" s="532">
        <f>$C$16*Capex!$B$14</f>
        <v>3.0343017478125005</v>
      </c>
      <c r="P16" s="532">
        <f>$C$16*Capex!$B$14</f>
        <v>3.0343017478125005</v>
      </c>
      <c r="Q16" s="532">
        <f>$C$16*Capex!$B$14</f>
        <v>3.0343017478125005</v>
      </c>
      <c r="R16" s="541">
        <f>$C$16*Capex!$B$14</f>
        <v>3.0343017478125005</v>
      </c>
      <c r="S16" s="549"/>
    </row>
    <row r="17" spans="1:18" s="548" customFormat="1" ht="14.25" customHeight="1" x14ac:dyDescent="0.25">
      <c r="A17" s="533" t="s">
        <v>455</v>
      </c>
      <c r="B17" s="533"/>
      <c r="C17" s="533"/>
      <c r="D17" s="534">
        <f>Norms!$D$50</f>
        <v>0.875</v>
      </c>
      <c r="E17" s="534">
        <f>Norms!$D$50</f>
        <v>0.875</v>
      </c>
      <c r="F17" s="534">
        <f>Norms!$D$50</f>
        <v>0.875</v>
      </c>
      <c r="G17" s="534">
        <f>Norms!$D$50</f>
        <v>0.875</v>
      </c>
      <c r="H17" s="534">
        <f>Norms!$D$50</f>
        <v>0.875</v>
      </c>
      <c r="I17" s="534">
        <f>Norms!$D$50</f>
        <v>0.875</v>
      </c>
      <c r="J17" s="534">
        <f>Norms!$D$50</f>
        <v>0.875</v>
      </c>
      <c r="K17" s="534">
        <f>Norms!$D$50</f>
        <v>0.875</v>
      </c>
      <c r="L17" s="534">
        <f>Norms!$D$50</f>
        <v>0.875</v>
      </c>
      <c r="M17" s="534">
        <f>Norms!$D$50</f>
        <v>0.875</v>
      </c>
      <c r="N17" s="534">
        <f>Norms!$D$50</f>
        <v>0.875</v>
      </c>
      <c r="O17" s="534">
        <f>Norms!$D$50</f>
        <v>0.875</v>
      </c>
      <c r="P17" s="534">
        <f>Norms!$D$50</f>
        <v>0.875</v>
      </c>
      <c r="Q17" s="534">
        <f>Norms!$D$50</f>
        <v>0.875</v>
      </c>
      <c r="R17" s="542">
        <f>Norms!$D$50</f>
        <v>0.875</v>
      </c>
    </row>
    <row r="18" spans="1:18" ht="17.25" customHeight="1" x14ac:dyDescent="0.25">
      <c r="A18" s="704" t="s">
        <v>457</v>
      </c>
      <c r="B18" s="704"/>
      <c r="C18" s="704"/>
      <c r="D18" s="524">
        <f t="shared" ref="D18:R18" si="11">D6+D11</f>
        <v>153.31234737281247</v>
      </c>
      <c r="E18" s="524">
        <f t="shared" si="11"/>
        <v>172.88924674781251</v>
      </c>
      <c r="F18" s="524">
        <f t="shared" si="11"/>
        <v>202.25459581031251</v>
      </c>
      <c r="G18" s="524">
        <f t="shared" si="11"/>
        <v>202.25459581031251</v>
      </c>
      <c r="H18" s="524">
        <f t="shared" si="11"/>
        <v>202.25459581031251</v>
      </c>
      <c r="I18" s="524">
        <f t="shared" si="11"/>
        <v>202.25459581031251</v>
      </c>
      <c r="J18" s="524">
        <f t="shared" si="11"/>
        <v>202.25459581031251</v>
      </c>
      <c r="K18" s="524">
        <f t="shared" si="11"/>
        <v>202.25459581031251</v>
      </c>
      <c r="L18" s="524">
        <f t="shared" si="11"/>
        <v>202.25459581031251</v>
      </c>
      <c r="M18" s="524">
        <f t="shared" si="11"/>
        <v>202.25459581031251</v>
      </c>
      <c r="N18" s="524">
        <f t="shared" si="11"/>
        <v>202.25459581031251</v>
      </c>
      <c r="O18" s="524">
        <f t="shared" si="11"/>
        <v>202.25459581031251</v>
      </c>
      <c r="P18" s="524">
        <f t="shared" si="11"/>
        <v>202.25459581031251</v>
      </c>
      <c r="Q18" s="524">
        <f t="shared" si="11"/>
        <v>202.25459581031251</v>
      </c>
      <c r="R18" s="543">
        <f t="shared" si="11"/>
        <v>202.25459581031251</v>
      </c>
    </row>
    <row r="19" spans="1:18" x14ac:dyDescent="0.25">
      <c r="A19" s="704" t="s">
        <v>592</v>
      </c>
      <c r="B19" s="704"/>
      <c r="C19" s="704"/>
      <c r="D19" s="512" t="s">
        <v>39</v>
      </c>
      <c r="E19" s="81"/>
      <c r="F19" s="81"/>
      <c r="G19" s="525"/>
      <c r="H19" s="81"/>
      <c r="I19" s="81"/>
      <c r="J19" s="81"/>
      <c r="K19" s="81"/>
      <c r="L19" s="81"/>
      <c r="M19" s="81"/>
      <c r="N19" s="81"/>
      <c r="O19" s="81"/>
      <c r="P19" s="81"/>
      <c r="Q19" s="81"/>
      <c r="R19" s="544"/>
    </row>
    <row r="20" spans="1:18" x14ac:dyDescent="0.25">
      <c r="A20" s="512"/>
      <c r="B20" s="512"/>
      <c r="C20" s="512"/>
      <c r="D20" s="512">
        <v>2025</v>
      </c>
      <c r="E20" s="512">
        <v>2026</v>
      </c>
      <c r="F20" s="512">
        <v>2027</v>
      </c>
      <c r="G20" s="512">
        <v>2028</v>
      </c>
      <c r="H20" s="512">
        <v>2029</v>
      </c>
      <c r="I20" s="512">
        <v>2030</v>
      </c>
      <c r="J20" s="512">
        <v>2031</v>
      </c>
      <c r="K20" s="512">
        <v>2032</v>
      </c>
      <c r="L20" s="512">
        <v>2033</v>
      </c>
      <c r="M20" s="512">
        <v>2034</v>
      </c>
      <c r="N20" s="512">
        <v>2035</v>
      </c>
      <c r="O20" s="512">
        <v>2036</v>
      </c>
      <c r="P20" s="512">
        <v>2037</v>
      </c>
      <c r="Q20" s="512">
        <v>2038</v>
      </c>
      <c r="R20" s="504">
        <v>2039</v>
      </c>
    </row>
    <row r="21" spans="1:18" s="548" customFormat="1" x14ac:dyDescent="0.25">
      <c r="A21" s="514" t="s">
        <v>423</v>
      </c>
      <c r="B21" s="514" t="s">
        <v>422</v>
      </c>
      <c r="C21" s="514"/>
      <c r="D21" s="515">
        <v>0.7</v>
      </c>
      <c r="E21" s="515">
        <v>0.8</v>
      </c>
      <c r="F21" s="515">
        <v>0.95</v>
      </c>
      <c r="G21" s="515">
        <v>0.95</v>
      </c>
      <c r="H21" s="515">
        <v>0.95</v>
      </c>
      <c r="I21" s="515">
        <v>0.95</v>
      </c>
      <c r="J21" s="515">
        <v>0.95</v>
      </c>
      <c r="K21" s="515">
        <v>0.95</v>
      </c>
      <c r="L21" s="515">
        <v>0.95</v>
      </c>
      <c r="M21" s="515">
        <v>0.95</v>
      </c>
      <c r="N21" s="515">
        <v>0.95</v>
      </c>
      <c r="O21" s="515">
        <v>0.95</v>
      </c>
      <c r="P21" s="515">
        <v>0.95</v>
      </c>
      <c r="Q21" s="515">
        <v>0.95</v>
      </c>
      <c r="R21" s="536">
        <v>0.95</v>
      </c>
    </row>
    <row r="22" spans="1:18" s="548" customFormat="1" x14ac:dyDescent="0.25">
      <c r="A22" s="514" t="s">
        <v>458</v>
      </c>
      <c r="B22" s="514" t="s">
        <v>46</v>
      </c>
      <c r="C22" s="514"/>
      <c r="D22" s="514">
        <f>D21*Norms!$B$5</f>
        <v>70000</v>
      </c>
      <c r="E22" s="514">
        <f>E21*Norms!$B$5</f>
        <v>80000</v>
      </c>
      <c r="F22" s="514">
        <f>F21*Norms!$B$5</f>
        <v>95000</v>
      </c>
      <c r="G22" s="514">
        <f>G21*Norms!$B$5</f>
        <v>95000</v>
      </c>
      <c r="H22" s="514">
        <f>H21*Norms!$B$5</f>
        <v>95000</v>
      </c>
      <c r="I22" s="514">
        <f>I21*Norms!$B$5</f>
        <v>95000</v>
      </c>
      <c r="J22" s="514">
        <f>J21*Norms!$B$5</f>
        <v>95000</v>
      </c>
      <c r="K22" s="514">
        <f>K21*Norms!$B$5</f>
        <v>95000</v>
      </c>
      <c r="L22" s="514">
        <f>L21*Norms!$B$5</f>
        <v>95000</v>
      </c>
      <c r="M22" s="514">
        <f>M21*Norms!$B$5</f>
        <v>95000</v>
      </c>
      <c r="N22" s="514">
        <f>N21*Norms!$B$5</f>
        <v>95000</v>
      </c>
      <c r="O22" s="514">
        <f>O21*Norms!$B$5</f>
        <v>95000</v>
      </c>
      <c r="P22" s="514">
        <f>P21*Norms!$B$5</f>
        <v>95000</v>
      </c>
      <c r="Q22" s="514">
        <f>Q21*Norms!$B$5</f>
        <v>95000</v>
      </c>
      <c r="R22" s="545">
        <f>R21*Norms!$B$5</f>
        <v>95000</v>
      </c>
    </row>
    <row r="23" spans="1:18" ht="18" customHeight="1" x14ac:dyDescent="0.25">
      <c r="A23" s="526" t="s">
        <v>277</v>
      </c>
      <c r="B23" s="518" t="s">
        <v>25</v>
      </c>
      <c r="C23" s="518" t="s">
        <v>43</v>
      </c>
      <c r="D23" s="529">
        <f t="shared" ref="D23:R23" si="12">SUM(D24:D24)</f>
        <v>85.944221999999996</v>
      </c>
      <c r="E23" s="529">
        <f t="shared" si="12"/>
        <v>98.221968000000004</v>
      </c>
      <c r="F23" s="529">
        <f t="shared" si="12"/>
        <v>116.638587</v>
      </c>
      <c r="G23" s="529">
        <f t="shared" si="12"/>
        <v>116.638587</v>
      </c>
      <c r="H23" s="529">
        <f t="shared" si="12"/>
        <v>116.638587</v>
      </c>
      <c r="I23" s="529">
        <f t="shared" si="12"/>
        <v>116.638587</v>
      </c>
      <c r="J23" s="529">
        <f t="shared" si="12"/>
        <v>116.638587</v>
      </c>
      <c r="K23" s="529">
        <f t="shared" si="12"/>
        <v>116.638587</v>
      </c>
      <c r="L23" s="529">
        <f t="shared" si="12"/>
        <v>116.638587</v>
      </c>
      <c r="M23" s="529">
        <f t="shared" si="12"/>
        <v>116.638587</v>
      </c>
      <c r="N23" s="529">
        <f t="shared" si="12"/>
        <v>116.638587</v>
      </c>
      <c r="O23" s="529">
        <f t="shared" si="12"/>
        <v>116.638587</v>
      </c>
      <c r="P23" s="529">
        <f t="shared" si="12"/>
        <v>116.638587</v>
      </c>
      <c r="Q23" s="529">
        <f t="shared" si="12"/>
        <v>116.638587</v>
      </c>
      <c r="R23" s="550">
        <f t="shared" si="12"/>
        <v>116.638587</v>
      </c>
    </row>
    <row r="24" spans="1:18" ht="16.5" customHeight="1" x14ac:dyDescent="0.25">
      <c r="A24" s="527" t="s">
        <v>133</v>
      </c>
      <c r="B24" s="528">
        <f>Norms!F6</f>
        <v>21300</v>
      </c>
      <c r="C24" s="528">
        <f>C7</f>
        <v>57642</v>
      </c>
      <c r="D24" s="520">
        <f>D22*Norms!$D$6*$C$24/10^7</f>
        <v>85.944221999999996</v>
      </c>
      <c r="E24" s="520">
        <f>E22*Norms!$D$6*$C$24/10^7</f>
        <v>98.221968000000004</v>
      </c>
      <c r="F24" s="520">
        <f>F22*Norms!$D$6*$C$24/10^7</f>
        <v>116.638587</v>
      </c>
      <c r="G24" s="520">
        <f>G22*Norms!$D$6*$C$24/10^7</f>
        <v>116.638587</v>
      </c>
      <c r="H24" s="520">
        <f>H22*Norms!$D$6*$C$24/10^7</f>
        <v>116.638587</v>
      </c>
      <c r="I24" s="520">
        <f>I22*Norms!$D$6*$C$24/10^7</f>
        <v>116.638587</v>
      </c>
      <c r="J24" s="520">
        <f>J22*Norms!$D$6*$C$24/10^7</f>
        <v>116.638587</v>
      </c>
      <c r="K24" s="520">
        <f>K22*Norms!$D$6*$C$24/10^7</f>
        <v>116.638587</v>
      </c>
      <c r="L24" s="520">
        <f>L22*Norms!$D$6*$C$24/10^7</f>
        <v>116.638587</v>
      </c>
      <c r="M24" s="520">
        <f>M22*Norms!$D$6*$C$24/10^7</f>
        <v>116.638587</v>
      </c>
      <c r="N24" s="520">
        <f>N22*Norms!$D$6*$C$24/10^7</f>
        <v>116.638587</v>
      </c>
      <c r="O24" s="520">
        <f>O22*Norms!$D$6*$C$24/10^7</f>
        <v>116.638587</v>
      </c>
      <c r="P24" s="520">
        <f>P22*Norms!$D$6*$C$24/10^7</f>
        <v>116.638587</v>
      </c>
      <c r="Q24" s="520">
        <f>Q22*Norms!$D$6*$C$24/10^7</f>
        <v>116.638587</v>
      </c>
      <c r="R24" s="368">
        <f>R22*Norms!$D$6*$C$24/10^7</f>
        <v>116.638587</v>
      </c>
    </row>
    <row r="25" spans="1:18" x14ac:dyDescent="0.25">
      <c r="A25" s="704" t="s">
        <v>456</v>
      </c>
      <c r="B25" s="704"/>
      <c r="C25" s="704"/>
      <c r="D25" s="524">
        <f>+D23</f>
        <v>85.944221999999996</v>
      </c>
      <c r="E25" s="524">
        <f t="shared" ref="E25:R25" si="13">+E23</f>
        <v>98.221968000000004</v>
      </c>
      <c r="F25" s="524">
        <f t="shared" si="13"/>
        <v>116.638587</v>
      </c>
      <c r="G25" s="524">
        <f t="shared" si="13"/>
        <v>116.638587</v>
      </c>
      <c r="H25" s="524">
        <f t="shared" si="13"/>
        <v>116.638587</v>
      </c>
      <c r="I25" s="524">
        <f t="shared" si="13"/>
        <v>116.638587</v>
      </c>
      <c r="J25" s="524">
        <f t="shared" si="13"/>
        <v>116.638587</v>
      </c>
      <c r="K25" s="524">
        <f t="shared" si="13"/>
        <v>116.638587</v>
      </c>
      <c r="L25" s="524">
        <f t="shared" si="13"/>
        <v>116.638587</v>
      </c>
      <c r="M25" s="524">
        <f t="shared" si="13"/>
        <v>116.638587</v>
      </c>
      <c r="N25" s="524">
        <f t="shared" si="13"/>
        <v>116.638587</v>
      </c>
      <c r="O25" s="524">
        <f t="shared" si="13"/>
        <v>116.638587</v>
      </c>
      <c r="P25" s="524">
        <f t="shared" si="13"/>
        <v>116.638587</v>
      </c>
      <c r="Q25" s="524">
        <f t="shared" si="13"/>
        <v>116.638587</v>
      </c>
      <c r="R25" s="524">
        <f t="shared" si="13"/>
        <v>116.638587</v>
      </c>
    </row>
    <row r="26" spans="1:18" hidden="1" x14ac:dyDescent="0.25">
      <c r="D26" s="674">
        <f>D18+D25</f>
        <v>239.25656937281246</v>
      </c>
      <c r="E26" s="92">
        <f>D26*100</f>
        <v>23925.656937281245</v>
      </c>
    </row>
    <row r="27" spans="1:18" hidden="1" x14ac:dyDescent="0.25">
      <c r="D27" s="92">
        <f>D26*10^7</f>
        <v>2392565693.7281246</v>
      </c>
    </row>
    <row r="28" spans="1:18" hidden="1" x14ac:dyDescent="0.25">
      <c r="D28" s="675">
        <f>D27/100000</f>
        <v>23925.656937281245</v>
      </c>
    </row>
    <row r="29" spans="1:18" x14ac:dyDescent="0.25">
      <c r="C29" s="92" t="s">
        <v>600</v>
      </c>
      <c r="D29" s="92">
        <f>D18*10^7</f>
        <v>1533123473.7281246</v>
      </c>
      <c r="E29" s="92">
        <f t="shared" ref="E29:R29" si="14">E18*10^7</f>
        <v>1728892467.4781251</v>
      </c>
      <c r="F29" s="92">
        <f t="shared" si="14"/>
        <v>2022545958.1031251</v>
      </c>
      <c r="G29" s="92">
        <f t="shared" si="14"/>
        <v>2022545958.1031251</v>
      </c>
      <c r="H29" s="92">
        <f t="shared" si="14"/>
        <v>2022545958.1031251</v>
      </c>
      <c r="I29" s="92">
        <f t="shared" si="14"/>
        <v>2022545958.1031251</v>
      </c>
      <c r="J29" s="92">
        <f t="shared" si="14"/>
        <v>2022545958.1031251</v>
      </c>
      <c r="K29" s="92">
        <f t="shared" si="14"/>
        <v>2022545958.1031251</v>
      </c>
      <c r="L29" s="92">
        <f t="shared" si="14"/>
        <v>2022545958.1031251</v>
      </c>
      <c r="M29" s="92">
        <f t="shared" si="14"/>
        <v>2022545958.1031251</v>
      </c>
      <c r="N29" s="92">
        <f t="shared" si="14"/>
        <v>2022545958.1031251</v>
      </c>
      <c r="O29" s="92">
        <f t="shared" si="14"/>
        <v>2022545958.1031251</v>
      </c>
      <c r="P29" s="92">
        <f t="shared" si="14"/>
        <v>2022545958.1031251</v>
      </c>
      <c r="Q29" s="92">
        <f t="shared" si="14"/>
        <v>2022545958.1031251</v>
      </c>
      <c r="R29" s="92">
        <f t="shared" si="14"/>
        <v>2022545958.1031251</v>
      </c>
    </row>
    <row r="30" spans="1:18" x14ac:dyDescent="0.25">
      <c r="C30" s="684" t="s">
        <v>600</v>
      </c>
      <c r="D30" s="685">
        <f>D29/82500</f>
        <v>18583.314833068176</v>
      </c>
      <c r="E30" s="92">
        <f>D30+(D30*32%)</f>
        <v>24529.975579649992</v>
      </c>
    </row>
    <row r="31" spans="1:18" x14ac:dyDescent="0.25">
      <c r="C31" s="92" t="s">
        <v>563</v>
      </c>
      <c r="D31" s="92">
        <f>D25*10^7</f>
        <v>859442220</v>
      </c>
      <c r="E31" s="92">
        <f t="shared" ref="E31:R31" si="15">E25*10^7</f>
        <v>982219680</v>
      </c>
      <c r="F31" s="92">
        <f t="shared" si="15"/>
        <v>1166385870</v>
      </c>
      <c r="G31" s="92">
        <f t="shared" si="15"/>
        <v>1166385870</v>
      </c>
      <c r="H31" s="92">
        <f t="shared" si="15"/>
        <v>1166385870</v>
      </c>
      <c r="I31" s="92">
        <f t="shared" si="15"/>
        <v>1166385870</v>
      </c>
      <c r="J31" s="92">
        <f t="shared" si="15"/>
        <v>1166385870</v>
      </c>
      <c r="K31" s="92">
        <f t="shared" si="15"/>
        <v>1166385870</v>
      </c>
      <c r="L31" s="92">
        <f t="shared" si="15"/>
        <v>1166385870</v>
      </c>
      <c r="M31" s="92">
        <f t="shared" si="15"/>
        <v>1166385870</v>
      </c>
      <c r="N31" s="92">
        <f t="shared" si="15"/>
        <v>1166385870</v>
      </c>
      <c r="O31" s="92">
        <f t="shared" si="15"/>
        <v>1166385870</v>
      </c>
      <c r="P31" s="92">
        <f t="shared" si="15"/>
        <v>1166385870</v>
      </c>
      <c r="Q31" s="92">
        <f t="shared" si="15"/>
        <v>1166385870</v>
      </c>
      <c r="R31" s="92">
        <f t="shared" si="15"/>
        <v>1166385870</v>
      </c>
    </row>
    <row r="32" spans="1:18" x14ac:dyDescent="0.25">
      <c r="C32" s="684" t="s">
        <v>563</v>
      </c>
      <c r="D32" s="685">
        <f>D31/Norms!$B$5</f>
        <v>8594.4222000000009</v>
      </c>
      <c r="E32" s="685">
        <f>E31/Norms!$B$5</f>
        <v>9822.1967999999997</v>
      </c>
      <c r="F32" s="685">
        <f>F31/Norms!$B$5</f>
        <v>11663.858700000001</v>
      </c>
      <c r="G32" s="685">
        <f>G31/Norms!$B$5</f>
        <v>11663.858700000001</v>
      </c>
      <c r="H32" s="685">
        <f>H31/Norms!$B$5</f>
        <v>11663.858700000001</v>
      </c>
      <c r="I32" s="685">
        <f>I31/Norms!$B$5</f>
        <v>11663.858700000001</v>
      </c>
      <c r="J32" s="685">
        <f>J31/Norms!$B$5</f>
        <v>11663.858700000001</v>
      </c>
      <c r="K32" s="685">
        <f>K31/Norms!$B$5</f>
        <v>11663.858700000001</v>
      </c>
      <c r="L32" s="685">
        <f>L31/Norms!$B$5</f>
        <v>11663.858700000001</v>
      </c>
      <c r="M32" s="685">
        <f>M31/Norms!$B$5</f>
        <v>11663.858700000001</v>
      </c>
      <c r="N32" s="685">
        <f>N31/Norms!$B$5</f>
        <v>11663.858700000001</v>
      </c>
      <c r="O32" s="685">
        <f>O31/Norms!$B$5</f>
        <v>11663.858700000001</v>
      </c>
      <c r="P32" s="685">
        <f>P31/Norms!$B$5</f>
        <v>11663.858700000001</v>
      </c>
      <c r="Q32" s="685">
        <f>Q31/Norms!$B$5</f>
        <v>11663.858700000001</v>
      </c>
      <c r="R32" s="685">
        <f>R31/Norms!$B$5</f>
        <v>11663.858700000001</v>
      </c>
    </row>
    <row r="33" spans="4:4" x14ac:dyDescent="0.25">
      <c r="D33" s="674">
        <f>D18+D25</f>
        <v>239.25656937281246</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workbookViewId="0">
      <selection activeCell="B24" sqref="B24"/>
    </sheetView>
  </sheetViews>
  <sheetFormatPr defaultColWidth="9.140625" defaultRowHeight="12.75" x14ac:dyDescent="0.2"/>
  <cols>
    <col min="1" max="1" width="9.140625" style="604"/>
    <col min="2" max="2" width="34.85546875" style="604" customWidth="1"/>
    <col min="3" max="3" width="14.28515625" style="604" customWidth="1"/>
    <col min="4" max="16384" width="9.140625" style="604"/>
  </cols>
  <sheetData>
    <row r="1" spans="1:18" x14ac:dyDescent="0.2">
      <c r="B1" s="642" t="s">
        <v>548</v>
      </c>
    </row>
    <row r="2" spans="1:18" x14ac:dyDescent="0.2">
      <c r="A2" s="316" t="s">
        <v>402</v>
      </c>
      <c r="B2" s="643" t="s">
        <v>333</v>
      </c>
      <c r="C2" s="316" t="s">
        <v>541</v>
      </c>
      <c r="D2" s="316" t="s">
        <v>476</v>
      </c>
      <c r="E2" s="316" t="s">
        <v>477</v>
      </c>
      <c r="H2" s="644"/>
      <c r="I2" s="644"/>
      <c r="J2" s="644"/>
      <c r="K2" s="644"/>
      <c r="L2" s="644"/>
      <c r="M2" s="644"/>
      <c r="N2" s="644"/>
      <c r="O2" s="644"/>
      <c r="P2" s="644"/>
      <c r="Q2" s="644"/>
      <c r="R2" s="644"/>
    </row>
    <row r="3" spans="1:18" x14ac:dyDescent="0.2">
      <c r="A3" s="300">
        <v>1</v>
      </c>
      <c r="B3" s="645" t="s">
        <v>58</v>
      </c>
      <c r="C3" s="646">
        <f>Capex!B5</f>
        <v>440.73750000000001</v>
      </c>
      <c r="D3" s="647">
        <v>6.3299999999999995E-2</v>
      </c>
      <c r="E3" s="648">
        <v>0.15</v>
      </c>
      <c r="H3" s="644"/>
      <c r="I3" s="644"/>
      <c r="J3" s="644"/>
      <c r="K3" s="644"/>
      <c r="L3" s="644"/>
      <c r="M3" s="644"/>
      <c r="N3" s="644"/>
      <c r="O3" s="644"/>
      <c r="P3" s="644"/>
      <c r="Q3" s="644"/>
      <c r="R3" s="644"/>
    </row>
    <row r="4" spans="1:18" x14ac:dyDescent="0.2">
      <c r="A4" s="300">
        <v>2</v>
      </c>
      <c r="B4" s="301" t="s">
        <v>479</v>
      </c>
      <c r="C4" s="646">
        <f>Capex!B4</f>
        <v>8.254999999999999</v>
      </c>
      <c r="D4" s="647">
        <v>3.1699999999999999E-2</v>
      </c>
      <c r="E4" s="648">
        <v>0.1</v>
      </c>
      <c r="H4" s="644"/>
      <c r="I4" s="644"/>
      <c r="J4" s="644"/>
      <c r="K4" s="644"/>
      <c r="L4" s="644"/>
      <c r="M4" s="644"/>
      <c r="N4" s="644"/>
      <c r="O4" s="644"/>
      <c r="P4" s="644"/>
      <c r="Q4" s="644"/>
      <c r="R4" s="644"/>
    </row>
    <row r="5" spans="1:18" x14ac:dyDescent="0.2">
      <c r="A5" s="300">
        <v>3</v>
      </c>
      <c r="B5" s="301" t="s">
        <v>478</v>
      </c>
      <c r="C5" s="646">
        <f>Capex!B11-C3-C4</f>
        <v>118.29925000000009</v>
      </c>
      <c r="D5" s="647">
        <v>6.3299999999999995E-2</v>
      </c>
      <c r="E5" s="648">
        <v>0.15</v>
      </c>
      <c r="H5" s="644"/>
      <c r="I5" s="644" t="s">
        <v>249</v>
      </c>
      <c r="J5" s="644"/>
      <c r="K5" s="644"/>
      <c r="L5" s="644"/>
      <c r="M5" s="644"/>
      <c r="N5" s="644"/>
      <c r="O5" s="644"/>
      <c r="P5" s="644"/>
      <c r="Q5" s="644"/>
      <c r="R5" s="644"/>
    </row>
    <row r="6" spans="1:18" x14ac:dyDescent="0.2">
      <c r="A6" s="300">
        <v>4</v>
      </c>
      <c r="B6" s="649" t="s">
        <v>47</v>
      </c>
      <c r="C6" s="650">
        <f>SUM(C3:C5)</f>
        <v>567.29175000000009</v>
      </c>
      <c r="D6" s="644"/>
      <c r="E6" s="644"/>
      <c r="F6" s="644"/>
      <c r="G6" s="644"/>
      <c r="H6" s="644"/>
      <c r="I6" s="644"/>
      <c r="J6" s="644"/>
      <c r="K6" s="644"/>
      <c r="L6" s="644"/>
      <c r="M6" s="644"/>
      <c r="N6" s="644"/>
      <c r="O6" s="644"/>
      <c r="P6" s="644"/>
      <c r="Q6" s="644"/>
      <c r="R6" s="644"/>
    </row>
    <row r="7" spans="1:18" x14ac:dyDescent="0.2">
      <c r="A7" s="302"/>
      <c r="B7" s="651"/>
      <c r="C7" s="652"/>
      <c r="D7" s="303"/>
      <c r="E7" s="303"/>
      <c r="F7" s="303"/>
      <c r="G7" s="644"/>
      <c r="H7" s="644"/>
      <c r="I7" s="644"/>
      <c r="J7" s="644"/>
      <c r="K7" s="644"/>
      <c r="L7" s="644"/>
      <c r="M7" s="644"/>
      <c r="N7" s="644"/>
      <c r="O7" s="644"/>
      <c r="P7" s="644"/>
      <c r="Q7" s="644"/>
      <c r="R7" s="644"/>
    </row>
    <row r="8" spans="1:18" ht="15.75" x14ac:dyDescent="0.2">
      <c r="A8" s="705" t="s">
        <v>549</v>
      </c>
      <c r="B8" s="705"/>
      <c r="C8" s="705"/>
      <c r="D8" s="705"/>
      <c r="E8" s="705"/>
      <c r="F8" s="705"/>
      <c r="G8" s="705"/>
      <c r="H8" s="705"/>
      <c r="I8" s="705"/>
      <c r="J8" s="705"/>
      <c r="K8" s="705"/>
      <c r="L8" s="705"/>
      <c r="M8" s="705"/>
      <c r="N8" s="705"/>
      <c r="O8" s="705"/>
      <c r="P8" s="705"/>
      <c r="Q8" s="705"/>
      <c r="R8" s="705"/>
    </row>
    <row r="9" spans="1:18" s="642" customFormat="1" x14ac:dyDescent="0.2">
      <c r="A9" s="316" t="s">
        <v>402</v>
      </c>
      <c r="B9" s="316" t="s">
        <v>333</v>
      </c>
      <c r="C9" s="653" t="s">
        <v>441</v>
      </c>
      <c r="D9" s="653">
        <v>1</v>
      </c>
      <c r="E9" s="653">
        <v>2</v>
      </c>
      <c r="F9" s="653">
        <v>3</v>
      </c>
      <c r="G9" s="653">
        <v>4</v>
      </c>
      <c r="H9" s="653">
        <v>5</v>
      </c>
      <c r="I9" s="653">
        <v>6</v>
      </c>
      <c r="J9" s="653">
        <v>7</v>
      </c>
      <c r="K9" s="653">
        <v>8</v>
      </c>
      <c r="L9" s="653">
        <v>9</v>
      </c>
      <c r="M9" s="653">
        <v>10</v>
      </c>
      <c r="N9" s="653">
        <v>11</v>
      </c>
      <c r="O9" s="653">
        <v>12</v>
      </c>
      <c r="P9" s="653">
        <v>13</v>
      </c>
      <c r="Q9" s="653">
        <v>14</v>
      </c>
      <c r="R9" s="653">
        <v>15</v>
      </c>
    </row>
    <row r="10" spans="1:18" x14ac:dyDescent="0.2">
      <c r="A10" s="654">
        <v>1</v>
      </c>
      <c r="B10" s="655" t="str">
        <f>B3</f>
        <v>Plant &amp; Machinery</v>
      </c>
      <c r="C10" s="316" t="s">
        <v>541</v>
      </c>
      <c r="D10" s="656">
        <f>$C$3*$D$3</f>
        <v>27.89868375</v>
      </c>
      <c r="E10" s="656">
        <f t="shared" ref="E10:R10" si="0">$C$3*$D$3</f>
        <v>27.89868375</v>
      </c>
      <c r="F10" s="656">
        <f t="shared" si="0"/>
        <v>27.89868375</v>
      </c>
      <c r="G10" s="656">
        <f t="shared" si="0"/>
        <v>27.89868375</v>
      </c>
      <c r="H10" s="656">
        <f t="shared" si="0"/>
        <v>27.89868375</v>
      </c>
      <c r="I10" s="656">
        <f t="shared" si="0"/>
        <v>27.89868375</v>
      </c>
      <c r="J10" s="656">
        <f t="shared" si="0"/>
        <v>27.89868375</v>
      </c>
      <c r="K10" s="656">
        <f t="shared" si="0"/>
        <v>27.89868375</v>
      </c>
      <c r="L10" s="656">
        <f t="shared" si="0"/>
        <v>27.89868375</v>
      </c>
      <c r="M10" s="656">
        <f t="shared" si="0"/>
        <v>27.89868375</v>
      </c>
      <c r="N10" s="656">
        <f t="shared" si="0"/>
        <v>27.89868375</v>
      </c>
      <c r="O10" s="656">
        <f t="shared" si="0"/>
        <v>27.89868375</v>
      </c>
      <c r="P10" s="656">
        <f t="shared" si="0"/>
        <v>27.89868375</v>
      </c>
      <c r="Q10" s="656">
        <f t="shared" si="0"/>
        <v>27.89868375</v>
      </c>
      <c r="R10" s="656">
        <f t="shared" si="0"/>
        <v>27.89868375</v>
      </c>
    </row>
    <row r="11" spans="1:18" x14ac:dyDescent="0.2">
      <c r="A11" s="654">
        <v>2</v>
      </c>
      <c r="B11" s="655" t="str">
        <f>B4</f>
        <v>Civil Works-building &amp; site development</v>
      </c>
      <c r="C11" s="657" t="str">
        <f>C10</f>
        <v>INR Cr</v>
      </c>
      <c r="D11" s="656">
        <f>$C$4*$D$4</f>
        <v>0.26168349999999996</v>
      </c>
      <c r="E11" s="656">
        <f t="shared" ref="E11:R11" si="1">$C$4*$D$4</f>
        <v>0.26168349999999996</v>
      </c>
      <c r="F11" s="656">
        <f t="shared" si="1"/>
        <v>0.26168349999999996</v>
      </c>
      <c r="G11" s="656">
        <f t="shared" si="1"/>
        <v>0.26168349999999996</v>
      </c>
      <c r="H11" s="656">
        <f t="shared" si="1"/>
        <v>0.26168349999999996</v>
      </c>
      <c r="I11" s="656">
        <f t="shared" si="1"/>
        <v>0.26168349999999996</v>
      </c>
      <c r="J11" s="656">
        <f t="shared" si="1"/>
        <v>0.26168349999999996</v>
      </c>
      <c r="K11" s="656">
        <f t="shared" si="1"/>
        <v>0.26168349999999996</v>
      </c>
      <c r="L11" s="656">
        <f t="shared" si="1"/>
        <v>0.26168349999999996</v>
      </c>
      <c r="M11" s="656">
        <f t="shared" si="1"/>
        <v>0.26168349999999996</v>
      </c>
      <c r="N11" s="656">
        <f t="shared" si="1"/>
        <v>0.26168349999999996</v>
      </c>
      <c r="O11" s="656">
        <f t="shared" si="1"/>
        <v>0.26168349999999996</v>
      </c>
      <c r="P11" s="656">
        <f t="shared" si="1"/>
        <v>0.26168349999999996</v>
      </c>
      <c r="Q11" s="656">
        <f t="shared" si="1"/>
        <v>0.26168349999999996</v>
      </c>
      <c r="R11" s="656">
        <f t="shared" si="1"/>
        <v>0.26168349999999996</v>
      </c>
    </row>
    <row r="12" spans="1:18" x14ac:dyDescent="0.2">
      <c r="A12" s="654">
        <v>3</v>
      </c>
      <c r="B12" s="655" t="str">
        <f>B5</f>
        <v>Miscellaneous</v>
      </c>
      <c r="C12" s="658" t="str">
        <f>C10</f>
        <v>INR Cr</v>
      </c>
      <c r="D12" s="656">
        <f>$C$5*$D$5</f>
        <v>7.4883425250000046</v>
      </c>
      <c r="E12" s="656">
        <f t="shared" ref="E12:R12" si="2">$C$5*$D$5</f>
        <v>7.4883425250000046</v>
      </c>
      <c r="F12" s="656">
        <f t="shared" si="2"/>
        <v>7.4883425250000046</v>
      </c>
      <c r="G12" s="656">
        <f t="shared" si="2"/>
        <v>7.4883425250000046</v>
      </c>
      <c r="H12" s="656">
        <f t="shared" si="2"/>
        <v>7.4883425250000046</v>
      </c>
      <c r="I12" s="656">
        <f t="shared" si="2"/>
        <v>7.4883425250000046</v>
      </c>
      <c r="J12" s="656">
        <f t="shared" si="2"/>
        <v>7.4883425250000046</v>
      </c>
      <c r="K12" s="656">
        <f t="shared" si="2"/>
        <v>7.4883425250000046</v>
      </c>
      <c r="L12" s="656">
        <f t="shared" si="2"/>
        <v>7.4883425250000046</v>
      </c>
      <c r="M12" s="656">
        <f t="shared" si="2"/>
        <v>7.4883425250000046</v>
      </c>
      <c r="N12" s="656">
        <f t="shared" si="2"/>
        <v>7.4883425250000046</v>
      </c>
      <c r="O12" s="656">
        <f t="shared" si="2"/>
        <v>7.4883425250000046</v>
      </c>
      <c r="P12" s="656">
        <f t="shared" si="2"/>
        <v>7.4883425250000046</v>
      </c>
      <c r="Q12" s="656">
        <f t="shared" si="2"/>
        <v>7.4883425250000046</v>
      </c>
      <c r="R12" s="656">
        <f t="shared" si="2"/>
        <v>7.4883425250000046</v>
      </c>
    </row>
    <row r="13" spans="1:18" s="642" customFormat="1" x14ac:dyDescent="0.2">
      <c r="A13" s="653">
        <v>4</v>
      </c>
      <c r="B13" s="659" t="s">
        <v>480</v>
      </c>
      <c r="C13" s="653" t="str">
        <f>C10</f>
        <v>INR Cr</v>
      </c>
      <c r="D13" s="660">
        <f>SUM(D10:D12)</f>
        <v>35.648709775000007</v>
      </c>
      <c r="E13" s="660">
        <f t="shared" ref="E13:R13" si="3">SUM(E10:E12)</f>
        <v>35.648709775000007</v>
      </c>
      <c r="F13" s="660">
        <f t="shared" si="3"/>
        <v>35.648709775000007</v>
      </c>
      <c r="G13" s="660">
        <f t="shared" si="3"/>
        <v>35.648709775000007</v>
      </c>
      <c r="H13" s="660">
        <f t="shared" si="3"/>
        <v>35.648709775000007</v>
      </c>
      <c r="I13" s="660">
        <f t="shared" si="3"/>
        <v>35.648709775000007</v>
      </c>
      <c r="J13" s="660">
        <f t="shared" si="3"/>
        <v>35.648709775000007</v>
      </c>
      <c r="K13" s="660">
        <f t="shared" si="3"/>
        <v>35.648709775000007</v>
      </c>
      <c r="L13" s="660">
        <f t="shared" si="3"/>
        <v>35.648709775000007</v>
      </c>
      <c r="M13" s="660">
        <f t="shared" si="3"/>
        <v>35.648709775000007</v>
      </c>
      <c r="N13" s="660">
        <f t="shared" si="3"/>
        <v>35.648709775000007</v>
      </c>
      <c r="O13" s="660">
        <f t="shared" si="3"/>
        <v>35.648709775000007</v>
      </c>
      <c r="P13" s="660">
        <f t="shared" si="3"/>
        <v>35.648709775000007</v>
      </c>
      <c r="Q13" s="660">
        <f t="shared" si="3"/>
        <v>35.648709775000007</v>
      </c>
      <c r="R13" s="660">
        <f t="shared" si="3"/>
        <v>35.648709775000007</v>
      </c>
    </row>
    <row r="14" spans="1:18" x14ac:dyDescent="0.2">
      <c r="A14" s="654"/>
      <c r="B14" s="644"/>
      <c r="C14" s="644"/>
      <c r="D14" s="644"/>
      <c r="E14" s="644"/>
      <c r="F14" s="644"/>
      <c r="G14" s="644"/>
      <c r="H14" s="644"/>
      <c r="I14" s="644"/>
      <c r="J14" s="644"/>
      <c r="K14" s="644"/>
      <c r="L14" s="644"/>
      <c r="M14" s="644"/>
      <c r="N14" s="644"/>
      <c r="O14" s="644"/>
      <c r="P14" s="644"/>
      <c r="Q14" s="644"/>
      <c r="R14" s="644"/>
    </row>
    <row r="15" spans="1:18" ht="15.75" x14ac:dyDescent="0.2">
      <c r="A15" s="705" t="s">
        <v>550</v>
      </c>
      <c r="B15" s="705"/>
      <c r="C15" s="705"/>
      <c r="D15" s="705"/>
      <c r="E15" s="705"/>
      <c r="F15" s="705"/>
      <c r="G15" s="705"/>
      <c r="H15" s="705"/>
      <c r="I15" s="705"/>
      <c r="J15" s="705"/>
      <c r="K15" s="705"/>
      <c r="L15" s="705"/>
      <c r="M15" s="705"/>
      <c r="N15" s="705"/>
      <c r="O15" s="705"/>
      <c r="P15" s="705"/>
      <c r="Q15" s="705"/>
      <c r="R15" s="705"/>
    </row>
    <row r="16" spans="1:18" s="642" customFormat="1" x14ac:dyDescent="0.2">
      <c r="A16" s="316" t="s">
        <v>402</v>
      </c>
      <c r="B16" s="316" t="s">
        <v>333</v>
      </c>
      <c r="C16" s="653" t="s">
        <v>441</v>
      </c>
      <c r="D16" s="653">
        <v>1</v>
      </c>
      <c r="E16" s="653">
        <v>2</v>
      </c>
      <c r="F16" s="653">
        <v>3</v>
      </c>
      <c r="G16" s="653">
        <v>4</v>
      </c>
      <c r="H16" s="653">
        <v>5</v>
      </c>
      <c r="I16" s="653">
        <v>6</v>
      </c>
      <c r="J16" s="653">
        <v>7</v>
      </c>
      <c r="K16" s="653">
        <v>8</v>
      </c>
      <c r="L16" s="653">
        <v>9</v>
      </c>
      <c r="M16" s="653">
        <v>10</v>
      </c>
      <c r="N16" s="653">
        <v>11</v>
      </c>
      <c r="O16" s="653">
        <v>12</v>
      </c>
      <c r="P16" s="653">
        <v>13</v>
      </c>
      <c r="Q16" s="653">
        <v>14</v>
      </c>
      <c r="R16" s="653">
        <v>15</v>
      </c>
    </row>
    <row r="17" spans="1:18" x14ac:dyDescent="0.2">
      <c r="A17" s="654">
        <v>1</v>
      </c>
      <c r="B17" s="655" t="str">
        <f>B10</f>
        <v>Plant &amp; Machinery</v>
      </c>
      <c r="C17" s="661" t="str">
        <f>C10</f>
        <v>INR Cr</v>
      </c>
      <c r="D17" s="662">
        <f>$C$3*$E$3</f>
        <v>66.110624999999999</v>
      </c>
      <c r="E17" s="662">
        <f>($C$3-SUM($D$17:D17))*$E$3</f>
        <v>56.194031250000002</v>
      </c>
      <c r="F17" s="662">
        <f>($C$3-SUM($D$17:E17))*$E$3</f>
        <v>47.764926562500001</v>
      </c>
      <c r="G17" s="662">
        <f>($C$3-SUM($D$17:F17))*$E$3</f>
        <v>40.600187578125009</v>
      </c>
      <c r="H17" s="662">
        <f>($C$3-SUM($D$17:G17))*$E$3</f>
        <v>34.510159441406252</v>
      </c>
      <c r="I17" s="662">
        <f>($C$3-SUM($D$17:H17))*$E$3</f>
        <v>29.333635525195316</v>
      </c>
      <c r="J17" s="662">
        <f>($C$3-SUM($D$17:I17))*$E$3</f>
        <v>24.933590196416024</v>
      </c>
      <c r="K17" s="662">
        <f>($C$3-SUM($D$17:J17))*$E$3</f>
        <v>21.193551666953613</v>
      </c>
      <c r="L17" s="662">
        <f>($C$3-SUM($D$17:K17))*$E$3</f>
        <v>18.014518916910571</v>
      </c>
      <c r="M17" s="662">
        <f>($C$3-SUM($D$17:L17))*$E$3</f>
        <v>15.312341079373986</v>
      </c>
      <c r="N17" s="662">
        <f>($C$3-SUM($D$17:M17))*$E$3</f>
        <v>13.015489917467889</v>
      </c>
      <c r="O17" s="662">
        <f>($C$3-SUM($D$17:N17))*$E$3</f>
        <v>11.063166429847703</v>
      </c>
      <c r="P17" s="662">
        <f>($C$3-SUM($D$17:O17))*$E$3</f>
        <v>9.4036914653705512</v>
      </c>
      <c r="Q17" s="662">
        <f>($C$3-SUM($D$17:P17))*$E$3</f>
        <v>7.9931377455649653</v>
      </c>
      <c r="R17" s="662">
        <f>($C$3-SUM($D$17:Q17))*$E$3</f>
        <v>6.7941670837302182</v>
      </c>
    </row>
    <row r="18" spans="1:18" x14ac:dyDescent="0.2">
      <c r="A18" s="654">
        <v>2</v>
      </c>
      <c r="B18" s="655" t="str">
        <f>B11</f>
        <v>Civil Works-building &amp; site development</v>
      </c>
      <c r="C18" s="657" t="str">
        <f>C17</f>
        <v>INR Cr</v>
      </c>
      <c r="D18" s="662">
        <f>$C$4*$E$4</f>
        <v>0.8254999999999999</v>
      </c>
      <c r="E18" s="662">
        <f>($C$4-SUM($D$18:D18))*$E$4</f>
        <v>0.74295</v>
      </c>
      <c r="F18" s="662">
        <f>($C$4-SUM($D$18:E18))*$E$4</f>
        <v>0.66865499999999989</v>
      </c>
      <c r="G18" s="662">
        <f>($C$4-SUM($D$18:F18))*$E$4</f>
        <v>0.60178949999999998</v>
      </c>
      <c r="H18" s="662">
        <f>($C$4-SUM($D$18:G18))*$E$4</f>
        <v>0.54161055000000002</v>
      </c>
      <c r="I18" s="662">
        <f>($C$4-SUM($D$18:H18))*$E$4</f>
        <v>0.4874494949999999</v>
      </c>
      <c r="J18" s="662">
        <f>($C$4-SUM($D$18:I18))*$E$4</f>
        <v>0.43870454549999993</v>
      </c>
      <c r="K18" s="662">
        <f>($C$4-SUM($D$18:J18))*$E$4</f>
        <v>0.39483409094999999</v>
      </c>
      <c r="L18" s="662">
        <f>($C$4-SUM($D$18:K18))*$E$4</f>
        <v>0.35535068185500002</v>
      </c>
      <c r="M18" s="662">
        <f>($C$4-SUM($D$18:L18))*$E$4</f>
        <v>0.31981561366950007</v>
      </c>
      <c r="N18" s="662">
        <f>($C$4-SUM($D$18:M18))*$E$4</f>
        <v>0.28783405230254999</v>
      </c>
      <c r="O18" s="662">
        <f>($C$4-SUM($D$18:N18))*$E$4</f>
        <v>0.25905064707229503</v>
      </c>
      <c r="P18" s="662">
        <f>($C$4-SUM($D$18:O18))*$E$4</f>
        <v>0.23314558236506555</v>
      </c>
      <c r="Q18" s="662">
        <f>($C$4-SUM($D$18:P18))*$E$4</f>
        <v>0.20983102412855895</v>
      </c>
      <c r="R18" s="662">
        <f>($C$4-SUM($D$18:Q18))*$E$4</f>
        <v>0.18884792171570305</v>
      </c>
    </row>
    <row r="19" spans="1:18" x14ac:dyDescent="0.2">
      <c r="A19" s="654">
        <v>3</v>
      </c>
      <c r="B19" s="655" t="str">
        <f>B12</f>
        <v>Miscellaneous</v>
      </c>
      <c r="C19" s="658" t="str">
        <f>C17</f>
        <v>INR Cr</v>
      </c>
      <c r="D19" s="662">
        <f>$C$5*$E$5</f>
        <v>17.744887500000011</v>
      </c>
      <c r="E19" s="662">
        <f>($C$5-SUM($D$19:D19))*$E$5</f>
        <v>15.083154375000012</v>
      </c>
      <c r="F19" s="662">
        <f>($C$5-SUM($D$19:E19))*$E$5</f>
        <v>12.820681218750009</v>
      </c>
      <c r="G19" s="662">
        <f>($C$5-SUM($D$19:F19))*$E$5</f>
        <v>10.897579035937508</v>
      </c>
      <c r="H19" s="662">
        <f>($C$5-SUM($D$19:G19))*$E$5</f>
        <v>9.2629421805468812</v>
      </c>
      <c r="I19" s="662">
        <f>($C$5-SUM($D$19:H19))*$E$5</f>
        <v>7.8735008534648472</v>
      </c>
      <c r="J19" s="662">
        <f>($C$5-SUM($D$19:I19))*$E$5</f>
        <v>6.6924757254451208</v>
      </c>
      <c r="K19" s="662">
        <f>($C$5-SUM($D$19:J19))*$E$5</f>
        <v>5.6886043666283523</v>
      </c>
      <c r="L19" s="662">
        <f>($C$5-SUM($D$19:K19))*$E$5</f>
        <v>4.8353137116340994</v>
      </c>
      <c r="M19" s="662">
        <f>($C$5-SUM($D$19:L19))*$E$5</f>
        <v>4.1100166548889847</v>
      </c>
      <c r="N19" s="662">
        <f>($C$5-SUM($D$19:M19))*$E$5</f>
        <v>3.4935141566556376</v>
      </c>
      <c r="O19" s="662">
        <f>($C$5-SUM($D$19:N19))*$E$5</f>
        <v>2.969487033157292</v>
      </c>
      <c r="P19" s="662">
        <f>($C$5-SUM($D$19:O19))*$E$5</f>
        <v>2.524063978183698</v>
      </c>
      <c r="Q19" s="662">
        <f>($C$5-SUM($D$19:P19))*$E$5</f>
        <v>2.1454543814561426</v>
      </c>
      <c r="R19" s="662">
        <f>($C$5-SUM($D$19:Q19))*$E$5</f>
        <v>1.8236362242377204</v>
      </c>
    </row>
    <row r="20" spans="1:18" s="642" customFormat="1" x14ac:dyDescent="0.2">
      <c r="A20" s="653">
        <v>4</v>
      </c>
      <c r="B20" s="659" t="s">
        <v>551</v>
      </c>
      <c r="C20" s="663" t="str">
        <f>C17</f>
        <v>INR Cr</v>
      </c>
      <c r="D20" s="660">
        <f>SUM(D17:D19)</f>
        <v>84.681012500000008</v>
      </c>
      <c r="E20" s="660">
        <f t="shared" ref="E20:O20" si="4">SUM(E17:E19)</f>
        <v>72.020135625000009</v>
      </c>
      <c r="F20" s="660">
        <f t="shared" si="4"/>
        <v>61.254262781250013</v>
      </c>
      <c r="G20" s="660">
        <f t="shared" si="4"/>
        <v>52.099556114062523</v>
      </c>
      <c r="H20" s="660">
        <f t="shared" si="4"/>
        <v>44.314712171953133</v>
      </c>
      <c r="I20" s="660">
        <f t="shared" si="4"/>
        <v>37.694585873660159</v>
      </c>
      <c r="J20" s="660">
        <f t="shared" si="4"/>
        <v>32.064770467361143</v>
      </c>
      <c r="K20" s="660">
        <f t="shared" si="4"/>
        <v>27.276990124531963</v>
      </c>
      <c r="L20" s="660">
        <f t="shared" si="4"/>
        <v>23.205183310399672</v>
      </c>
      <c r="M20" s="660">
        <f t="shared" si="4"/>
        <v>19.742173347932471</v>
      </c>
      <c r="N20" s="660">
        <f t="shared" si="4"/>
        <v>16.796838126426078</v>
      </c>
      <c r="O20" s="660">
        <f t="shared" si="4"/>
        <v>14.291704110077291</v>
      </c>
      <c r="P20" s="660">
        <f>SUM(P17:P19)</f>
        <v>12.160901025919314</v>
      </c>
      <c r="Q20" s="660">
        <f t="shared" ref="Q20" si="5">SUM(Q17:Q19)</f>
        <v>10.348423151149666</v>
      </c>
      <c r="R20" s="660">
        <f t="shared" ref="R20" si="6">SUM(R17:R19)</f>
        <v>8.8066512296836414</v>
      </c>
    </row>
  </sheetData>
  <mergeCells count="2">
    <mergeCell ref="A8:R8"/>
    <mergeCell ref="A15:R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topLeftCell="A6" workbookViewId="0">
      <selection activeCell="F16" sqref="F16"/>
    </sheetView>
  </sheetViews>
  <sheetFormatPr defaultColWidth="9.140625" defaultRowHeight="12.75" x14ac:dyDescent="0.25"/>
  <cols>
    <col min="1" max="1" width="9.140625" style="303"/>
    <col min="2" max="2" width="35.28515625" style="303" customWidth="1"/>
    <col min="3" max="18" width="10.7109375" style="303" customWidth="1"/>
    <col min="19" max="19" width="9.140625" style="303"/>
    <col min="20" max="32" width="9.140625" style="373"/>
    <col min="33" max="16384" width="9.140625" style="303"/>
  </cols>
  <sheetData>
    <row r="1" spans="1:33" x14ac:dyDescent="0.25">
      <c r="B1" s="472" t="s">
        <v>560</v>
      </c>
      <c r="C1" s="472" t="s">
        <v>561</v>
      </c>
    </row>
    <row r="2" spans="1:33" x14ac:dyDescent="0.25">
      <c r="B2" s="301" t="s">
        <v>331</v>
      </c>
      <c r="C2" s="672">
        <v>0.18</v>
      </c>
      <c r="D2" s="499"/>
    </row>
    <row r="3" spans="1:33" x14ac:dyDescent="0.25">
      <c r="B3" s="301" t="s">
        <v>58</v>
      </c>
      <c r="C3" s="672">
        <v>0.18</v>
      </c>
      <c r="D3" s="476"/>
      <c r="E3" s="476"/>
      <c r="F3" s="477"/>
      <c r="G3" s="476"/>
      <c r="H3" s="476"/>
      <c r="I3" s="476"/>
      <c r="J3" s="476"/>
      <c r="K3" s="476"/>
      <c r="L3" s="476"/>
      <c r="M3" s="476"/>
      <c r="N3" s="476"/>
      <c r="O3" s="476"/>
      <c r="P3" s="476"/>
      <c r="Q3" s="476"/>
      <c r="R3" s="476"/>
    </row>
    <row r="4" spans="1:33" x14ac:dyDescent="0.25">
      <c r="B4" s="301"/>
      <c r="C4" s="301"/>
      <c r="D4" s="476"/>
      <c r="E4" s="476"/>
      <c r="F4" s="477"/>
      <c r="G4" s="476"/>
      <c r="H4" s="476"/>
      <c r="I4" s="476"/>
      <c r="J4" s="476"/>
      <c r="K4" s="476"/>
      <c r="L4" s="476"/>
      <c r="M4" s="476"/>
      <c r="N4" s="476"/>
      <c r="O4" s="476"/>
      <c r="P4" s="476"/>
      <c r="Q4" s="476"/>
      <c r="R4" s="476"/>
    </row>
    <row r="5" spans="1:33" x14ac:dyDescent="0.25">
      <c r="B5" s="472" t="s">
        <v>562</v>
      </c>
      <c r="C5" s="301"/>
      <c r="D5" s="476"/>
      <c r="E5" s="476"/>
      <c r="F5" s="477"/>
      <c r="G5" s="476"/>
      <c r="H5" s="476"/>
      <c r="I5" s="476"/>
      <c r="J5" s="476"/>
      <c r="K5" s="476"/>
      <c r="L5" s="476"/>
      <c r="M5" s="476"/>
      <c r="N5" s="476"/>
      <c r="O5" s="476"/>
      <c r="P5" s="476"/>
      <c r="Q5" s="476"/>
      <c r="R5" s="476"/>
    </row>
    <row r="6" spans="1:33" x14ac:dyDescent="0.25">
      <c r="B6" s="301" t="s">
        <v>563</v>
      </c>
      <c r="C6" s="672">
        <v>0.05</v>
      </c>
      <c r="D6" s="476"/>
      <c r="E6" s="476"/>
      <c r="F6" s="477"/>
      <c r="G6" s="476"/>
      <c r="H6" s="476"/>
      <c r="I6" s="476"/>
      <c r="J6" s="476"/>
      <c r="K6" s="476"/>
      <c r="L6" s="476"/>
      <c r="M6" s="476"/>
      <c r="N6" s="476"/>
      <c r="O6" s="476"/>
      <c r="P6" s="476"/>
      <c r="Q6" s="476"/>
      <c r="R6" s="476"/>
    </row>
    <row r="7" spans="1:33" x14ac:dyDescent="0.25">
      <c r="B7" s="301" t="s">
        <v>139</v>
      </c>
      <c r="C7" s="672">
        <v>0.05</v>
      </c>
      <c r="D7" s="476"/>
      <c r="E7" s="476"/>
      <c r="F7" s="477"/>
      <c r="G7" s="476"/>
      <c r="H7" s="476"/>
      <c r="I7" s="476"/>
      <c r="J7" s="476"/>
      <c r="K7" s="476"/>
      <c r="L7" s="476"/>
      <c r="M7" s="476"/>
      <c r="N7" s="476"/>
      <c r="O7" s="476"/>
      <c r="P7" s="476"/>
      <c r="Q7" s="476"/>
      <c r="R7" s="476"/>
    </row>
    <row r="8" spans="1:33" x14ac:dyDescent="0.25">
      <c r="D8" s="476"/>
      <c r="E8" s="476"/>
      <c r="F8" s="477"/>
      <c r="G8" s="476"/>
      <c r="H8" s="476"/>
      <c r="I8" s="476"/>
      <c r="J8" s="476"/>
      <c r="K8" s="476"/>
      <c r="L8" s="476"/>
      <c r="M8" s="476"/>
      <c r="N8" s="476"/>
      <c r="O8" s="476"/>
      <c r="P8" s="476"/>
      <c r="Q8" s="476"/>
      <c r="R8" s="476"/>
    </row>
    <row r="9" spans="1:33" ht="15.75" x14ac:dyDescent="0.25">
      <c r="A9" s="301"/>
      <c r="B9" s="705" t="s">
        <v>559</v>
      </c>
      <c r="C9" s="705"/>
      <c r="D9" s="705"/>
      <c r="E9" s="705"/>
      <c r="F9" s="705"/>
      <c r="G9" s="705"/>
      <c r="H9" s="705"/>
      <c r="I9" s="705"/>
      <c r="J9" s="705"/>
      <c r="K9" s="705"/>
      <c r="L9" s="705"/>
      <c r="M9" s="705"/>
      <c r="N9" s="705"/>
      <c r="O9" s="705"/>
      <c r="P9" s="705"/>
      <c r="Q9" s="705"/>
      <c r="R9" s="705"/>
    </row>
    <row r="10" spans="1:33" s="470" customFormat="1" ht="20.100000000000001" customHeight="1" x14ac:dyDescent="0.25">
      <c r="A10" s="470" t="s">
        <v>402</v>
      </c>
      <c r="B10" s="496" t="s">
        <v>554</v>
      </c>
      <c r="C10" s="497" t="s">
        <v>441</v>
      </c>
      <c r="D10" s="498">
        <v>1</v>
      </c>
      <c r="E10" s="498">
        <v>2</v>
      </c>
      <c r="F10" s="498">
        <v>3</v>
      </c>
      <c r="G10" s="498">
        <v>4</v>
      </c>
      <c r="H10" s="498">
        <v>5</v>
      </c>
      <c r="I10" s="498">
        <v>6</v>
      </c>
      <c r="J10" s="498">
        <v>7</v>
      </c>
      <c r="K10" s="498">
        <v>8</v>
      </c>
      <c r="L10" s="498">
        <v>9</v>
      </c>
      <c r="M10" s="498">
        <v>10</v>
      </c>
      <c r="N10" s="498">
        <v>11</v>
      </c>
      <c r="O10" s="498">
        <v>12</v>
      </c>
      <c r="P10" s="498">
        <v>13</v>
      </c>
      <c r="Q10" s="498">
        <v>14</v>
      </c>
      <c r="R10" s="498">
        <v>15</v>
      </c>
      <c r="S10" s="493"/>
      <c r="T10" s="489"/>
      <c r="U10" s="489"/>
      <c r="V10" s="489"/>
      <c r="W10" s="489"/>
      <c r="X10" s="489"/>
      <c r="Y10" s="489"/>
      <c r="Z10" s="489"/>
      <c r="AA10" s="489"/>
      <c r="AB10" s="489"/>
      <c r="AC10" s="489"/>
      <c r="AD10" s="489"/>
      <c r="AE10" s="489"/>
      <c r="AF10" s="489"/>
      <c r="AG10" s="494"/>
    </row>
    <row r="11" spans="1:33" s="373" customFormat="1" ht="20.100000000000001" customHeight="1" x14ac:dyDescent="0.25">
      <c r="A11" s="354">
        <v>1</v>
      </c>
      <c r="B11" s="389" t="s">
        <v>331</v>
      </c>
      <c r="C11" s="354" t="s">
        <v>541</v>
      </c>
      <c r="D11" s="487">
        <f>Opex!D7*$C$2</f>
        <v>17.226671962499996</v>
      </c>
      <c r="E11" s="487">
        <f>Opex!E7*$C$2</f>
        <v>19.687625099999998</v>
      </c>
      <c r="F11" s="487">
        <f>Opex!F7*$C$2</f>
        <v>23.37905480625</v>
      </c>
      <c r="G11" s="487">
        <f>Opex!G7*$C$2</f>
        <v>23.37905480625</v>
      </c>
      <c r="H11" s="487">
        <f>Opex!H7*$C$2</f>
        <v>23.37905480625</v>
      </c>
      <c r="I11" s="487">
        <f>Opex!I7*$C$2</f>
        <v>23.37905480625</v>
      </c>
      <c r="J11" s="487">
        <f>Opex!J7*$C$2</f>
        <v>23.37905480625</v>
      </c>
      <c r="K11" s="487">
        <f>Opex!K7*$C$2</f>
        <v>23.37905480625</v>
      </c>
      <c r="L11" s="487">
        <f>Opex!L7*$C$2</f>
        <v>23.37905480625</v>
      </c>
      <c r="M11" s="487">
        <f>Opex!M7*$C$2</f>
        <v>23.37905480625</v>
      </c>
      <c r="N11" s="487">
        <f>Opex!N7*$C$2</f>
        <v>23.37905480625</v>
      </c>
      <c r="O11" s="487">
        <f>Opex!O7*$C$2</f>
        <v>23.37905480625</v>
      </c>
      <c r="P11" s="487">
        <f>Opex!P7*$C$2</f>
        <v>23.37905480625</v>
      </c>
      <c r="Q11" s="487">
        <f>Opex!Q7*$C$2</f>
        <v>23.37905480625</v>
      </c>
      <c r="R11" s="487">
        <f>Opex!R7*$C$2</f>
        <v>23.37905480625</v>
      </c>
    </row>
    <row r="12" spans="1:33" s="489" customFormat="1" ht="20.100000000000001" customHeight="1" x14ac:dyDescent="0.25">
      <c r="A12" s="381">
        <v>2</v>
      </c>
      <c r="B12" s="470" t="s">
        <v>555</v>
      </c>
      <c r="C12" s="348" t="s">
        <v>541</v>
      </c>
      <c r="D12" s="488">
        <f t="shared" ref="D12:R12" si="0">SUM(D11:D11)</f>
        <v>17.226671962499996</v>
      </c>
      <c r="E12" s="488">
        <f t="shared" si="0"/>
        <v>19.687625099999998</v>
      </c>
      <c r="F12" s="488">
        <f t="shared" si="0"/>
        <v>23.37905480625</v>
      </c>
      <c r="G12" s="488">
        <f t="shared" si="0"/>
        <v>23.37905480625</v>
      </c>
      <c r="H12" s="488">
        <f t="shared" si="0"/>
        <v>23.37905480625</v>
      </c>
      <c r="I12" s="488">
        <f t="shared" si="0"/>
        <v>23.37905480625</v>
      </c>
      <c r="J12" s="488">
        <f t="shared" si="0"/>
        <v>23.37905480625</v>
      </c>
      <c r="K12" s="488">
        <f t="shared" si="0"/>
        <v>23.37905480625</v>
      </c>
      <c r="L12" s="488">
        <f t="shared" si="0"/>
        <v>23.37905480625</v>
      </c>
      <c r="M12" s="488">
        <f t="shared" si="0"/>
        <v>23.37905480625</v>
      </c>
      <c r="N12" s="488">
        <f t="shared" si="0"/>
        <v>23.37905480625</v>
      </c>
      <c r="O12" s="488">
        <f t="shared" si="0"/>
        <v>23.37905480625</v>
      </c>
      <c r="P12" s="488">
        <f t="shared" si="0"/>
        <v>23.37905480625</v>
      </c>
      <c r="Q12" s="488">
        <f t="shared" si="0"/>
        <v>23.37905480625</v>
      </c>
      <c r="R12" s="488">
        <f t="shared" si="0"/>
        <v>23.37905480625</v>
      </c>
    </row>
    <row r="13" spans="1:33" s="373" customFormat="1" ht="20.100000000000001" customHeight="1" x14ac:dyDescent="0.25">
      <c r="B13" s="490"/>
      <c r="D13" s="491"/>
      <c r="E13" s="491"/>
      <c r="F13" s="491"/>
      <c r="G13" s="491"/>
      <c r="H13" s="491"/>
      <c r="I13" s="491"/>
      <c r="J13" s="491"/>
      <c r="K13" s="491"/>
      <c r="L13" s="491"/>
      <c r="M13" s="491"/>
      <c r="N13" s="491"/>
      <c r="O13" s="491"/>
      <c r="P13" s="491"/>
      <c r="Q13" s="491"/>
      <c r="R13" s="491"/>
    </row>
    <row r="14" spans="1:33" s="470" customFormat="1" ht="20.100000000000001" customHeight="1" x14ac:dyDescent="0.25">
      <c r="A14" s="470" t="s">
        <v>402</v>
      </c>
      <c r="B14" s="492" t="s">
        <v>556</v>
      </c>
      <c r="C14" s="381"/>
      <c r="D14" s="486"/>
      <c r="E14" s="486"/>
      <c r="F14" s="486"/>
      <c r="G14" s="486"/>
      <c r="H14" s="486"/>
      <c r="I14" s="486"/>
      <c r="J14" s="486"/>
      <c r="K14" s="486"/>
      <c r="L14" s="486"/>
      <c r="M14" s="486"/>
      <c r="N14" s="486"/>
      <c r="O14" s="486"/>
      <c r="P14" s="486"/>
      <c r="Q14" s="486"/>
      <c r="R14" s="486"/>
      <c r="S14" s="493"/>
      <c r="T14" s="489"/>
      <c r="U14" s="489"/>
      <c r="V14" s="489"/>
      <c r="W14" s="489"/>
      <c r="X14" s="489"/>
      <c r="Y14" s="489"/>
      <c r="Z14" s="489"/>
      <c r="AA14" s="489"/>
      <c r="AB14" s="489"/>
      <c r="AC14" s="489"/>
      <c r="AD14" s="489"/>
      <c r="AE14" s="489"/>
      <c r="AF14" s="489"/>
      <c r="AG14" s="494"/>
    </row>
    <row r="15" spans="1:33" ht="20.100000000000001" customHeight="1" x14ac:dyDescent="0.25">
      <c r="A15" s="313">
        <v>1</v>
      </c>
      <c r="B15" s="308" t="s">
        <v>563</v>
      </c>
      <c r="C15" s="354" t="s">
        <v>541</v>
      </c>
      <c r="D15" s="478">
        <f>'Cashflow '!F15*$C$6</f>
        <v>30.688700000000001</v>
      </c>
      <c r="E15" s="478">
        <f>'Cashflow '!G15*$C$6</f>
        <v>35.072800000000001</v>
      </c>
      <c r="F15" s="478">
        <f>'Cashflow '!H15*$C$6</f>
        <v>41.648950000000006</v>
      </c>
      <c r="G15" s="478">
        <f>'Cashflow '!I15*$C$6</f>
        <v>41.648950000000006</v>
      </c>
      <c r="H15" s="478">
        <f>'Cashflow '!J15*$C$6</f>
        <v>41.648950000000006</v>
      </c>
      <c r="I15" s="478">
        <f>'Cashflow '!K15*$C$6</f>
        <v>41.648950000000006</v>
      </c>
      <c r="J15" s="478">
        <f>'Cashflow '!L15*$C$6</f>
        <v>41.648950000000006</v>
      </c>
      <c r="K15" s="478">
        <f>'Cashflow '!M15*$C$6</f>
        <v>41.648950000000006</v>
      </c>
      <c r="L15" s="478">
        <f>'Cashflow '!N15*$C$6</f>
        <v>41.648950000000006</v>
      </c>
      <c r="M15" s="478">
        <f>'Cashflow '!O15*$C$6</f>
        <v>41.648950000000006</v>
      </c>
      <c r="N15" s="478">
        <f>'Cashflow '!P15*$C$6</f>
        <v>41.648950000000006</v>
      </c>
      <c r="O15" s="478">
        <f>'Cashflow '!Q15*$C$6</f>
        <v>41.648950000000006</v>
      </c>
      <c r="P15" s="478">
        <f>'Cashflow '!R15*$C$6</f>
        <v>41.648950000000006</v>
      </c>
      <c r="Q15" s="478">
        <f>'Cashflow '!S15*$C$6</f>
        <v>41.648950000000006</v>
      </c>
      <c r="R15" s="478">
        <f>'Cashflow '!T15*$C$6</f>
        <v>41.648950000000006</v>
      </c>
    </row>
    <row r="16" spans="1:33" ht="20.100000000000001" customHeight="1" x14ac:dyDescent="0.25">
      <c r="A16" s="313">
        <v>2</v>
      </c>
      <c r="B16" s="308" t="s">
        <v>139</v>
      </c>
      <c r="C16" s="354" t="s">
        <v>541</v>
      </c>
      <c r="D16" s="478">
        <f>'Cashflow '!F14*$C$7</f>
        <v>0.32624514206434402</v>
      </c>
      <c r="E16" s="478">
        <f>'Cashflow '!G14*$C$7</f>
        <v>0.37285159093067993</v>
      </c>
      <c r="F16" s="478">
        <f>'Cashflow '!H14*$C$7</f>
        <v>0.44276126423018242</v>
      </c>
      <c r="G16" s="478">
        <f>'Cashflow '!I14*$C$7</f>
        <v>0.44276126423018242</v>
      </c>
      <c r="H16" s="478">
        <f>'Cashflow '!J14*$C$7</f>
        <v>0.44276126423018242</v>
      </c>
      <c r="I16" s="478">
        <f>'Cashflow '!K14*$C$7</f>
        <v>0.44276126423018242</v>
      </c>
      <c r="J16" s="478">
        <f>'Cashflow '!L14*$C$7</f>
        <v>0.44276126423018242</v>
      </c>
      <c r="K16" s="478">
        <f>'Cashflow '!M14*$C$7</f>
        <v>0.44276126423018242</v>
      </c>
      <c r="L16" s="478">
        <f>'Cashflow '!N14*$C$7</f>
        <v>0.44276126423018242</v>
      </c>
      <c r="M16" s="478">
        <f>'Cashflow '!O14*$C$7</f>
        <v>0.44276126423018242</v>
      </c>
      <c r="N16" s="478">
        <f>'Cashflow '!P14*$C$7</f>
        <v>0.44276126423018242</v>
      </c>
      <c r="O16" s="478">
        <f>'Cashflow '!Q14*$C$7</f>
        <v>0.44276126423018242</v>
      </c>
      <c r="P16" s="478">
        <f>'Cashflow '!R14*$C$7</f>
        <v>0.44276126423018242</v>
      </c>
      <c r="Q16" s="478">
        <f>'Cashflow '!S14*$C$7</f>
        <v>0.44276126423018242</v>
      </c>
      <c r="R16" s="478">
        <f>'Cashflow '!T14*$C$7</f>
        <v>0.44276126423018242</v>
      </c>
    </row>
    <row r="17" spans="1:33" ht="20.100000000000001" customHeight="1" x14ac:dyDescent="0.25">
      <c r="A17" s="300">
        <v>3</v>
      </c>
      <c r="B17" s="472" t="s">
        <v>565</v>
      </c>
      <c r="C17" s="348" t="s">
        <v>541</v>
      </c>
      <c r="D17" s="480">
        <f t="shared" ref="D17:R17" si="1">SUM(D15:D16)</f>
        <v>31.014945142064345</v>
      </c>
      <c r="E17" s="480">
        <f t="shared" si="1"/>
        <v>35.44565159093068</v>
      </c>
      <c r="F17" s="480">
        <f t="shared" si="1"/>
        <v>42.091711264230192</v>
      </c>
      <c r="G17" s="480">
        <f t="shared" si="1"/>
        <v>42.091711264230192</v>
      </c>
      <c r="H17" s="480">
        <f t="shared" si="1"/>
        <v>42.091711264230192</v>
      </c>
      <c r="I17" s="480">
        <f t="shared" si="1"/>
        <v>42.091711264230192</v>
      </c>
      <c r="J17" s="480">
        <f t="shared" si="1"/>
        <v>42.091711264230192</v>
      </c>
      <c r="K17" s="480">
        <f t="shared" si="1"/>
        <v>42.091711264230192</v>
      </c>
      <c r="L17" s="480">
        <f t="shared" si="1"/>
        <v>42.091711264230192</v>
      </c>
      <c r="M17" s="480">
        <f t="shared" si="1"/>
        <v>42.091711264230192</v>
      </c>
      <c r="N17" s="480">
        <f t="shared" si="1"/>
        <v>42.091711264230192</v>
      </c>
      <c r="O17" s="480">
        <f t="shared" si="1"/>
        <v>42.091711264230192</v>
      </c>
      <c r="P17" s="480">
        <f t="shared" si="1"/>
        <v>42.091711264230192</v>
      </c>
      <c r="Q17" s="480">
        <f t="shared" si="1"/>
        <v>42.091711264230192</v>
      </c>
      <c r="R17" s="480">
        <f t="shared" si="1"/>
        <v>42.091711264230192</v>
      </c>
      <c r="S17" s="481"/>
    </row>
    <row r="18" spans="1:33" ht="20.100000000000001" customHeight="1" x14ac:dyDescent="0.25">
      <c r="B18" s="306"/>
      <c r="D18" s="482"/>
      <c r="E18" s="482"/>
      <c r="F18" s="482"/>
      <c r="G18" s="482"/>
      <c r="H18" s="482"/>
      <c r="I18" s="482"/>
      <c r="J18" s="482"/>
      <c r="K18" s="482"/>
      <c r="L18" s="482"/>
      <c r="M18" s="482"/>
      <c r="N18" s="482"/>
      <c r="O18" s="482"/>
      <c r="P18" s="482"/>
      <c r="Q18" s="482"/>
      <c r="R18" s="482"/>
    </row>
    <row r="19" spans="1:33" s="470" customFormat="1" ht="20.100000000000001" customHeight="1" x14ac:dyDescent="0.25">
      <c r="A19" s="470" t="s">
        <v>402</v>
      </c>
      <c r="B19" s="390" t="s">
        <v>566</v>
      </c>
      <c r="C19" s="673">
        <f>(Capex!B5+Capex!B7+Capex!B6)*C3</f>
        <v>85.632750000000001</v>
      </c>
      <c r="D19" s="471"/>
      <c r="E19" s="471"/>
      <c r="F19" s="471"/>
      <c r="G19" s="471"/>
      <c r="H19" s="471"/>
      <c r="I19" s="471"/>
      <c r="J19" s="471"/>
      <c r="K19" s="471"/>
      <c r="L19" s="471"/>
      <c r="M19" s="471"/>
      <c r="N19" s="471"/>
      <c r="O19" s="471"/>
      <c r="P19" s="471"/>
      <c r="Q19" s="471"/>
      <c r="R19" s="471"/>
      <c r="S19" s="493"/>
      <c r="T19" s="489"/>
      <c r="U19" s="489"/>
      <c r="V19" s="489"/>
      <c r="W19" s="489"/>
      <c r="X19" s="489"/>
      <c r="Y19" s="489"/>
      <c r="Z19" s="489"/>
      <c r="AA19" s="489"/>
      <c r="AB19" s="489"/>
      <c r="AC19" s="489"/>
      <c r="AD19" s="489"/>
      <c r="AE19" s="489"/>
      <c r="AF19" s="489"/>
      <c r="AG19" s="494"/>
    </row>
    <row r="20" spans="1:33" ht="26.1" customHeight="1" x14ac:dyDescent="0.25">
      <c r="A20" s="313">
        <v>1</v>
      </c>
      <c r="B20" s="315" t="s">
        <v>564</v>
      </c>
      <c r="C20" s="354" t="s">
        <v>541</v>
      </c>
      <c r="D20" s="479"/>
      <c r="E20" s="479"/>
      <c r="F20" s="479"/>
      <c r="G20" s="479"/>
      <c r="H20" s="479"/>
      <c r="I20" s="479"/>
      <c r="J20" s="479"/>
      <c r="K20" s="479"/>
      <c r="L20" s="479"/>
      <c r="M20" s="479"/>
      <c r="N20" s="479"/>
      <c r="O20" s="479"/>
      <c r="P20" s="479"/>
      <c r="Q20" s="479"/>
      <c r="R20" s="479"/>
      <c r="S20" s="302"/>
    </row>
    <row r="21" spans="1:33" ht="26.1" customHeight="1" x14ac:dyDescent="0.25">
      <c r="A21" s="313">
        <v>2</v>
      </c>
      <c r="B21" s="483" t="s">
        <v>557</v>
      </c>
      <c r="C21" s="354" t="s">
        <v>541</v>
      </c>
      <c r="D21" s="479">
        <f t="shared" ref="D21:R21" si="2">IF((D10&lt;=5),$C$19/5,0)</f>
        <v>17.126550000000002</v>
      </c>
      <c r="E21" s="479">
        <f t="shared" si="2"/>
        <v>17.126550000000002</v>
      </c>
      <c r="F21" s="479">
        <f t="shared" si="2"/>
        <v>17.126550000000002</v>
      </c>
      <c r="G21" s="479">
        <f t="shared" si="2"/>
        <v>17.126550000000002</v>
      </c>
      <c r="H21" s="479">
        <f t="shared" si="2"/>
        <v>17.126550000000002</v>
      </c>
      <c r="I21" s="479">
        <f t="shared" si="2"/>
        <v>0</v>
      </c>
      <c r="J21" s="479">
        <f t="shared" si="2"/>
        <v>0</v>
      </c>
      <c r="K21" s="479">
        <f t="shared" si="2"/>
        <v>0</v>
      </c>
      <c r="L21" s="479">
        <f t="shared" si="2"/>
        <v>0</v>
      </c>
      <c r="M21" s="479">
        <f t="shared" si="2"/>
        <v>0</v>
      </c>
      <c r="N21" s="479">
        <f t="shared" si="2"/>
        <v>0</v>
      </c>
      <c r="O21" s="479">
        <f t="shared" si="2"/>
        <v>0</v>
      </c>
      <c r="P21" s="479">
        <f t="shared" si="2"/>
        <v>0</v>
      </c>
      <c r="Q21" s="479">
        <f t="shared" si="2"/>
        <v>0</v>
      </c>
      <c r="R21" s="479">
        <f t="shared" si="2"/>
        <v>0</v>
      </c>
      <c r="S21" s="302"/>
    </row>
    <row r="22" spans="1:33" ht="20.100000000000001" customHeight="1" x14ac:dyDescent="0.25">
      <c r="A22" s="313">
        <v>3</v>
      </c>
      <c r="B22" s="315" t="s">
        <v>568</v>
      </c>
      <c r="C22" s="354" t="s">
        <v>541</v>
      </c>
      <c r="D22" s="479">
        <f>D21+D12</f>
        <v>34.353221962500001</v>
      </c>
      <c r="E22" s="479">
        <f t="shared" ref="E22:R22" si="3">E21+E12</f>
        <v>36.8141751</v>
      </c>
      <c r="F22" s="479">
        <f t="shared" si="3"/>
        <v>40.505604806250005</v>
      </c>
      <c r="G22" s="479">
        <f t="shared" si="3"/>
        <v>40.505604806250005</v>
      </c>
      <c r="H22" s="479">
        <f t="shared" si="3"/>
        <v>40.505604806250005</v>
      </c>
      <c r="I22" s="479">
        <f t="shared" si="3"/>
        <v>23.37905480625</v>
      </c>
      <c r="J22" s="479">
        <f t="shared" si="3"/>
        <v>23.37905480625</v>
      </c>
      <c r="K22" s="479">
        <f t="shared" si="3"/>
        <v>23.37905480625</v>
      </c>
      <c r="L22" s="479">
        <f t="shared" si="3"/>
        <v>23.37905480625</v>
      </c>
      <c r="M22" s="479">
        <f t="shared" si="3"/>
        <v>23.37905480625</v>
      </c>
      <c r="N22" s="479">
        <f t="shared" si="3"/>
        <v>23.37905480625</v>
      </c>
      <c r="O22" s="479">
        <f t="shared" si="3"/>
        <v>23.37905480625</v>
      </c>
      <c r="P22" s="479">
        <f t="shared" si="3"/>
        <v>23.37905480625</v>
      </c>
      <c r="Q22" s="479">
        <f t="shared" si="3"/>
        <v>23.37905480625</v>
      </c>
      <c r="R22" s="479">
        <f t="shared" si="3"/>
        <v>23.37905480625</v>
      </c>
      <c r="S22" s="302"/>
    </row>
    <row r="23" spans="1:33" ht="20.100000000000001" customHeight="1" x14ac:dyDescent="0.25">
      <c r="A23" s="313">
        <v>4</v>
      </c>
      <c r="B23" s="315" t="s">
        <v>569</v>
      </c>
      <c r="C23" s="354" t="s">
        <v>541</v>
      </c>
      <c r="D23" s="479">
        <f t="shared" ref="D23:R23" si="4">D17</f>
        <v>31.014945142064345</v>
      </c>
      <c r="E23" s="479">
        <f t="shared" si="4"/>
        <v>35.44565159093068</v>
      </c>
      <c r="F23" s="479">
        <f t="shared" si="4"/>
        <v>42.091711264230192</v>
      </c>
      <c r="G23" s="479">
        <f t="shared" si="4"/>
        <v>42.091711264230192</v>
      </c>
      <c r="H23" s="479">
        <f t="shared" si="4"/>
        <v>42.091711264230192</v>
      </c>
      <c r="I23" s="479">
        <f t="shared" si="4"/>
        <v>42.091711264230192</v>
      </c>
      <c r="J23" s="479">
        <f t="shared" si="4"/>
        <v>42.091711264230192</v>
      </c>
      <c r="K23" s="479">
        <f t="shared" si="4"/>
        <v>42.091711264230192</v>
      </c>
      <c r="L23" s="479">
        <f t="shared" si="4"/>
        <v>42.091711264230192</v>
      </c>
      <c r="M23" s="479">
        <f t="shared" si="4"/>
        <v>42.091711264230192</v>
      </c>
      <c r="N23" s="479">
        <f t="shared" si="4"/>
        <v>42.091711264230192</v>
      </c>
      <c r="O23" s="479">
        <f t="shared" si="4"/>
        <v>42.091711264230192</v>
      </c>
      <c r="P23" s="479">
        <f t="shared" si="4"/>
        <v>42.091711264230192</v>
      </c>
      <c r="Q23" s="479">
        <f t="shared" si="4"/>
        <v>42.091711264230192</v>
      </c>
      <c r="R23" s="479">
        <f t="shared" si="4"/>
        <v>42.091711264230192</v>
      </c>
      <c r="S23" s="302"/>
    </row>
    <row r="24" spans="1:33" ht="20.100000000000001" customHeight="1" x14ac:dyDescent="0.25">
      <c r="A24" s="313">
        <v>5</v>
      </c>
      <c r="B24" s="314" t="s">
        <v>558</v>
      </c>
      <c r="C24" s="479">
        <v>0</v>
      </c>
      <c r="D24" s="479">
        <f t="shared" ref="D24:R24" si="5">IF((C24+D22-D23)&gt;=0,(C24+D22-D23),0)</f>
        <v>3.3382768204356559</v>
      </c>
      <c r="E24" s="479">
        <f t="shared" si="5"/>
        <v>4.7068003295049721</v>
      </c>
      <c r="F24" s="479">
        <f t="shared" si="5"/>
        <v>3.1206938715247858</v>
      </c>
      <c r="G24" s="479">
        <f t="shared" si="5"/>
        <v>1.5345874135445996</v>
      </c>
      <c r="H24" s="479">
        <f t="shared" si="5"/>
        <v>0</v>
      </c>
      <c r="I24" s="479">
        <f t="shared" si="5"/>
        <v>0</v>
      </c>
      <c r="J24" s="479">
        <f t="shared" si="5"/>
        <v>0</v>
      </c>
      <c r="K24" s="479">
        <f t="shared" si="5"/>
        <v>0</v>
      </c>
      <c r="L24" s="479">
        <f t="shared" si="5"/>
        <v>0</v>
      </c>
      <c r="M24" s="479">
        <f t="shared" si="5"/>
        <v>0</v>
      </c>
      <c r="N24" s="479">
        <f t="shared" si="5"/>
        <v>0</v>
      </c>
      <c r="O24" s="479">
        <f t="shared" si="5"/>
        <v>0</v>
      </c>
      <c r="P24" s="479">
        <f t="shared" si="5"/>
        <v>0</v>
      </c>
      <c r="Q24" s="479">
        <f t="shared" si="5"/>
        <v>0</v>
      </c>
      <c r="R24" s="479">
        <f t="shared" si="5"/>
        <v>0</v>
      </c>
    </row>
    <row r="25" spans="1:33" s="299" customFormat="1" ht="20.100000000000001" customHeight="1" x14ac:dyDescent="0.25">
      <c r="A25" s="316">
        <v>6</v>
      </c>
      <c r="B25" s="484" t="s">
        <v>567</v>
      </c>
      <c r="C25" s="348" t="s">
        <v>541</v>
      </c>
      <c r="D25" s="485">
        <f t="shared" ref="D25:R25" si="6">IF((D24&gt;0),0,(D23-D22))</f>
        <v>0</v>
      </c>
      <c r="E25" s="485">
        <f t="shared" si="6"/>
        <v>0</v>
      </c>
      <c r="F25" s="485">
        <f t="shared" si="6"/>
        <v>0</v>
      </c>
      <c r="G25" s="485">
        <f t="shared" si="6"/>
        <v>0</v>
      </c>
      <c r="H25" s="485">
        <f t="shared" si="6"/>
        <v>1.5861064579801862</v>
      </c>
      <c r="I25" s="485">
        <f t="shared" si="6"/>
        <v>18.712656457980192</v>
      </c>
      <c r="J25" s="485">
        <f t="shared" si="6"/>
        <v>18.712656457980192</v>
      </c>
      <c r="K25" s="485">
        <f t="shared" si="6"/>
        <v>18.712656457980192</v>
      </c>
      <c r="L25" s="485">
        <f t="shared" si="6"/>
        <v>18.712656457980192</v>
      </c>
      <c r="M25" s="485">
        <f t="shared" si="6"/>
        <v>18.712656457980192</v>
      </c>
      <c r="N25" s="485">
        <f t="shared" si="6"/>
        <v>18.712656457980192</v>
      </c>
      <c r="O25" s="485">
        <f t="shared" si="6"/>
        <v>18.712656457980192</v>
      </c>
      <c r="P25" s="485">
        <f t="shared" si="6"/>
        <v>18.712656457980192</v>
      </c>
      <c r="Q25" s="485">
        <f t="shared" si="6"/>
        <v>18.712656457980192</v>
      </c>
      <c r="R25" s="485">
        <f t="shared" si="6"/>
        <v>18.712656457980192</v>
      </c>
      <c r="T25" s="495"/>
      <c r="U25" s="495"/>
      <c r="V25" s="495"/>
      <c r="W25" s="495"/>
      <c r="X25" s="495"/>
      <c r="Y25" s="495"/>
      <c r="Z25" s="495"/>
      <c r="AA25" s="495"/>
      <c r="AB25" s="495"/>
      <c r="AC25" s="495"/>
      <c r="AD25" s="495"/>
      <c r="AE25" s="495"/>
      <c r="AF25" s="495"/>
    </row>
    <row r="26" spans="1:33" ht="15" customHeight="1" x14ac:dyDescent="0.25">
      <c r="H26" s="307"/>
    </row>
    <row r="28" spans="1:33" x14ac:dyDescent="0.25">
      <c r="H28" s="307"/>
    </row>
    <row r="29" spans="1:33" x14ac:dyDescent="0.25">
      <c r="H29" s="307"/>
    </row>
    <row r="31" spans="1:33" x14ac:dyDescent="0.25">
      <c r="H31" s="307"/>
    </row>
    <row r="32" spans="1:33" ht="15" customHeight="1" x14ac:dyDescent="0.25">
      <c r="H32" s="307"/>
    </row>
  </sheetData>
  <mergeCells count="1">
    <mergeCell ref="B9:R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topLeftCell="A7" workbookViewId="0">
      <selection activeCell="D19" sqref="D19"/>
    </sheetView>
  </sheetViews>
  <sheetFormatPr defaultColWidth="9.140625" defaultRowHeight="12.75" x14ac:dyDescent="0.25"/>
  <cols>
    <col min="1" max="1" width="9.140625" style="302"/>
    <col min="2" max="2" width="43.85546875" style="303" customWidth="1"/>
    <col min="3" max="3" width="10.85546875" style="302" customWidth="1"/>
    <col min="4" max="18" width="12.7109375" style="303" customWidth="1"/>
    <col min="19" max="16384" width="9.140625" style="303"/>
  </cols>
  <sheetData>
    <row r="1" spans="1:48" x14ac:dyDescent="0.25">
      <c r="D1" s="304"/>
      <c r="E1" s="304"/>
      <c r="F1" s="304"/>
      <c r="G1" s="304"/>
      <c r="H1" s="305"/>
      <c r="I1" s="304"/>
      <c r="J1" s="304"/>
      <c r="K1" s="304"/>
      <c r="L1" s="304"/>
      <c r="M1" s="304"/>
      <c r="N1" s="304"/>
      <c r="O1" s="304"/>
    </row>
    <row r="2" spans="1:48" ht="14.45" customHeight="1" x14ac:dyDescent="0.25">
      <c r="A2" s="705" t="s">
        <v>495</v>
      </c>
      <c r="B2" s="705"/>
      <c r="C2" s="705"/>
      <c r="D2" s="705"/>
      <c r="E2" s="705"/>
      <c r="F2" s="705"/>
      <c r="G2" s="705"/>
      <c r="H2" s="705"/>
      <c r="I2" s="705"/>
      <c r="J2" s="705"/>
      <c r="K2" s="705"/>
      <c r="L2" s="705"/>
      <c r="M2" s="705"/>
      <c r="N2" s="705"/>
      <c r="O2" s="705"/>
      <c r="P2" s="705"/>
      <c r="Q2" s="705"/>
      <c r="R2" s="705"/>
    </row>
    <row r="3" spans="1:48" x14ac:dyDescent="0.25">
      <c r="C3" s="299" t="s">
        <v>552</v>
      </c>
      <c r="D3" s="306"/>
      <c r="H3" s="307"/>
      <c r="N3" s="304"/>
      <c r="O3" s="304"/>
    </row>
    <row r="4" spans="1:48" s="301" customFormat="1" x14ac:dyDescent="0.25">
      <c r="A4" s="300" t="s">
        <v>402</v>
      </c>
      <c r="B4" s="301" t="s">
        <v>333</v>
      </c>
      <c r="C4" s="300" t="s">
        <v>441</v>
      </c>
      <c r="D4" s="316">
        <v>1</v>
      </c>
      <c r="E4" s="300">
        <v>2</v>
      </c>
      <c r="F4" s="300">
        <v>3</v>
      </c>
      <c r="G4" s="300">
        <v>4</v>
      </c>
      <c r="H4" s="300">
        <v>5</v>
      </c>
      <c r="I4" s="300">
        <v>6</v>
      </c>
      <c r="J4" s="300">
        <v>7</v>
      </c>
      <c r="K4" s="300">
        <v>8</v>
      </c>
      <c r="L4" s="300">
        <v>9</v>
      </c>
      <c r="M4" s="300">
        <v>10</v>
      </c>
      <c r="N4" s="300">
        <v>11</v>
      </c>
      <c r="O4" s="300">
        <v>12</v>
      </c>
      <c r="P4" s="300">
        <v>13</v>
      </c>
      <c r="Q4" s="300">
        <v>14</v>
      </c>
      <c r="R4" s="300">
        <v>15</v>
      </c>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row>
    <row r="5" spans="1:48" s="310" customFormat="1" x14ac:dyDescent="0.25">
      <c r="A5" s="300">
        <v>1</v>
      </c>
      <c r="B5" s="308" t="s">
        <v>481</v>
      </c>
      <c r="C5" s="300" t="s">
        <v>14</v>
      </c>
      <c r="D5" s="309">
        <v>330</v>
      </c>
      <c r="E5" s="309">
        <v>330</v>
      </c>
      <c r="F5" s="309">
        <v>330</v>
      </c>
      <c r="G5" s="309">
        <v>330</v>
      </c>
      <c r="H5" s="309">
        <v>330</v>
      </c>
      <c r="I5" s="309">
        <v>330</v>
      </c>
      <c r="J5" s="309">
        <v>330</v>
      </c>
      <c r="K5" s="309">
        <v>330</v>
      </c>
      <c r="L5" s="309">
        <v>330</v>
      </c>
      <c r="M5" s="309">
        <v>330</v>
      </c>
      <c r="N5" s="309">
        <v>330</v>
      </c>
      <c r="O5" s="309">
        <v>330</v>
      </c>
      <c r="P5" s="309">
        <v>330</v>
      </c>
      <c r="Q5" s="309">
        <v>330</v>
      </c>
      <c r="R5" s="309">
        <v>330</v>
      </c>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row>
    <row r="6" spans="1:48" s="311" customFormat="1" x14ac:dyDescent="0.25">
      <c r="B6" s="302"/>
      <c r="C6" s="302"/>
      <c r="D6" s="312"/>
      <c r="E6" s="312"/>
      <c r="F6" s="312"/>
      <c r="G6" s="312"/>
      <c r="H6" s="312"/>
      <c r="I6" s="312"/>
      <c r="J6" s="312"/>
      <c r="K6" s="312"/>
      <c r="L6" s="312"/>
      <c r="M6" s="312"/>
      <c r="N6" s="312"/>
      <c r="O6" s="312"/>
      <c r="P6" s="312"/>
      <c r="Q6" s="312"/>
      <c r="R6" s="312"/>
    </row>
    <row r="7" spans="1:48" x14ac:dyDescent="0.25">
      <c r="A7" s="300"/>
      <c r="B7" s="472" t="s">
        <v>482</v>
      </c>
      <c r="C7" s="300" t="s">
        <v>14</v>
      </c>
      <c r="D7" s="473"/>
      <c r="E7" s="473"/>
      <c r="F7" s="473"/>
      <c r="G7" s="473"/>
      <c r="H7" s="474"/>
      <c r="I7" s="473"/>
      <c r="J7" s="473"/>
      <c r="K7" s="473"/>
      <c r="L7" s="473"/>
      <c r="M7" s="473"/>
      <c r="N7" s="473"/>
      <c r="O7" s="473"/>
      <c r="P7" s="301"/>
      <c r="Q7" s="301"/>
      <c r="R7" s="301"/>
    </row>
    <row r="8" spans="1:48" x14ac:dyDescent="0.25">
      <c r="A8" s="300">
        <v>1</v>
      </c>
      <c r="B8" s="301" t="s">
        <v>487</v>
      </c>
      <c r="C8" s="300">
        <v>15</v>
      </c>
      <c r="D8" s="321">
        <f>'Cashflow '!F12*$C$8/D5</f>
        <v>28.195404674603953</v>
      </c>
      <c r="E8" s="321">
        <f>'Cashflow '!G12*$C$8/E5</f>
        <v>32.223319628118794</v>
      </c>
      <c r="F8" s="321">
        <f>'Cashflow '!H12*$C$8/F5</f>
        <v>38.265192058391079</v>
      </c>
      <c r="G8" s="321">
        <f>'Cashflow '!I12*$C$8/G5</f>
        <v>38.265192058391079</v>
      </c>
      <c r="H8" s="321">
        <f>'Cashflow '!J12*$C$8/H5</f>
        <v>38.193096310301065</v>
      </c>
      <c r="I8" s="321">
        <f>'Cashflow '!K12*$C$8/I5</f>
        <v>37.414616764846521</v>
      </c>
      <c r="J8" s="321">
        <f>'Cashflow '!L12*$C$8/J5</f>
        <v>37.414616764846521</v>
      </c>
      <c r="K8" s="321">
        <f>'Cashflow '!M12*$C$8/K5</f>
        <v>37.414616764846521</v>
      </c>
      <c r="L8" s="321">
        <f>'Cashflow '!N12*$C$8/L5</f>
        <v>37.414616764846521</v>
      </c>
      <c r="M8" s="321">
        <f>'Cashflow '!O12*$C$8/M5</f>
        <v>37.414616764846521</v>
      </c>
      <c r="N8" s="321">
        <f>'Cashflow '!P12*$C$8/N5</f>
        <v>37.414616764846521</v>
      </c>
      <c r="O8" s="321">
        <f>'Cashflow '!Q12*$C$8/O5</f>
        <v>37.414616764846521</v>
      </c>
      <c r="P8" s="321">
        <f>'Cashflow '!R12*$C$8/P5</f>
        <v>37.414616764846521</v>
      </c>
      <c r="Q8" s="321">
        <f>'Cashflow '!S12*$C$8/Q5</f>
        <v>38.265192058391079</v>
      </c>
      <c r="R8" s="321">
        <f>'Cashflow '!T12*$C$8/R5</f>
        <v>38.265192058391079</v>
      </c>
    </row>
    <row r="9" spans="1:48" x14ac:dyDescent="0.25">
      <c r="A9" s="300">
        <v>2</v>
      </c>
      <c r="B9" s="301" t="s">
        <v>488</v>
      </c>
      <c r="C9" s="300">
        <v>15</v>
      </c>
      <c r="D9" s="321">
        <f>'Cashflow '!F14*$C$9/D5</f>
        <v>0.29658649278576732</v>
      </c>
      <c r="E9" s="321">
        <f>'Cashflow '!G14*$C$9/E5</f>
        <v>0.33895599175516355</v>
      </c>
      <c r="F9" s="321">
        <f>'Cashflow '!H14*$C$9/F5</f>
        <v>0.40251024020925674</v>
      </c>
      <c r="G9" s="321">
        <f>'Cashflow '!I14*$C$9/G5</f>
        <v>0.40251024020925674</v>
      </c>
      <c r="H9" s="321">
        <f>'Cashflow '!J14*$C$9/H5</f>
        <v>0.40251024020925674</v>
      </c>
      <c r="I9" s="321">
        <f>'Cashflow '!K14*$C$9/I5</f>
        <v>0.40251024020925674</v>
      </c>
      <c r="J9" s="321">
        <f>'Cashflow '!L14*$C$9/J5</f>
        <v>0.40251024020925674</v>
      </c>
      <c r="K9" s="321">
        <f>'Cashflow '!M14*$C$9/K5</f>
        <v>0.40251024020925674</v>
      </c>
      <c r="L9" s="321">
        <f>'Cashflow '!N14*$C$9/L5</f>
        <v>0.40251024020925674</v>
      </c>
      <c r="M9" s="321">
        <f>'Cashflow '!O14*$C$9/M5</f>
        <v>0.40251024020925674</v>
      </c>
      <c r="N9" s="321">
        <f>'Cashflow '!P14*$C$9/N5</f>
        <v>0.40251024020925674</v>
      </c>
      <c r="O9" s="321">
        <f>'Cashflow '!Q14*$C$9/O5</f>
        <v>0.40251024020925674</v>
      </c>
      <c r="P9" s="321">
        <f>'Cashflow '!R14*$C$9/P5</f>
        <v>0.40251024020925674</v>
      </c>
      <c r="Q9" s="321">
        <f>'Cashflow '!S14*$C$9/Q5</f>
        <v>0.40251024020925674</v>
      </c>
      <c r="R9" s="321">
        <f>'Cashflow '!T14*$C$9/R5</f>
        <v>0.40251024020925674</v>
      </c>
    </row>
    <row r="10" spans="1:48" x14ac:dyDescent="0.25">
      <c r="A10" s="300">
        <v>3</v>
      </c>
      <c r="B10" s="301" t="s">
        <v>489</v>
      </c>
      <c r="C10" s="300">
        <v>3</v>
      </c>
      <c r="D10" s="321">
        <f>(Opex!D7+Opex!D24)*$C$10/D5</f>
        <v>1.6513450465909087</v>
      </c>
      <c r="E10" s="321">
        <f>(Opex!E7+Opex!E24)*$C$10/E5</f>
        <v>1.887251481818182</v>
      </c>
      <c r="F10" s="321">
        <f>(Opex!F7+Opex!F24)*$C$10/F5</f>
        <v>2.2411111346590911</v>
      </c>
      <c r="G10" s="321">
        <f>(Opex!G7+Opex!G24)*$C$10/G5</f>
        <v>2.2411111346590911</v>
      </c>
      <c r="H10" s="321">
        <f>(Opex!H7+Opex!H24)*$C$10/H5</f>
        <v>2.2411111346590911</v>
      </c>
      <c r="I10" s="321">
        <f>(Opex!I7+Opex!I24)*$C$10/I5</f>
        <v>2.2411111346590911</v>
      </c>
      <c r="J10" s="321">
        <f>(Opex!J7+Opex!J24)*$C$10/J5</f>
        <v>2.2411111346590911</v>
      </c>
      <c r="K10" s="321">
        <f>(Opex!K7+Opex!K24)*$C$10/K5</f>
        <v>2.2411111346590911</v>
      </c>
      <c r="L10" s="321">
        <f>(Opex!L7+Opex!L24)*$C$10/L5</f>
        <v>2.2411111346590911</v>
      </c>
      <c r="M10" s="321">
        <f>(Opex!M7+Opex!M24)*$C$10/M5</f>
        <v>2.2411111346590911</v>
      </c>
      <c r="N10" s="321">
        <f>(Opex!N7+Opex!N24)*$C$10/N5</f>
        <v>2.2411111346590911</v>
      </c>
      <c r="O10" s="321">
        <f>(Opex!O7+Opex!O24)*$C$10/O5</f>
        <v>2.2411111346590911</v>
      </c>
      <c r="P10" s="321">
        <f>(Opex!P7+Opex!P24)*$C$10/P5</f>
        <v>2.2411111346590911</v>
      </c>
      <c r="Q10" s="321">
        <f>(Opex!Q7+Opex!Q24)*$C$10/Q5</f>
        <v>2.2411111346590911</v>
      </c>
      <c r="R10" s="321">
        <f>(Opex!R7+Opex!R24)*$C$10/R5</f>
        <v>2.2411111346590911</v>
      </c>
    </row>
    <row r="11" spans="1:48" x14ac:dyDescent="0.25">
      <c r="A11" s="300">
        <v>4</v>
      </c>
      <c r="B11" s="301" t="s">
        <v>496</v>
      </c>
      <c r="C11" s="300">
        <f>[5]Main!D104</f>
        <v>30</v>
      </c>
      <c r="D11" s="473">
        <f>+Opex!D11*$C$11/D5</f>
        <v>1.6133342498011365</v>
      </c>
      <c r="E11" s="473">
        <f>+Opex!E11*$C$11/E5</f>
        <v>1.6324592498011363</v>
      </c>
      <c r="F11" s="473">
        <f>+Opex!F11*$C$11/F5</f>
        <v>1.6611467498011365</v>
      </c>
      <c r="G11" s="473">
        <f>+Opex!G11*$C$11/G5</f>
        <v>1.6611467498011365</v>
      </c>
      <c r="H11" s="473">
        <f>+Opex!H11*$C$11/H5</f>
        <v>1.6611467498011365</v>
      </c>
      <c r="I11" s="473">
        <f>+Opex!I11*$C$11/I5</f>
        <v>1.6611467498011365</v>
      </c>
      <c r="J11" s="473">
        <f>+Opex!J11*$C$11/J5</f>
        <v>1.6611467498011365</v>
      </c>
      <c r="K11" s="473">
        <f>+Opex!K11*$C$11/K5</f>
        <v>1.6611467498011365</v>
      </c>
      <c r="L11" s="473">
        <f>+Opex!L11*$C$11/L5</f>
        <v>1.6611467498011365</v>
      </c>
      <c r="M11" s="473">
        <f>+Opex!M11*$C$11/M5</f>
        <v>1.6611467498011365</v>
      </c>
      <c r="N11" s="473">
        <f>+Opex!N11*$C$11/N5</f>
        <v>1.6611467498011365</v>
      </c>
      <c r="O11" s="473">
        <f>+Opex!O11*$C$11/O5</f>
        <v>1.6611467498011365</v>
      </c>
      <c r="P11" s="473">
        <f>+Opex!P11*$C$11/P5</f>
        <v>1.6611467498011365</v>
      </c>
      <c r="Q11" s="473">
        <f>+Opex!Q11*$C$11/Q5</f>
        <v>1.6611467498011365</v>
      </c>
      <c r="R11" s="473">
        <f>+Opex!R11*$C$11/R5</f>
        <v>1.6611467498011365</v>
      </c>
    </row>
    <row r="12" spans="1:48" x14ac:dyDescent="0.25">
      <c r="A12" s="300">
        <v>5</v>
      </c>
      <c r="B12" s="301" t="s">
        <v>490</v>
      </c>
      <c r="C12" s="300">
        <f>[5]Main!D105</f>
        <v>7</v>
      </c>
      <c r="D12" s="321">
        <f>-D10*$C$12/$C$10</f>
        <v>-3.853138442045454</v>
      </c>
      <c r="E12" s="321">
        <f t="shared" ref="E12:R12" si="0">-E10*$C$12/$C$10</f>
        <v>-4.4035867909090909</v>
      </c>
      <c r="F12" s="321">
        <f t="shared" si="0"/>
        <v>-5.2292593142045458</v>
      </c>
      <c r="G12" s="321">
        <f t="shared" si="0"/>
        <v>-5.2292593142045458</v>
      </c>
      <c r="H12" s="321">
        <f t="shared" si="0"/>
        <v>-5.2292593142045458</v>
      </c>
      <c r="I12" s="321">
        <f t="shared" si="0"/>
        <v>-5.2292593142045458</v>
      </c>
      <c r="J12" s="321">
        <f t="shared" si="0"/>
        <v>-5.2292593142045458</v>
      </c>
      <c r="K12" s="321">
        <f t="shared" si="0"/>
        <v>-5.2292593142045458</v>
      </c>
      <c r="L12" s="321">
        <f t="shared" si="0"/>
        <v>-5.2292593142045458</v>
      </c>
      <c r="M12" s="321">
        <f t="shared" si="0"/>
        <v>-5.2292593142045458</v>
      </c>
      <c r="N12" s="321">
        <f t="shared" si="0"/>
        <v>-5.2292593142045458</v>
      </c>
      <c r="O12" s="321">
        <f t="shared" si="0"/>
        <v>-5.2292593142045458</v>
      </c>
      <c r="P12" s="321">
        <f t="shared" si="0"/>
        <v>-5.2292593142045458</v>
      </c>
      <c r="Q12" s="321">
        <f t="shared" si="0"/>
        <v>-5.2292593142045458</v>
      </c>
      <c r="R12" s="321">
        <f t="shared" si="0"/>
        <v>-5.2292593142045458</v>
      </c>
    </row>
    <row r="13" spans="1:48" ht="20.100000000000001" customHeight="1" x14ac:dyDescent="0.25">
      <c r="A13" s="316">
        <v>6</v>
      </c>
      <c r="B13" s="472" t="s">
        <v>483</v>
      </c>
      <c r="C13" s="316" t="s">
        <v>541</v>
      </c>
      <c r="D13" s="475">
        <f t="shared" ref="D13:R13" si="1">SUM(D8:D12)</f>
        <v>27.903532021736311</v>
      </c>
      <c r="E13" s="475">
        <f t="shared" si="1"/>
        <v>31.678399560584186</v>
      </c>
      <c r="F13" s="475">
        <f t="shared" si="1"/>
        <v>37.340700868856018</v>
      </c>
      <c r="G13" s="475">
        <f t="shared" si="1"/>
        <v>37.340700868856018</v>
      </c>
      <c r="H13" s="475">
        <f t="shared" si="1"/>
        <v>37.268605120766004</v>
      </c>
      <c r="I13" s="475">
        <f t="shared" si="1"/>
        <v>36.49012557531146</v>
      </c>
      <c r="J13" s="475">
        <f t="shared" si="1"/>
        <v>36.49012557531146</v>
      </c>
      <c r="K13" s="475">
        <f t="shared" si="1"/>
        <v>36.49012557531146</v>
      </c>
      <c r="L13" s="475">
        <f t="shared" si="1"/>
        <v>36.49012557531146</v>
      </c>
      <c r="M13" s="475">
        <f t="shared" si="1"/>
        <v>36.49012557531146</v>
      </c>
      <c r="N13" s="475">
        <f t="shared" si="1"/>
        <v>36.49012557531146</v>
      </c>
      <c r="O13" s="475">
        <f t="shared" si="1"/>
        <v>36.49012557531146</v>
      </c>
      <c r="P13" s="475">
        <f t="shared" si="1"/>
        <v>36.49012557531146</v>
      </c>
      <c r="Q13" s="475">
        <f t="shared" si="1"/>
        <v>37.340700868856018</v>
      </c>
      <c r="R13" s="475">
        <f t="shared" si="1"/>
        <v>37.340700868856018</v>
      </c>
    </row>
    <row r="14" spans="1:48" ht="20.100000000000001" customHeight="1" x14ac:dyDescent="0.25"/>
    <row r="15" spans="1:48" ht="20.100000000000001" customHeight="1" x14ac:dyDescent="0.25">
      <c r="A15" s="300"/>
      <c r="B15" s="472" t="s">
        <v>484</v>
      </c>
      <c r="C15" s="601">
        <v>0.25</v>
      </c>
      <c r="D15" s="301"/>
      <c r="E15" s="301"/>
      <c r="F15" s="301"/>
      <c r="G15" s="301"/>
      <c r="H15" s="301"/>
      <c r="I15" s="301"/>
      <c r="J15" s="301"/>
      <c r="K15" s="301"/>
      <c r="L15" s="301"/>
      <c r="M15" s="301"/>
      <c r="N15" s="301"/>
      <c r="O15" s="301"/>
      <c r="P15" s="301"/>
      <c r="Q15" s="301"/>
      <c r="R15" s="301"/>
    </row>
    <row r="16" spans="1:48" ht="20.100000000000001" customHeight="1" x14ac:dyDescent="0.25">
      <c r="A16" s="300">
        <v>1</v>
      </c>
      <c r="B16" s="472" t="s">
        <v>497</v>
      </c>
      <c r="C16" s="316" t="s">
        <v>541</v>
      </c>
      <c r="D16" s="475">
        <f>D13*$C$15</f>
        <v>6.9758830054340777</v>
      </c>
      <c r="E16" s="475">
        <f t="shared" ref="E16:R16" si="2">E13*$C$15</f>
        <v>7.9195998901460465</v>
      </c>
      <c r="F16" s="475">
        <f t="shared" si="2"/>
        <v>9.3351752172140046</v>
      </c>
      <c r="G16" s="475">
        <f t="shared" si="2"/>
        <v>9.3351752172140046</v>
      </c>
      <c r="H16" s="475">
        <f t="shared" si="2"/>
        <v>9.3171512801915011</v>
      </c>
      <c r="I16" s="475">
        <f t="shared" si="2"/>
        <v>9.1225313938278649</v>
      </c>
      <c r="J16" s="475">
        <f t="shared" si="2"/>
        <v>9.1225313938278649</v>
      </c>
      <c r="K16" s="475">
        <f t="shared" si="2"/>
        <v>9.1225313938278649</v>
      </c>
      <c r="L16" s="475">
        <f t="shared" si="2"/>
        <v>9.1225313938278649</v>
      </c>
      <c r="M16" s="475">
        <f t="shared" si="2"/>
        <v>9.1225313938278649</v>
      </c>
      <c r="N16" s="475">
        <f t="shared" si="2"/>
        <v>9.1225313938278649</v>
      </c>
      <c r="O16" s="475">
        <f t="shared" si="2"/>
        <v>9.1225313938278649</v>
      </c>
      <c r="P16" s="475">
        <f t="shared" si="2"/>
        <v>9.1225313938278649</v>
      </c>
      <c r="Q16" s="475">
        <f t="shared" si="2"/>
        <v>9.3351752172140046</v>
      </c>
      <c r="R16" s="475">
        <f t="shared" si="2"/>
        <v>9.3351752172140046</v>
      </c>
    </row>
    <row r="17" spans="1:18" ht="20.100000000000001" customHeight="1" x14ac:dyDescent="0.25">
      <c r="A17" s="300">
        <v>2</v>
      </c>
      <c r="B17" s="301" t="s">
        <v>594</v>
      </c>
      <c r="C17" s="300" t="s">
        <v>541</v>
      </c>
      <c r="D17" s="321">
        <f>D16</f>
        <v>6.9758830054340777</v>
      </c>
      <c r="E17" s="321">
        <f t="shared" ref="E17:R17" si="3">E16-D16</f>
        <v>0.9437168847119688</v>
      </c>
      <c r="F17" s="321">
        <f t="shared" si="3"/>
        <v>1.4155753270679581</v>
      </c>
      <c r="G17" s="321">
        <f t="shared" si="3"/>
        <v>0</v>
      </c>
      <c r="H17" s="321">
        <f t="shared" si="3"/>
        <v>-1.8023937022503489E-2</v>
      </c>
      <c r="I17" s="321">
        <f t="shared" si="3"/>
        <v>-0.19461988636363614</v>
      </c>
      <c r="J17" s="321">
        <f t="shared" si="3"/>
        <v>0</v>
      </c>
      <c r="K17" s="321">
        <f t="shared" si="3"/>
        <v>0</v>
      </c>
      <c r="L17" s="321">
        <f t="shared" si="3"/>
        <v>0</v>
      </c>
      <c r="M17" s="321">
        <f t="shared" si="3"/>
        <v>0</v>
      </c>
      <c r="N17" s="321">
        <f t="shared" si="3"/>
        <v>0</v>
      </c>
      <c r="O17" s="321">
        <f t="shared" si="3"/>
        <v>0</v>
      </c>
      <c r="P17" s="321">
        <f t="shared" si="3"/>
        <v>0</v>
      </c>
      <c r="Q17" s="321">
        <f t="shared" si="3"/>
        <v>0.21264382338613963</v>
      </c>
      <c r="R17" s="321">
        <f t="shared" si="3"/>
        <v>0</v>
      </c>
    </row>
    <row r="18" spans="1:18" ht="20.100000000000001" customHeight="1" x14ac:dyDescent="0.25">
      <c r="A18" s="300">
        <v>3</v>
      </c>
      <c r="B18" s="308" t="s">
        <v>485</v>
      </c>
      <c r="C18" s="300" t="s">
        <v>541</v>
      </c>
      <c r="D18" s="321">
        <f>+D13*(1-$C$15)</f>
        <v>20.927649016302233</v>
      </c>
      <c r="E18" s="321">
        <f t="shared" ref="E18:R18" si="4">+E13*(1-$C$15)</f>
        <v>23.75879967043814</v>
      </c>
      <c r="F18" s="321">
        <f t="shared" si="4"/>
        <v>28.005525651642014</v>
      </c>
      <c r="G18" s="321">
        <f t="shared" si="4"/>
        <v>28.005525651642014</v>
      </c>
      <c r="H18" s="321">
        <f t="shared" si="4"/>
        <v>27.951453840574501</v>
      </c>
      <c r="I18" s="321">
        <f t="shared" si="4"/>
        <v>27.367594181483597</v>
      </c>
      <c r="J18" s="321">
        <f t="shared" si="4"/>
        <v>27.367594181483597</v>
      </c>
      <c r="K18" s="321">
        <f t="shared" si="4"/>
        <v>27.367594181483597</v>
      </c>
      <c r="L18" s="321">
        <f t="shared" si="4"/>
        <v>27.367594181483597</v>
      </c>
      <c r="M18" s="321">
        <f t="shared" si="4"/>
        <v>27.367594181483597</v>
      </c>
      <c r="N18" s="321">
        <f t="shared" si="4"/>
        <v>27.367594181483597</v>
      </c>
      <c r="O18" s="321">
        <f t="shared" si="4"/>
        <v>27.367594181483597</v>
      </c>
      <c r="P18" s="321">
        <f t="shared" si="4"/>
        <v>27.367594181483597</v>
      </c>
      <c r="Q18" s="321">
        <f t="shared" si="4"/>
        <v>28.005525651642014</v>
      </c>
      <c r="R18" s="321">
        <f t="shared" si="4"/>
        <v>28.005525651642014</v>
      </c>
    </row>
    <row r="19" spans="1:18" ht="20.100000000000001" customHeight="1" x14ac:dyDescent="0.25">
      <c r="A19" s="300">
        <v>4</v>
      </c>
      <c r="B19" s="308" t="s">
        <v>553</v>
      </c>
      <c r="C19" s="300" t="s">
        <v>541</v>
      </c>
      <c r="D19" s="321">
        <f>D18*Norms!$B$53</f>
        <v>1.6742119213041786</v>
      </c>
      <c r="E19" s="321">
        <f>E18*Norms!$B$53</f>
        <v>1.9007039736350513</v>
      </c>
      <c r="F19" s="321">
        <f>F18*Norms!$B$53</f>
        <v>2.2404420521313613</v>
      </c>
      <c r="G19" s="321">
        <f>G18*Norms!$B$53</f>
        <v>2.2404420521313613</v>
      </c>
      <c r="H19" s="321">
        <f>H18*Norms!$B$53</f>
        <v>2.2361163072459602</v>
      </c>
      <c r="I19" s="321">
        <f>I18*Norms!$B$53</f>
        <v>2.1894075345186876</v>
      </c>
      <c r="J19" s="321">
        <f>J18*Norms!$B$53</f>
        <v>2.1894075345186876</v>
      </c>
      <c r="K19" s="321">
        <f>K18*Norms!$B$53</f>
        <v>2.1894075345186876</v>
      </c>
      <c r="L19" s="321">
        <f>L18*Norms!$B$53</f>
        <v>2.1894075345186876</v>
      </c>
      <c r="M19" s="321">
        <f>M18*Norms!$B$53</f>
        <v>2.1894075345186876</v>
      </c>
      <c r="N19" s="321">
        <f>N18*Norms!$B$53</f>
        <v>2.1894075345186876</v>
      </c>
      <c r="O19" s="321">
        <f>O18*Norms!$B$53</f>
        <v>2.1894075345186876</v>
      </c>
      <c r="P19" s="321">
        <f>P18*Norms!$B$53</f>
        <v>2.1894075345186876</v>
      </c>
      <c r="Q19" s="321">
        <f>Q18*Norms!$B$53</f>
        <v>2.2404420521313613</v>
      </c>
      <c r="R19" s="321">
        <f>R18*Norms!$B$53</f>
        <v>2.2404420521313613</v>
      </c>
    </row>
    <row r="20" spans="1:18" ht="20.100000000000001" customHeight="1" x14ac:dyDescent="0.25">
      <c r="A20" s="300">
        <v>5</v>
      </c>
      <c r="B20" s="301" t="s">
        <v>486</v>
      </c>
      <c r="C20" s="300" t="s">
        <v>541</v>
      </c>
      <c r="D20" s="321">
        <f>D18</f>
        <v>20.927649016302233</v>
      </c>
      <c r="E20" s="321">
        <f>E18-D18</f>
        <v>2.8311506541359073</v>
      </c>
      <c r="F20" s="321">
        <f>F18-E18</f>
        <v>4.2467259812038733</v>
      </c>
      <c r="G20" s="321">
        <f t="shared" ref="G20:R20" si="5">G18-F18</f>
        <v>0</v>
      </c>
      <c r="H20" s="321">
        <f t="shared" si="5"/>
        <v>-5.4071811067512243E-2</v>
      </c>
      <c r="I20" s="321">
        <f t="shared" si="5"/>
        <v>-0.58385965909090487</v>
      </c>
      <c r="J20" s="321">
        <f t="shared" si="5"/>
        <v>0</v>
      </c>
      <c r="K20" s="321">
        <f t="shared" si="5"/>
        <v>0</v>
      </c>
      <c r="L20" s="321">
        <f t="shared" si="5"/>
        <v>0</v>
      </c>
      <c r="M20" s="321">
        <f t="shared" si="5"/>
        <v>0</v>
      </c>
      <c r="N20" s="321">
        <f t="shared" si="5"/>
        <v>0</v>
      </c>
      <c r="O20" s="321">
        <f t="shared" si="5"/>
        <v>0</v>
      </c>
      <c r="P20" s="321">
        <f t="shared" si="5"/>
        <v>0</v>
      </c>
      <c r="Q20" s="321">
        <f t="shared" si="5"/>
        <v>0.63793147015841711</v>
      </c>
      <c r="R20" s="321">
        <f t="shared" si="5"/>
        <v>0</v>
      </c>
    </row>
    <row r="23" spans="1:18" ht="15" customHeight="1" x14ac:dyDescent="0.25">
      <c r="D23" s="304"/>
      <c r="E23" s="304"/>
      <c r="F23" s="304"/>
      <c r="G23" s="304"/>
      <c r="H23" s="305"/>
      <c r="I23" s="304"/>
      <c r="J23" s="304"/>
      <c r="K23" s="304"/>
      <c r="L23" s="304"/>
      <c r="M23" s="304"/>
      <c r="N23" s="304"/>
      <c r="O23" s="304"/>
    </row>
    <row r="24" spans="1:18" ht="15" customHeight="1" x14ac:dyDescent="0.25">
      <c r="D24" s="304"/>
      <c r="E24" s="304"/>
      <c r="F24" s="304"/>
      <c r="G24" s="304"/>
      <c r="H24" s="305"/>
      <c r="I24" s="304"/>
      <c r="J24" s="304"/>
      <c r="K24" s="304"/>
      <c r="L24" s="304"/>
      <c r="M24" s="304"/>
      <c r="N24" s="304"/>
      <c r="O24" s="304"/>
      <c r="P24" s="304"/>
      <c r="Q24" s="304"/>
      <c r="R24" s="304"/>
    </row>
  </sheetData>
  <mergeCells count="1">
    <mergeCell ref="A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B89" sqref="B89"/>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7"/>
    <col min="24" max="16384" width="9.140625" style="185"/>
  </cols>
  <sheetData>
    <row r="1" spans="1:41" x14ac:dyDescent="0.2">
      <c r="A1" s="693" t="s">
        <v>197</v>
      </c>
      <c r="B1" s="693"/>
      <c r="C1" s="693"/>
      <c r="D1" s="693"/>
      <c r="E1" s="693"/>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14" t="s">
        <v>134</v>
      </c>
      <c r="B3" s="718">
        <v>82500</v>
      </c>
      <c r="C3" s="152" t="s">
        <v>136</v>
      </c>
      <c r="D3" s="152">
        <f>Norms!$D$3*100000</f>
        <v>28749.999999999996</v>
      </c>
      <c r="E3" s="140" t="s">
        <v>46</v>
      </c>
      <c r="F3" s="185"/>
      <c r="G3" s="185"/>
      <c r="H3" s="185"/>
      <c r="I3" s="185"/>
    </row>
    <row r="4" spans="1:41" ht="38.25" customHeight="1" x14ac:dyDescent="0.2">
      <c r="A4" s="714"/>
      <c r="B4" s="718"/>
      <c r="C4" s="152" t="s">
        <v>205</v>
      </c>
      <c r="D4" s="152">
        <f>Norms!$D$4*100000</f>
        <v>8.5</v>
      </c>
      <c r="E4" s="140" t="s">
        <v>199</v>
      </c>
      <c r="F4" s="185"/>
      <c r="G4" s="185"/>
      <c r="H4" s="185"/>
      <c r="I4" s="185"/>
    </row>
    <row r="5" spans="1:41" ht="38.25" customHeight="1" x14ac:dyDescent="0.2">
      <c r="A5" s="714" t="s">
        <v>177</v>
      </c>
      <c r="B5" s="718">
        <v>100000</v>
      </c>
      <c r="C5" s="152" t="s">
        <v>187</v>
      </c>
      <c r="D5" s="152">
        <f>Norms!$D$5*100000</f>
        <v>78700</v>
      </c>
      <c r="E5" s="140" t="s">
        <v>46</v>
      </c>
      <c r="F5" s="185"/>
      <c r="G5" s="185"/>
      <c r="H5" s="185"/>
      <c r="I5" s="185"/>
    </row>
    <row r="6" spans="1:41" ht="38.25" customHeight="1" x14ac:dyDescent="0.2">
      <c r="A6" s="715"/>
      <c r="B6" s="719"/>
      <c r="C6" s="153" t="s">
        <v>136</v>
      </c>
      <c r="D6" s="153">
        <f>Norms!$D$6*100000</f>
        <v>21300</v>
      </c>
      <c r="E6" s="141" t="s">
        <v>46</v>
      </c>
      <c r="F6" s="185"/>
      <c r="G6" s="185"/>
      <c r="H6" s="185"/>
      <c r="I6" s="185"/>
    </row>
    <row r="7" spans="1:41" x14ac:dyDescent="0.2">
      <c r="A7" s="706" t="s">
        <v>222</v>
      </c>
      <c r="B7" s="706"/>
      <c r="C7" s="706"/>
      <c r="D7" s="185"/>
      <c r="E7" s="185"/>
      <c r="F7" s="185"/>
      <c r="G7" s="185"/>
      <c r="H7" s="185"/>
      <c r="I7" s="185"/>
    </row>
    <row r="8" spans="1:41" s="187" customFormat="1" x14ac:dyDescent="0.2">
      <c r="A8" s="163" t="s">
        <v>97</v>
      </c>
      <c r="B8" s="164" t="s">
        <v>1</v>
      </c>
      <c r="C8" s="194" t="s">
        <v>217</v>
      </c>
      <c r="D8" s="228" t="s">
        <v>266</v>
      </c>
      <c r="E8" s="185"/>
      <c r="F8" s="185"/>
      <c r="G8" s="185"/>
      <c r="H8" s="185"/>
      <c r="I8" s="185"/>
      <c r="J8" s="185"/>
      <c r="K8" s="186"/>
      <c r="L8" s="186"/>
      <c r="M8" s="186"/>
      <c r="N8" s="186"/>
      <c r="O8" s="186"/>
      <c r="P8" s="186"/>
      <c r="Q8" s="186"/>
      <c r="R8" s="186"/>
      <c r="S8" s="186"/>
      <c r="T8" s="218"/>
      <c r="U8" s="218"/>
      <c r="V8" s="218"/>
      <c r="W8" s="218"/>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13" t="s">
        <v>100</v>
      </c>
      <c r="B9" s="14" t="s">
        <v>0</v>
      </c>
      <c r="C9" s="165" t="e">
        <v>#DIV/0!</v>
      </c>
      <c r="D9" s="185"/>
      <c r="E9" s="185"/>
      <c r="F9" s="185"/>
      <c r="G9" s="185"/>
      <c r="H9" s="185"/>
      <c r="I9" s="185"/>
      <c r="J9" s="185"/>
      <c r="K9" s="186"/>
      <c r="L9" s="186"/>
      <c r="M9" s="186"/>
      <c r="N9" s="186"/>
      <c r="O9" s="186"/>
      <c r="P9" s="186"/>
      <c r="Q9" s="186"/>
      <c r="R9" s="186"/>
      <c r="S9" s="186"/>
      <c r="T9" s="218"/>
      <c r="U9" s="218"/>
      <c r="V9" s="218"/>
      <c r="W9" s="218"/>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14"/>
      <c r="B10" s="167" t="s">
        <v>135</v>
      </c>
      <c r="C10" s="165" t="e">
        <v>#DIV/0!</v>
      </c>
      <c r="D10" s="185"/>
      <c r="E10" s="185"/>
      <c r="F10" s="185"/>
      <c r="G10" s="185"/>
      <c r="H10" s="185"/>
      <c r="I10" s="185"/>
      <c r="J10" s="185"/>
      <c r="K10" s="186"/>
      <c r="L10" s="186"/>
      <c r="M10" s="186"/>
      <c r="N10" s="186"/>
      <c r="O10" s="186"/>
      <c r="P10" s="186"/>
      <c r="Q10" s="186"/>
      <c r="R10" s="186"/>
      <c r="S10" s="186"/>
      <c r="T10" s="218"/>
      <c r="U10" s="218"/>
      <c r="V10" s="218"/>
      <c r="W10" s="218"/>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13" t="s">
        <v>102</v>
      </c>
      <c r="B11" s="168" t="s">
        <v>238</v>
      </c>
      <c r="C11" s="165">
        <v>26536.75</v>
      </c>
      <c r="D11" s="185"/>
      <c r="E11" s="185"/>
      <c r="F11" s="185"/>
      <c r="G11" s="185"/>
      <c r="H11" s="185"/>
      <c r="I11" s="185"/>
      <c r="J11" s="185"/>
      <c r="K11" s="186"/>
      <c r="L11" s="186"/>
      <c r="M11" s="186"/>
      <c r="N11" s="186"/>
      <c r="O11" s="186"/>
      <c r="P11" s="186"/>
      <c r="Q11" s="186"/>
      <c r="R11" s="186"/>
      <c r="S11" s="186"/>
      <c r="T11" s="218"/>
      <c r="U11" s="218"/>
      <c r="V11" s="218"/>
      <c r="W11" s="218"/>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14"/>
      <c r="B12" s="170" t="s">
        <v>239</v>
      </c>
      <c r="C12" s="171">
        <v>10335.608065151127</v>
      </c>
      <c r="D12" s="185"/>
      <c r="E12" s="185"/>
      <c r="F12" s="185"/>
      <c r="G12" s="185"/>
      <c r="H12" s="185"/>
      <c r="I12" s="185"/>
      <c r="J12" s="185"/>
      <c r="K12" s="186"/>
      <c r="L12" s="186"/>
      <c r="M12" s="186"/>
      <c r="N12" s="186"/>
      <c r="O12" s="186"/>
      <c r="P12" s="186"/>
      <c r="Q12" s="186"/>
      <c r="R12" s="186"/>
      <c r="S12" s="186"/>
      <c r="T12" s="218"/>
      <c r="U12" s="218"/>
      <c r="V12" s="218"/>
      <c r="W12" s="218"/>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15"/>
      <c r="B13" s="172" t="s">
        <v>238</v>
      </c>
      <c r="C13" s="173">
        <v>29242.25</v>
      </c>
      <c r="D13" s="185"/>
      <c r="E13" s="185"/>
      <c r="F13" s="185"/>
      <c r="G13" s="185"/>
      <c r="H13" s="185"/>
      <c r="I13" s="185"/>
      <c r="J13" s="185"/>
      <c r="K13" s="186"/>
      <c r="L13" s="186"/>
      <c r="M13" s="186"/>
      <c r="N13" s="186"/>
      <c r="O13" s="186"/>
      <c r="P13" s="186"/>
      <c r="Q13" s="186"/>
      <c r="R13" s="186"/>
      <c r="S13" s="186"/>
      <c r="T13" s="218"/>
      <c r="U13" s="218"/>
      <c r="V13" s="218"/>
      <c r="W13" s="218"/>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1" t="s">
        <v>137</v>
      </c>
      <c r="B14" s="212" t="s">
        <v>240</v>
      </c>
      <c r="C14" s="213">
        <v>100000</v>
      </c>
      <c r="D14" s="214" t="s">
        <v>265</v>
      </c>
      <c r="E14" s="185"/>
      <c r="F14" s="185"/>
      <c r="G14" s="185"/>
      <c r="H14" s="185"/>
      <c r="I14" s="185"/>
      <c r="J14" s="185"/>
      <c r="K14" s="186"/>
      <c r="L14" s="186"/>
      <c r="M14" s="186"/>
      <c r="N14" s="186"/>
      <c r="O14" s="186"/>
      <c r="P14" s="186"/>
      <c r="Q14" s="186"/>
      <c r="R14" s="186"/>
      <c r="S14" s="186"/>
      <c r="T14" s="218"/>
      <c r="U14" s="218"/>
      <c r="V14" s="218"/>
      <c r="W14" s="218"/>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13" t="s">
        <v>140</v>
      </c>
      <c r="B15" s="174" t="s">
        <v>42</v>
      </c>
      <c r="C15" s="215">
        <v>1928.3693750000002</v>
      </c>
      <c r="D15" s="214" t="s">
        <v>265</v>
      </c>
      <c r="E15" s="185"/>
      <c r="F15" s="185"/>
      <c r="G15" s="185"/>
      <c r="H15" s="185"/>
      <c r="I15" s="185"/>
      <c r="J15" s="185"/>
      <c r="T15" s="219"/>
      <c r="U15" s="219"/>
      <c r="V15" s="219"/>
      <c r="W15" s="219"/>
    </row>
    <row r="16" spans="1:41" s="187" customFormat="1" x14ac:dyDescent="0.2">
      <c r="A16" s="714"/>
      <c r="B16" s="175" t="s">
        <v>41</v>
      </c>
      <c r="C16" s="216">
        <v>5387255.0749999993</v>
      </c>
      <c r="D16" s="214" t="s">
        <v>265</v>
      </c>
      <c r="E16" s="185"/>
      <c r="F16" s="185"/>
      <c r="G16" s="185"/>
      <c r="H16" s="185"/>
      <c r="I16" s="185"/>
      <c r="J16" s="185"/>
      <c r="T16" s="219"/>
      <c r="U16" s="219"/>
      <c r="V16" s="219"/>
      <c r="W16" s="219"/>
    </row>
    <row r="17" spans="1:42" s="187" customFormat="1" x14ac:dyDescent="0.2">
      <c r="A17" s="714"/>
      <c r="B17" s="175"/>
      <c r="C17" s="171"/>
      <c r="D17" s="214" t="s">
        <v>265</v>
      </c>
      <c r="E17" s="185"/>
      <c r="F17" s="185"/>
      <c r="G17" s="185"/>
      <c r="H17" s="185"/>
      <c r="I17" s="185"/>
      <c r="J17" s="185"/>
      <c r="T17" s="219"/>
      <c r="U17" s="219"/>
      <c r="V17" s="219"/>
      <c r="W17" s="219"/>
    </row>
    <row r="18" spans="1:42" s="187" customFormat="1" ht="24.75" customHeight="1" x14ac:dyDescent="0.2">
      <c r="A18" s="714"/>
      <c r="B18" s="175" t="s">
        <v>40</v>
      </c>
      <c r="C18" s="171">
        <v>338.58106500000002</v>
      </c>
      <c r="D18" s="214" t="s">
        <v>265</v>
      </c>
      <c r="E18" s="185"/>
      <c r="F18" s="185"/>
      <c r="G18" s="185"/>
      <c r="H18" s="185"/>
      <c r="I18" s="185"/>
      <c r="J18" s="185"/>
      <c r="T18" s="219"/>
      <c r="U18" s="219"/>
      <c r="V18" s="219"/>
      <c r="W18" s="219"/>
    </row>
    <row r="19" spans="1:42" s="187" customFormat="1" x14ac:dyDescent="0.2">
      <c r="A19" s="714"/>
      <c r="B19" s="175"/>
      <c r="C19" s="171"/>
      <c r="D19" s="214" t="s">
        <v>265</v>
      </c>
      <c r="E19" s="185"/>
      <c r="F19" s="185"/>
      <c r="G19" s="185"/>
      <c r="H19" s="185"/>
      <c r="I19" s="185"/>
      <c r="J19" s="185"/>
      <c r="T19" s="219"/>
      <c r="U19" s="219"/>
      <c r="V19" s="219"/>
      <c r="W19" s="219"/>
    </row>
    <row r="20" spans="1:42" s="187" customFormat="1" ht="12" customHeight="1" x14ac:dyDescent="0.2">
      <c r="A20" s="714"/>
      <c r="B20" s="175" t="s">
        <v>149</v>
      </c>
      <c r="C20" s="171" t="e">
        <v>#DIV/0!</v>
      </c>
      <c r="D20" s="214" t="s">
        <v>265</v>
      </c>
      <c r="E20" s="185"/>
      <c r="F20" s="185"/>
      <c r="G20" s="185"/>
      <c r="H20" s="185"/>
      <c r="I20" s="185"/>
      <c r="J20" s="185"/>
      <c r="T20" s="219"/>
      <c r="U20" s="219"/>
      <c r="V20" s="219"/>
      <c r="W20" s="219"/>
    </row>
    <row r="21" spans="1:42" s="187" customFormat="1" x14ac:dyDescent="0.2">
      <c r="A21" s="714"/>
      <c r="B21" s="177" t="s">
        <v>105</v>
      </c>
      <c r="C21" s="171">
        <v>43439.057500000003</v>
      </c>
      <c r="D21" s="214" t="s">
        <v>265</v>
      </c>
      <c r="E21" s="185"/>
      <c r="F21" s="185"/>
      <c r="G21" s="185"/>
      <c r="H21" s="185"/>
      <c r="I21" s="185"/>
      <c r="J21" s="185"/>
      <c r="T21" s="219"/>
      <c r="U21" s="219"/>
      <c r="V21" s="219"/>
      <c r="W21" s="219"/>
    </row>
    <row r="22" spans="1:42" s="187" customFormat="1" x14ac:dyDescent="0.2">
      <c r="A22" s="715"/>
      <c r="B22" s="178" t="s">
        <v>106</v>
      </c>
      <c r="C22" s="173">
        <v>53394802.015112996</v>
      </c>
      <c r="D22" s="214" t="s">
        <v>265</v>
      </c>
      <c r="E22" s="185"/>
      <c r="F22" s="185"/>
      <c r="G22" s="185"/>
      <c r="H22" s="185"/>
      <c r="I22" s="185"/>
      <c r="J22" s="185"/>
      <c r="T22" s="219"/>
      <c r="U22" s="219"/>
      <c r="V22" s="219"/>
      <c r="W22" s="219"/>
    </row>
    <row r="23" spans="1:42" s="187" customFormat="1" x14ac:dyDescent="0.2">
      <c r="A23" s="713" t="s">
        <v>231</v>
      </c>
      <c r="B23" s="174" t="s">
        <v>42</v>
      </c>
      <c r="C23" s="165">
        <v>267.46053949335783</v>
      </c>
      <c r="D23" s="214" t="s">
        <v>265</v>
      </c>
      <c r="E23" s="185"/>
      <c r="F23" s="185"/>
      <c r="G23" s="185"/>
      <c r="H23" s="185"/>
      <c r="I23" s="185"/>
      <c r="J23" s="185"/>
      <c r="T23" s="219"/>
      <c r="U23" s="219"/>
      <c r="V23" s="219"/>
      <c r="W23" s="219"/>
    </row>
    <row r="24" spans="1:42" s="187" customFormat="1" x14ac:dyDescent="0.2">
      <c r="A24" s="714"/>
      <c r="B24" s="175" t="s">
        <v>41</v>
      </c>
      <c r="C24" s="171">
        <v>200595.40462001838</v>
      </c>
      <c r="D24" s="214" t="s">
        <v>265</v>
      </c>
      <c r="E24" s="185"/>
      <c r="F24" s="185"/>
      <c r="G24" s="185"/>
      <c r="H24" s="185"/>
      <c r="I24" s="185"/>
      <c r="J24" s="185"/>
      <c r="T24" s="219"/>
      <c r="U24" s="219"/>
      <c r="V24" s="219"/>
      <c r="W24" s="219"/>
    </row>
    <row r="25" spans="1:42" s="187" customFormat="1" x14ac:dyDescent="0.2">
      <c r="A25" s="714"/>
      <c r="B25" s="175"/>
      <c r="C25" s="171"/>
      <c r="D25" s="214" t="s">
        <v>265</v>
      </c>
      <c r="E25" s="185"/>
      <c r="F25" s="185"/>
      <c r="G25" s="185"/>
      <c r="H25" s="185"/>
      <c r="I25" s="185"/>
      <c r="J25" s="185"/>
      <c r="T25" s="219"/>
      <c r="U25" s="219"/>
      <c r="V25" s="219"/>
      <c r="W25" s="219"/>
    </row>
    <row r="26" spans="1:42" s="187" customFormat="1" x14ac:dyDescent="0.2">
      <c r="A26" s="714"/>
      <c r="B26" s="175" t="s">
        <v>40</v>
      </c>
      <c r="C26" s="171">
        <v>80.238161848007351</v>
      </c>
      <c r="D26" s="214" t="s">
        <v>265</v>
      </c>
      <c r="E26" s="185"/>
      <c r="F26" s="185"/>
      <c r="G26" s="185"/>
      <c r="H26" s="185"/>
      <c r="I26" s="185"/>
      <c r="J26" s="185"/>
      <c r="T26" s="219"/>
      <c r="U26" s="219"/>
      <c r="V26" s="219"/>
      <c r="W26" s="219"/>
    </row>
    <row r="27" spans="1:42" s="187" customFormat="1" x14ac:dyDescent="0.2">
      <c r="A27" s="714"/>
      <c r="B27" s="175" t="s">
        <v>246</v>
      </c>
      <c r="C27" s="171">
        <v>3797.9396608056813</v>
      </c>
      <c r="D27" s="214" t="s">
        <v>265</v>
      </c>
      <c r="E27" s="185"/>
      <c r="F27" s="185"/>
      <c r="G27" s="185"/>
      <c r="H27" s="185"/>
      <c r="I27" s="185"/>
      <c r="J27" s="185"/>
      <c r="T27" s="219"/>
      <c r="U27" s="219"/>
      <c r="V27" s="219"/>
      <c r="W27" s="219"/>
    </row>
    <row r="28" spans="1:42" s="187" customFormat="1" x14ac:dyDescent="0.2">
      <c r="A28" s="714"/>
      <c r="B28" s="175" t="s">
        <v>149</v>
      </c>
      <c r="C28" s="171" t="e">
        <v>#DIV/0!</v>
      </c>
      <c r="D28" s="214" t="s">
        <v>265</v>
      </c>
      <c r="E28" s="185"/>
      <c r="F28" s="185"/>
      <c r="G28" s="185"/>
      <c r="H28" s="185"/>
      <c r="I28" s="185"/>
      <c r="J28" s="185"/>
      <c r="T28" s="219"/>
      <c r="U28" s="219"/>
      <c r="V28" s="219"/>
      <c r="W28" s="219"/>
    </row>
    <row r="29" spans="1:42" x14ac:dyDescent="0.2">
      <c r="A29" s="714"/>
      <c r="B29" s="177"/>
      <c r="C29" s="171"/>
      <c r="D29" s="214" t="s">
        <v>265</v>
      </c>
      <c r="E29" s="185"/>
      <c r="F29" s="185"/>
      <c r="G29" s="185"/>
      <c r="H29" s="185"/>
      <c r="I29" s="185"/>
    </row>
    <row r="30" spans="1:42" s="187" customFormat="1" x14ac:dyDescent="0.2">
      <c r="A30" s="715"/>
      <c r="B30" s="179" t="s">
        <v>106</v>
      </c>
      <c r="C30" s="173">
        <v>1450642.784714049</v>
      </c>
      <c r="D30" s="214" t="s">
        <v>265</v>
      </c>
      <c r="E30" s="185"/>
      <c r="F30" s="185"/>
      <c r="G30" s="185"/>
      <c r="H30" s="185"/>
      <c r="I30" s="185"/>
      <c r="J30" s="185"/>
      <c r="T30" s="219"/>
      <c r="U30" s="219"/>
      <c r="V30" s="219"/>
      <c r="W30" s="219"/>
    </row>
    <row r="31" spans="1:42" s="187" customFormat="1" ht="32.25" customHeight="1" x14ac:dyDescent="0.2">
      <c r="A31" s="157" t="s">
        <v>107</v>
      </c>
      <c r="B31" s="167" t="s">
        <v>236</v>
      </c>
      <c r="C31" s="207">
        <v>18860000</v>
      </c>
      <c r="D31" s="214" t="s">
        <v>265</v>
      </c>
      <c r="E31" s="185"/>
      <c r="F31" s="185"/>
      <c r="G31" s="185"/>
      <c r="H31" s="185"/>
      <c r="I31" s="185"/>
      <c r="J31" s="185"/>
      <c r="K31" s="186"/>
      <c r="L31" s="186"/>
      <c r="M31" s="186"/>
      <c r="N31" s="186"/>
      <c r="O31" s="186"/>
      <c r="P31" s="186"/>
      <c r="Q31" s="186"/>
      <c r="R31" s="186"/>
      <c r="S31" s="186"/>
      <c r="T31" s="218"/>
      <c r="U31" s="218"/>
      <c r="V31" s="218"/>
      <c r="W31" s="218"/>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7">
        <v>564200000</v>
      </c>
      <c r="D32" s="185"/>
      <c r="E32" s="185"/>
      <c r="F32" s="185"/>
      <c r="G32" s="185"/>
      <c r="H32" s="185"/>
      <c r="I32" s="185"/>
      <c r="J32" s="185"/>
      <c r="K32" s="186"/>
      <c r="L32" s="186"/>
      <c r="M32" s="186"/>
      <c r="N32" s="186"/>
      <c r="O32" s="186"/>
      <c r="P32" s="186"/>
      <c r="Q32" s="186"/>
      <c r="R32" s="186"/>
      <c r="S32" s="186"/>
      <c r="T32" s="218"/>
      <c r="U32" s="218"/>
      <c r="V32" s="218"/>
      <c r="W32" s="218"/>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7">
        <v>221967608.67077586</v>
      </c>
      <c r="D33" s="185"/>
      <c r="E33" s="184"/>
      <c r="F33" s="184"/>
      <c r="G33" s="185"/>
      <c r="H33" s="185"/>
      <c r="I33" s="185"/>
      <c r="J33" s="185"/>
      <c r="K33" s="189"/>
      <c r="L33" s="189"/>
      <c r="M33" s="189"/>
      <c r="N33" s="189"/>
      <c r="O33" s="189"/>
      <c r="P33" s="189"/>
      <c r="Q33" s="189"/>
      <c r="R33" s="189"/>
      <c r="S33" s="189"/>
      <c r="T33" s="220"/>
      <c r="U33" s="220"/>
      <c r="V33" s="220"/>
      <c r="W33" s="220"/>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9"/>
      <c r="U34" s="219"/>
      <c r="V34" s="219"/>
      <c r="W34" s="219"/>
    </row>
    <row r="35" spans="1:41" s="187" customFormat="1" x14ac:dyDescent="0.2">
      <c r="A35" s="185"/>
      <c r="B35" s="185"/>
      <c r="C35" s="185"/>
      <c r="D35" s="185"/>
      <c r="E35" s="185"/>
      <c r="F35" s="185"/>
      <c r="G35" s="185"/>
      <c r="H35" s="185"/>
      <c r="I35" s="185"/>
      <c r="T35" s="219"/>
      <c r="U35" s="219"/>
      <c r="V35" s="219"/>
      <c r="W35" s="219"/>
    </row>
    <row r="36" spans="1:41" s="187" customFormat="1" x14ac:dyDescent="0.2">
      <c r="A36" s="693" t="s">
        <v>223</v>
      </c>
      <c r="B36" s="693"/>
      <c r="C36" s="693"/>
      <c r="D36" s="693"/>
      <c r="E36" s="693"/>
      <c r="F36" s="693"/>
      <c r="G36" s="693"/>
      <c r="H36" s="693"/>
      <c r="I36" s="693"/>
      <c r="K36" s="186"/>
      <c r="T36" s="219"/>
      <c r="U36" s="219"/>
      <c r="V36" s="219"/>
      <c r="W36" s="219"/>
    </row>
    <row r="37" spans="1:41" x14ac:dyDescent="0.2">
      <c r="A37" s="716"/>
      <c r="B37" s="717"/>
      <c r="C37" s="717"/>
      <c r="D37" s="717"/>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1">
        <v>16</v>
      </c>
      <c r="U37" s="221">
        <v>17</v>
      </c>
      <c r="V37" s="221">
        <v>18</v>
      </c>
      <c r="W37" s="222">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3"/>
      <c r="U38" s="223"/>
      <c r="V38" s="223"/>
      <c r="W38" s="220"/>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4">
        <v>30</v>
      </c>
      <c r="U39" s="224">
        <v>30</v>
      </c>
      <c r="V39" s="224">
        <v>30</v>
      </c>
      <c r="W39" s="224">
        <v>30</v>
      </c>
    </row>
    <row r="40" spans="1:41" x14ac:dyDescent="0.2">
      <c r="A40" s="20"/>
      <c r="B40" s="2" t="s">
        <v>15</v>
      </c>
      <c r="C40" s="152"/>
      <c r="D40" s="181"/>
      <c r="E40" s="3">
        <f>'Cashflow '!F12</f>
        <v>620.29890284128692</v>
      </c>
      <c r="F40" s="3">
        <f>'Cashflow '!G12</f>
        <v>708.9130318186136</v>
      </c>
      <c r="G40" s="3">
        <f>'Cashflow '!H12</f>
        <v>841.83422528460369</v>
      </c>
      <c r="H40" s="3">
        <f>'Cashflow '!I12</f>
        <v>841.83422528460369</v>
      </c>
      <c r="I40" s="3">
        <f>'Cashflow '!J12</f>
        <v>840.24811882662345</v>
      </c>
      <c r="J40" s="3">
        <f>'Cashflow '!K12</f>
        <v>823.1215688266235</v>
      </c>
      <c r="K40" s="3">
        <f>'Cashflow '!L12</f>
        <v>823.1215688266235</v>
      </c>
      <c r="L40" s="3">
        <f>'Cashflow '!M12</f>
        <v>823.1215688266235</v>
      </c>
      <c r="M40" s="3">
        <f>'Cashflow '!N12</f>
        <v>823.1215688266235</v>
      </c>
      <c r="N40" s="3">
        <f>'Cashflow '!O12</f>
        <v>823.1215688266235</v>
      </c>
      <c r="O40" s="3">
        <f>'Cashflow '!P12</f>
        <v>823.1215688266235</v>
      </c>
      <c r="P40" s="3">
        <f>'Cashflow '!Q12</f>
        <v>823.1215688266235</v>
      </c>
      <c r="Q40" s="3">
        <f>'Cashflow '!R12</f>
        <v>823.1215688266235</v>
      </c>
      <c r="R40" s="3" t="e">
        <f>'Cashflow '!#REF!</f>
        <v>#REF!</v>
      </c>
      <c r="S40" s="3" t="e">
        <f>'Cashflow '!#REF!</f>
        <v>#REF!</v>
      </c>
      <c r="T40" s="225" t="e">
        <f>'Cashflow '!#REF!</f>
        <v>#REF!</v>
      </c>
      <c r="U40" s="225" t="e">
        <f>'Cashflow '!#REF!</f>
        <v>#REF!</v>
      </c>
      <c r="V40" s="225" t="e">
        <f>'Cashflow '!#REF!</f>
        <v>#REF!</v>
      </c>
      <c r="W40" s="225" t="e">
        <f>'Cashflow '!#REF!</f>
        <v>#REF!</v>
      </c>
    </row>
    <row r="41" spans="1:41" x14ac:dyDescent="0.2">
      <c r="A41" s="20"/>
      <c r="B41" s="2" t="s">
        <v>16</v>
      </c>
      <c r="C41" s="152"/>
      <c r="D41" s="181"/>
      <c r="E41" s="3">
        <f>+E40/365*E39</f>
        <v>50.983471466407138</v>
      </c>
      <c r="F41" s="3">
        <f t="shared" ref="F41:W41" si="0">+F40/365*F39</f>
        <v>58.266824533036733</v>
      </c>
      <c r="G41" s="3">
        <f t="shared" si="0"/>
        <v>69.191854132981121</v>
      </c>
      <c r="H41" s="3">
        <f t="shared" si="0"/>
        <v>69.191854132981121</v>
      </c>
      <c r="I41" s="3">
        <f t="shared" si="0"/>
        <v>69.061489218626591</v>
      </c>
      <c r="J41" s="3">
        <f t="shared" si="0"/>
        <v>67.653827574790981</v>
      </c>
      <c r="K41" s="3">
        <f t="shared" si="0"/>
        <v>67.653827574790981</v>
      </c>
      <c r="L41" s="3">
        <f t="shared" si="0"/>
        <v>67.653827574790981</v>
      </c>
      <c r="M41" s="3">
        <f t="shared" si="0"/>
        <v>67.653827574790981</v>
      </c>
      <c r="N41" s="3">
        <f t="shared" si="0"/>
        <v>67.653827574790981</v>
      </c>
      <c r="O41" s="3">
        <f t="shared" si="0"/>
        <v>67.653827574790981</v>
      </c>
      <c r="P41" s="3">
        <f t="shared" si="0"/>
        <v>67.653827574790981</v>
      </c>
      <c r="Q41" s="3">
        <f t="shared" si="0"/>
        <v>67.653827574790981</v>
      </c>
      <c r="R41" s="3" t="e">
        <f t="shared" si="0"/>
        <v>#REF!</v>
      </c>
      <c r="S41" s="3" t="e">
        <f t="shared" si="0"/>
        <v>#REF!</v>
      </c>
      <c r="T41" s="225" t="e">
        <f t="shared" si="0"/>
        <v>#REF!</v>
      </c>
      <c r="U41" s="225" t="e">
        <f t="shared" si="0"/>
        <v>#REF!</v>
      </c>
      <c r="V41" s="225" t="e">
        <f t="shared" si="0"/>
        <v>#REF!</v>
      </c>
      <c r="W41" s="225"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20"/>
      <c r="U42" s="220"/>
      <c r="V42" s="220"/>
      <c r="W42" s="220"/>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20"/>
      <c r="U43" s="220"/>
      <c r="V43" s="220"/>
      <c r="W43" s="220"/>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4">
        <v>20</v>
      </c>
      <c r="U44" s="224">
        <v>20</v>
      </c>
      <c r="V44" s="224">
        <v>20</v>
      </c>
      <c r="W44" s="224">
        <v>20</v>
      </c>
    </row>
    <row r="45" spans="1:41" x14ac:dyDescent="0.2">
      <c r="A45" s="20"/>
      <c r="B45" s="2" t="s">
        <v>19</v>
      </c>
      <c r="C45" s="152"/>
      <c r="D45" s="181"/>
      <c r="E45" s="3">
        <f>'Cashflow '!F20</f>
        <v>239.25656937281246</v>
      </c>
      <c r="F45" s="3">
        <f>'Cashflow '!G20</f>
        <v>216.88897179825003</v>
      </c>
      <c r="G45" s="3">
        <f>'Cashflow '!H20</f>
        <v>302.94852366979688</v>
      </c>
      <c r="H45" s="3">
        <f>'Cashflow '!I20</f>
        <v>302.94852366979688</v>
      </c>
      <c r="I45" s="3">
        <f>'Cashflow '!J20</f>
        <v>302.94852366979688</v>
      </c>
      <c r="J45" s="3">
        <f>'Cashflow '!K20</f>
        <v>302.94852366979688</v>
      </c>
      <c r="K45" s="3">
        <f>'Cashflow '!L20</f>
        <v>302.94852366979688</v>
      </c>
      <c r="L45" s="3">
        <f>'Cashflow '!M20</f>
        <v>302.94852366979688</v>
      </c>
      <c r="M45" s="3">
        <f>'Cashflow '!N20</f>
        <v>302.94852366979688</v>
      </c>
      <c r="N45" s="3">
        <f>'Cashflow '!O20</f>
        <v>302.94852366979688</v>
      </c>
      <c r="O45" s="3">
        <f>'Cashflow '!P20</f>
        <v>302.94852366979688</v>
      </c>
      <c r="P45" s="3">
        <f>'Cashflow '!Q20</f>
        <v>302.94852366979688</v>
      </c>
      <c r="Q45" s="3">
        <f>'Cashflow '!R20</f>
        <v>302.94852366979688</v>
      </c>
      <c r="R45" s="3" t="e">
        <f>'Cashflow '!#REF!</f>
        <v>#REF!</v>
      </c>
      <c r="S45" s="3" t="e">
        <f>'Cashflow '!#REF!</f>
        <v>#REF!</v>
      </c>
      <c r="T45" s="225" t="e">
        <f>'Cashflow '!#REF!</f>
        <v>#REF!</v>
      </c>
      <c r="U45" s="225" t="e">
        <f>'Cashflow '!#REF!</f>
        <v>#REF!</v>
      </c>
      <c r="V45" s="225" t="e">
        <f>'Cashflow '!#REF!</f>
        <v>#REF!</v>
      </c>
      <c r="W45" s="225" t="e">
        <f>'Cashflow '!#REF!</f>
        <v>#REF!</v>
      </c>
    </row>
    <row r="46" spans="1:41" x14ac:dyDescent="0.2">
      <c r="A46" s="20"/>
      <c r="B46" s="2" t="s">
        <v>20</v>
      </c>
      <c r="C46" s="152"/>
      <c r="D46" s="181"/>
      <c r="E46" s="3">
        <f>+E45/365*E44</f>
        <v>13.109949006729451</v>
      </c>
      <c r="F46" s="3">
        <f t="shared" ref="F46:W46" si="1">+F45/365*F44</f>
        <v>11.88432722182192</v>
      </c>
      <c r="G46" s="3">
        <f t="shared" si="1"/>
        <v>16.599919105194349</v>
      </c>
      <c r="H46" s="3">
        <f t="shared" si="1"/>
        <v>16.599919105194349</v>
      </c>
      <c r="I46" s="3">
        <f t="shared" si="1"/>
        <v>16.599919105194349</v>
      </c>
      <c r="J46" s="3">
        <f t="shared" si="1"/>
        <v>16.599919105194349</v>
      </c>
      <c r="K46" s="3">
        <f t="shared" si="1"/>
        <v>16.599919105194349</v>
      </c>
      <c r="L46" s="3">
        <f t="shared" si="1"/>
        <v>16.599919105194349</v>
      </c>
      <c r="M46" s="3">
        <f t="shared" si="1"/>
        <v>16.599919105194349</v>
      </c>
      <c r="N46" s="3">
        <f t="shared" si="1"/>
        <v>16.599919105194349</v>
      </c>
      <c r="O46" s="3">
        <f t="shared" si="1"/>
        <v>16.599919105194349</v>
      </c>
      <c r="P46" s="3">
        <f t="shared" si="1"/>
        <v>16.599919105194349</v>
      </c>
      <c r="Q46" s="3">
        <f t="shared" si="1"/>
        <v>16.599919105194349</v>
      </c>
      <c r="R46" s="3" t="e">
        <f t="shared" si="1"/>
        <v>#REF!</v>
      </c>
      <c r="S46" s="3" t="e">
        <f t="shared" si="1"/>
        <v>#REF!</v>
      </c>
      <c r="T46" s="225" t="e">
        <f t="shared" si="1"/>
        <v>#REF!</v>
      </c>
      <c r="U46" s="225" t="e">
        <f t="shared" si="1"/>
        <v>#REF!</v>
      </c>
      <c r="V46" s="225" t="e">
        <f t="shared" si="1"/>
        <v>#REF!</v>
      </c>
      <c r="W46" s="225"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3"/>
      <c r="U47" s="223"/>
      <c r="V47" s="223"/>
      <c r="W47" s="220"/>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3"/>
      <c r="U48" s="223"/>
      <c r="V48" s="223"/>
      <c r="W48" s="220"/>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4">
        <v>10</v>
      </c>
      <c r="U49" s="224">
        <v>10</v>
      </c>
      <c r="V49" s="224">
        <v>10</v>
      </c>
      <c r="W49" s="224">
        <v>10</v>
      </c>
    </row>
    <row r="50" spans="1:23" x14ac:dyDescent="0.2">
      <c r="A50" s="20"/>
      <c r="B50" s="2" t="s">
        <v>23</v>
      </c>
      <c r="C50" s="152"/>
      <c r="D50" s="181"/>
      <c r="E50" s="3">
        <f>-E45</f>
        <v>-239.25656937281246</v>
      </c>
      <c r="F50" s="3">
        <f t="shared" ref="F50:W50" si="2">-F45</f>
        <v>-216.88897179825003</v>
      </c>
      <c r="G50" s="3">
        <f t="shared" si="2"/>
        <v>-302.94852366979688</v>
      </c>
      <c r="H50" s="3">
        <f t="shared" si="2"/>
        <v>-302.94852366979688</v>
      </c>
      <c r="I50" s="3">
        <f t="shared" si="2"/>
        <v>-302.94852366979688</v>
      </c>
      <c r="J50" s="3">
        <f t="shared" si="2"/>
        <v>-302.94852366979688</v>
      </c>
      <c r="K50" s="3">
        <f t="shared" si="2"/>
        <v>-302.94852366979688</v>
      </c>
      <c r="L50" s="3">
        <f t="shared" si="2"/>
        <v>-302.94852366979688</v>
      </c>
      <c r="M50" s="3">
        <f>-M45</f>
        <v>-302.94852366979688</v>
      </c>
      <c r="N50" s="3">
        <f t="shared" si="2"/>
        <v>-302.94852366979688</v>
      </c>
      <c r="O50" s="3">
        <f t="shared" si="2"/>
        <v>-302.94852366979688</v>
      </c>
      <c r="P50" s="3">
        <f t="shared" si="2"/>
        <v>-302.94852366979688</v>
      </c>
      <c r="Q50" s="3">
        <f t="shared" si="2"/>
        <v>-302.94852366979688</v>
      </c>
      <c r="R50" s="3" t="e">
        <f t="shared" si="2"/>
        <v>#REF!</v>
      </c>
      <c r="S50" s="3" t="e">
        <f t="shared" si="2"/>
        <v>#REF!</v>
      </c>
      <c r="T50" s="225" t="e">
        <f t="shared" si="2"/>
        <v>#REF!</v>
      </c>
      <c r="U50" s="225" t="e">
        <f t="shared" si="2"/>
        <v>#REF!</v>
      </c>
      <c r="V50" s="225" t="e">
        <f t="shared" si="2"/>
        <v>#REF!</v>
      </c>
      <c r="W50" s="225" t="e">
        <f t="shared" si="2"/>
        <v>#REF!</v>
      </c>
    </row>
    <row r="51" spans="1:23" x14ac:dyDescent="0.2">
      <c r="A51" s="63"/>
      <c r="B51" s="5" t="s">
        <v>23</v>
      </c>
      <c r="C51" s="153"/>
      <c r="D51" s="182"/>
      <c r="E51" s="6">
        <f>+E50/365*E49</f>
        <v>-6.5549745033647255</v>
      </c>
      <c r="F51" s="6">
        <f t="shared" ref="F51:W51" si="3">+F50/365*F49</f>
        <v>-5.9421636109109599</v>
      </c>
      <c r="G51" s="6">
        <f t="shared" si="3"/>
        <v>-8.2999595525971746</v>
      </c>
      <c r="H51" s="6">
        <f t="shared" si="3"/>
        <v>-8.2999595525971746</v>
      </c>
      <c r="I51" s="6">
        <f t="shared" si="3"/>
        <v>-8.2999595525971746</v>
      </c>
      <c r="J51" s="6">
        <f t="shared" si="3"/>
        <v>-8.2999595525971746</v>
      </c>
      <c r="K51" s="6">
        <f t="shared" si="3"/>
        <v>-8.2999595525971746</v>
      </c>
      <c r="L51" s="6">
        <f t="shared" si="3"/>
        <v>-8.2999595525971746</v>
      </c>
      <c r="M51" s="6">
        <f t="shared" si="3"/>
        <v>-8.2999595525971746</v>
      </c>
      <c r="N51" s="6">
        <f t="shared" si="3"/>
        <v>-8.2999595525971746</v>
      </c>
      <c r="O51" s="6">
        <f t="shared" si="3"/>
        <v>-8.2999595525971746</v>
      </c>
      <c r="P51" s="6">
        <f t="shared" si="3"/>
        <v>-8.2999595525971746</v>
      </c>
      <c r="Q51" s="6">
        <f t="shared" si="3"/>
        <v>-8.2999595525971746</v>
      </c>
      <c r="R51" s="6" t="e">
        <f t="shared" si="3"/>
        <v>#REF!</v>
      </c>
      <c r="S51" s="6" t="e">
        <f t="shared" si="3"/>
        <v>#REF!</v>
      </c>
      <c r="T51" s="226" t="e">
        <f t="shared" si="3"/>
        <v>#REF!</v>
      </c>
      <c r="U51" s="226" t="e">
        <f t="shared" si="3"/>
        <v>#REF!</v>
      </c>
      <c r="V51" s="226" t="e">
        <f t="shared" si="3"/>
        <v>#REF!</v>
      </c>
      <c r="W51" s="226" t="e">
        <f t="shared" si="3"/>
        <v>#REF!</v>
      </c>
    </row>
    <row r="52" spans="1:23" x14ac:dyDescent="0.2">
      <c r="A52" s="153"/>
      <c r="B52" s="5"/>
      <c r="C52" s="153"/>
      <c r="F52" s="191"/>
      <c r="G52" s="191"/>
      <c r="H52" s="191"/>
      <c r="I52" s="191"/>
      <c r="J52" s="191"/>
      <c r="K52" s="191"/>
    </row>
    <row r="53" spans="1:23" ht="22.5" customHeight="1" x14ac:dyDescent="0.2">
      <c r="A53" s="721" t="s">
        <v>224</v>
      </c>
      <c r="B53" s="721"/>
      <c r="C53" s="721"/>
    </row>
    <row r="54" spans="1:23" x14ac:dyDescent="0.2">
      <c r="A54" s="722" t="s">
        <v>212</v>
      </c>
      <c r="B54" s="723"/>
      <c r="C54" s="724"/>
    </row>
    <row r="55" spans="1:23" x14ac:dyDescent="0.2">
      <c r="A55" s="151" t="s">
        <v>38</v>
      </c>
      <c r="B55" s="151" t="s">
        <v>52</v>
      </c>
      <c r="C55" s="151" t="s">
        <v>51</v>
      </c>
    </row>
    <row r="56" spans="1:23" x14ac:dyDescent="0.2">
      <c r="A56" s="8">
        <v>1</v>
      </c>
      <c r="B56" s="36" t="s">
        <v>139</v>
      </c>
      <c r="C56" s="37">
        <f>(Norms!C35*Norms!D35)/10^7</f>
        <v>9.3212897732669973</v>
      </c>
    </row>
    <row r="57" spans="1:23" x14ac:dyDescent="0.2">
      <c r="A57" s="107"/>
      <c r="B57" s="155" t="s">
        <v>48</v>
      </c>
      <c r="C57" s="108">
        <f>SUM(C56:C56)</f>
        <v>9.3212897732669973</v>
      </c>
    </row>
    <row r="58" spans="1:23" x14ac:dyDescent="0.2">
      <c r="A58" s="722" t="s">
        <v>212</v>
      </c>
      <c r="B58" s="723"/>
      <c r="C58" s="724"/>
    </row>
    <row r="59" spans="1:23" x14ac:dyDescent="0.2">
      <c r="A59" s="151" t="s">
        <v>38</v>
      </c>
      <c r="B59" s="151" t="s">
        <v>52</v>
      </c>
      <c r="C59" s="151" t="s">
        <v>51</v>
      </c>
    </row>
    <row r="60" spans="1:23" x14ac:dyDescent="0.2">
      <c r="A60" s="8">
        <v>1</v>
      </c>
      <c r="B60" s="36" t="s">
        <v>226</v>
      </c>
      <c r="C60" s="37">
        <f>(Norms!C39*Norms!D39)/10^7</f>
        <v>876.82</v>
      </c>
    </row>
    <row r="61" spans="1:23" x14ac:dyDescent="0.2">
      <c r="A61" s="107"/>
      <c r="B61" s="155" t="s">
        <v>48</v>
      </c>
      <c r="C61" s="108">
        <f>SUM(C60:C60)</f>
        <v>876.82</v>
      </c>
    </row>
    <row r="62" spans="1:23" ht="18" customHeight="1" x14ac:dyDescent="0.2">
      <c r="A62" s="143"/>
      <c r="B62" s="143"/>
      <c r="C62" s="143"/>
    </row>
    <row r="63" spans="1:23" x14ac:dyDescent="0.2">
      <c r="A63" s="693" t="s">
        <v>225</v>
      </c>
      <c r="B63" s="693"/>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40</v>
      </c>
    </row>
    <row r="69" spans="1:10" x14ac:dyDescent="0.2">
      <c r="A69" s="210" t="s">
        <v>33</v>
      </c>
      <c r="B69" s="31">
        <f>Norms!B47*Norms!C47</f>
        <v>60</v>
      </c>
    </row>
    <row r="70" spans="1:10" x14ac:dyDescent="0.2">
      <c r="A70" s="7" t="s">
        <v>34</v>
      </c>
      <c r="B70" s="31">
        <f>Norms!B48*Norms!C48</f>
        <v>105</v>
      </c>
    </row>
    <row r="71" spans="1:10" x14ac:dyDescent="0.2">
      <c r="A71" s="101" t="s">
        <v>37</v>
      </c>
      <c r="B71" s="103">
        <f>SUM(B65:B70)/100</f>
        <v>3.5</v>
      </c>
    </row>
    <row r="72" spans="1:10" x14ac:dyDescent="0.2">
      <c r="A72" s="183"/>
      <c r="B72" s="183"/>
    </row>
    <row r="73" spans="1:10" x14ac:dyDescent="0.2">
      <c r="A73" s="707" t="s">
        <v>221</v>
      </c>
      <c r="B73" s="707"/>
    </row>
    <row r="74" spans="1:10" x14ac:dyDescent="0.2">
      <c r="A74" s="708" t="s">
        <v>227</v>
      </c>
      <c r="B74" s="709"/>
    </row>
    <row r="75" spans="1:10" x14ac:dyDescent="0.2">
      <c r="A75" s="135" t="s">
        <v>84</v>
      </c>
      <c r="B75" s="136" t="s">
        <v>85</v>
      </c>
    </row>
    <row r="76" spans="1:10" x14ac:dyDescent="0.2">
      <c r="A76" s="70" t="s">
        <v>86</v>
      </c>
      <c r="B76" s="227" t="e">
        <f>$B$78*Norms!#REF!</f>
        <v>#REF!</v>
      </c>
    </row>
    <row r="77" spans="1:10" x14ac:dyDescent="0.2">
      <c r="A77" s="70" t="s">
        <v>87</v>
      </c>
      <c r="B77" s="227" t="e">
        <f>$B$78*Norms!#REF!</f>
        <v>#REF!</v>
      </c>
    </row>
    <row r="78" spans="1:10" x14ac:dyDescent="0.2">
      <c r="A78" s="42" t="s">
        <v>47</v>
      </c>
      <c r="B78" s="195" t="e">
        <f>Capex!#REF!</f>
        <v>#REF!</v>
      </c>
    </row>
    <row r="79" spans="1:10" x14ac:dyDescent="0.2">
      <c r="A79" s="40"/>
      <c r="B79" s="144"/>
    </row>
    <row r="80" spans="1:10" x14ac:dyDescent="0.2">
      <c r="A80" s="710" t="s">
        <v>221</v>
      </c>
      <c r="B80" s="711"/>
      <c r="C80" s="711"/>
      <c r="D80" s="711"/>
      <c r="E80" s="711"/>
      <c r="F80" s="711"/>
      <c r="G80" s="711"/>
      <c r="H80" s="711"/>
      <c r="I80" s="711"/>
      <c r="J80" s="712"/>
    </row>
    <row r="81" spans="1:10" x14ac:dyDescent="0.2">
      <c r="A81" s="725" t="s">
        <v>228</v>
      </c>
      <c r="B81" s="726"/>
      <c r="C81" s="726"/>
      <c r="D81" s="726"/>
      <c r="E81" s="726"/>
      <c r="F81" s="726"/>
      <c r="G81" s="726"/>
      <c r="H81" s="726"/>
      <c r="I81" s="726"/>
      <c r="J81" s="727"/>
    </row>
    <row r="82" spans="1:10" x14ac:dyDescent="0.2">
      <c r="A82" s="145" t="s">
        <v>88</v>
      </c>
      <c r="B82" s="196">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20"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20"/>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20"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20"/>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Capex</vt:lpstr>
      <vt:lpstr>Opex</vt:lpstr>
      <vt:lpstr>Depreciation</vt:lpstr>
      <vt:lpstr>ITC-GST</vt:lpstr>
      <vt:lpstr>Working Capital</vt:lpstr>
      <vt:lpstr>Reference Values</vt:lpstr>
      <vt:lpstr>Interest Cal.</vt:lpstr>
      <vt:lpstr>Profitability</vt:lpstr>
      <vt:lpstr> Breakeven Point</vt:lpstr>
      <vt:lpstr>DSCR</vt:lpstr>
      <vt:lpstr>Cashflow </vt:lpstr>
      <vt:lpstr>IRR</vt:lpstr>
      <vt:lpstr>Balance Sheet</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2023-02-15T10:47:23Z</dcterms:modified>
</cp:coreProperties>
</file>