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never" codeName="ThisWorkbook" defaultThemeVersion="166925"/>
  <mc:AlternateContent xmlns:mc="http://schemas.openxmlformats.org/markup-compatibility/2006">
    <mc:Choice Requires="x15">
      <x15ac:absPath xmlns:x15ac="http://schemas.microsoft.com/office/spreadsheetml/2010/11/ac" url="C:\Users\hardik.malhotra\Desktop\Final Kribhco\"/>
    </mc:Choice>
  </mc:AlternateContent>
  <xr:revisionPtr revIDLastSave="0" documentId="13_ncr:1_{AC3C1CFB-C7C6-4F62-8599-CA6EDB2296B4}" xr6:coauthVersionLast="47" xr6:coauthVersionMax="47" xr10:uidLastSave="{00000000-0000-0000-0000-000000000000}"/>
  <bookViews>
    <workbookView xWindow="-120" yWindow="-120" windowWidth="20730" windowHeight="11160" tabRatio="916" firstSheet="1" activeTab="16" xr2:uid="{00000000-000D-0000-FFFF-FFFF00000000}"/>
  </bookViews>
  <sheets>
    <sheet name="Raw Materials Requirement " sheetId="98" state="hidden" r:id="rId1"/>
    <sheet name="Basis" sheetId="102" r:id="rId2"/>
    <sheet name="Norms" sheetId="99" r:id="rId3"/>
    <sheet name="Opex" sheetId="13" r:id="rId4"/>
    <sheet name="Capex" sheetId="16" r:id="rId5"/>
    <sheet name="Depreciation" sheetId="108" r:id="rId6"/>
    <sheet name="ITC-GST" sheetId="113" r:id="rId7"/>
    <sheet name="Working Capital" sheetId="110" r:id="rId8"/>
    <sheet name="Reference Values" sheetId="101" state="hidden" r:id="rId9"/>
    <sheet name="Interest Cal." sheetId="103" state="hidden" r:id="rId10"/>
    <sheet name="Profitability" sheetId="56" state="hidden" r:id="rId11"/>
    <sheet name=" Breakeven Point" sheetId="57" state="hidden" r:id="rId12"/>
    <sheet name="DSCR" sheetId="58" state="hidden" r:id="rId13"/>
    <sheet name="Cashflow " sheetId="39" r:id="rId14"/>
    <sheet name="IRR" sheetId="111" r:id="rId15"/>
    <sheet name="Balance Sheet" sheetId="112" r:id="rId16"/>
    <sheet name="Sensitivity Analysis" sheetId="114" r:id="rId17"/>
  </sheets>
  <externalReferences>
    <externalReference r:id="rId18"/>
    <externalReference r:id="rId19"/>
    <externalReference r:id="rId20"/>
    <externalReference r:id="rId21"/>
    <externalReference r:id="rId22"/>
    <externalReference r:id="rId23"/>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1">' Breakeven Point'!$A$1:$B$11</definedName>
    <definedName name="_xlnm.Print_Area" localSheetId="12">DSCR!$A$1:$J$17</definedName>
    <definedName name="_xlnm.Print_Area" localSheetId="10">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I_SERIES15">IRR!#REF!</definedName>
    <definedName name="RowDetails1">#REF!</definedName>
    <definedName name="sencount" hidden="1">2</definedName>
    <definedName name="SERIES15">IRR!#REF!</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3" i="111" l="1"/>
  <c r="D19" i="111"/>
  <c r="G38" i="99" l="1"/>
  <c r="G34" i="99"/>
  <c r="E15" i="16"/>
  <c r="K31" i="114"/>
  <c r="J31" i="114"/>
  <c r="M33" i="114"/>
  <c r="L33" i="114"/>
  <c r="K33" i="114"/>
  <c r="J33" i="114"/>
  <c r="M31" i="114"/>
  <c r="L31" i="114"/>
  <c r="M29" i="114"/>
  <c r="L29" i="114"/>
  <c r="K29" i="114"/>
  <c r="J29" i="114"/>
  <c r="G44" i="99"/>
  <c r="G43" i="99"/>
  <c r="H42" i="99"/>
  <c r="H39" i="99"/>
  <c r="J35" i="99"/>
  <c r="J39" i="99"/>
  <c r="B7" i="16" l="1"/>
  <c r="M6" i="16"/>
  <c r="F33" i="111" l="1"/>
  <c r="H37" i="99" l="1"/>
  <c r="H35" i="99"/>
  <c r="J9" i="99"/>
  <c r="H14" i="16"/>
  <c r="B49" i="99" l="1"/>
  <c r="O7" i="98" l="1"/>
  <c r="N7" i="98"/>
  <c r="L9" i="98"/>
  <c r="I6" i="98"/>
  <c r="F33" i="114"/>
  <c r="E33" i="114"/>
  <c r="D33" i="114"/>
  <c r="C33" i="114"/>
  <c r="F31" i="114"/>
  <c r="E31" i="114"/>
  <c r="D31" i="114"/>
  <c r="C31" i="114"/>
  <c r="F29" i="114"/>
  <c r="E29" i="114"/>
  <c r="D29" i="114"/>
  <c r="C29" i="114"/>
  <c r="J12" i="114"/>
  <c r="M16" i="114"/>
  <c r="L16" i="114"/>
  <c r="K16" i="114"/>
  <c r="J16" i="114"/>
  <c r="M14" i="114"/>
  <c r="L14" i="114"/>
  <c r="K14" i="114"/>
  <c r="J14" i="114"/>
  <c r="M12" i="114"/>
  <c r="L12" i="114"/>
  <c r="K12" i="114"/>
  <c r="D12" i="114"/>
  <c r="E12" i="114"/>
  <c r="F12" i="114"/>
  <c r="C12" i="114"/>
  <c r="F16" i="114"/>
  <c r="E16" i="114"/>
  <c r="D16" i="114"/>
  <c r="C16" i="114"/>
  <c r="F14" i="114"/>
  <c r="E14" i="114"/>
  <c r="D14" i="114"/>
  <c r="C14" i="114"/>
  <c r="F40" i="16"/>
  <c r="F43" i="16" s="1"/>
  <c r="I4" i="16"/>
  <c r="J4" i="16" s="1"/>
  <c r="F44" i="16" l="1"/>
  <c r="F42" i="16"/>
  <c r="R21" i="113"/>
  <c r="Q21" i="113"/>
  <c r="P21" i="113"/>
  <c r="O21" i="113"/>
  <c r="N21" i="113"/>
  <c r="M21" i="113"/>
  <c r="L21" i="113"/>
  <c r="K21" i="113"/>
  <c r="J21" i="113"/>
  <c r="I21" i="113"/>
  <c r="F45" i="16" l="1"/>
  <c r="C55" i="39"/>
  <c r="C54" i="39"/>
  <c r="D4" i="112"/>
  <c r="S4" i="112"/>
  <c r="R4" i="112"/>
  <c r="Q4" i="112"/>
  <c r="P4" i="112"/>
  <c r="O4" i="112"/>
  <c r="N4" i="112"/>
  <c r="M4" i="112"/>
  <c r="L4" i="112"/>
  <c r="K4" i="112"/>
  <c r="J4" i="112"/>
  <c r="I4" i="112"/>
  <c r="H4" i="112"/>
  <c r="G4" i="112"/>
  <c r="F4" i="112"/>
  <c r="E4" i="112"/>
  <c r="C4" i="112"/>
  <c r="T74" i="39" l="1"/>
  <c r="T73" i="39"/>
  <c r="T72" i="39"/>
  <c r="T71" i="39"/>
  <c r="T65" i="39"/>
  <c r="T62" i="39"/>
  <c r="T61" i="39"/>
  <c r="D23" i="111"/>
  <c r="E47" i="111"/>
  <c r="T66" i="39" l="1"/>
  <c r="G34" i="111"/>
  <c r="H34" i="111"/>
  <c r="I34" i="111"/>
  <c r="J34" i="111"/>
  <c r="K34" i="111"/>
  <c r="L34" i="111"/>
  <c r="M34" i="111"/>
  <c r="N34" i="111"/>
  <c r="O34" i="111"/>
  <c r="P34" i="111"/>
  <c r="Q34" i="111"/>
  <c r="R34" i="111"/>
  <c r="S34" i="111"/>
  <c r="F34" i="111"/>
  <c r="G32" i="111"/>
  <c r="H32" i="111"/>
  <c r="I32" i="111"/>
  <c r="J32" i="111"/>
  <c r="K32" i="111"/>
  <c r="L32" i="111"/>
  <c r="M32" i="111"/>
  <c r="N32" i="111"/>
  <c r="O32" i="111"/>
  <c r="P32" i="111"/>
  <c r="Q32" i="111"/>
  <c r="R32" i="111"/>
  <c r="S32" i="111"/>
  <c r="G33" i="111"/>
  <c r="H33" i="111"/>
  <c r="I33" i="111"/>
  <c r="J33" i="111"/>
  <c r="K33" i="111"/>
  <c r="L33" i="111"/>
  <c r="M33" i="111"/>
  <c r="N33" i="111"/>
  <c r="O33" i="111"/>
  <c r="P33" i="111"/>
  <c r="Q33" i="111"/>
  <c r="R33" i="111"/>
  <c r="S33" i="111"/>
  <c r="F32" i="111"/>
  <c r="E36" i="111" l="1"/>
  <c r="T47" i="111" l="1"/>
  <c r="S47" i="111"/>
  <c r="R47" i="111"/>
  <c r="Q47" i="111"/>
  <c r="P47" i="111"/>
  <c r="O47" i="111"/>
  <c r="N47" i="111"/>
  <c r="M47" i="111"/>
  <c r="L47" i="111"/>
  <c r="K47" i="111"/>
  <c r="J47" i="111"/>
  <c r="I47" i="111"/>
  <c r="H47" i="111"/>
  <c r="G47" i="111"/>
  <c r="F47" i="111"/>
  <c r="D47" i="111"/>
  <c r="R104" i="39"/>
  <c r="S104" i="39"/>
  <c r="T104" i="39"/>
  <c r="R99" i="39"/>
  <c r="S99" i="39"/>
  <c r="T99" i="39"/>
  <c r="R98" i="39"/>
  <c r="S98" i="39"/>
  <c r="T98" i="39"/>
  <c r="R97" i="39"/>
  <c r="S97" i="39"/>
  <c r="T97" i="39"/>
  <c r="R100" i="39" l="1"/>
  <c r="S100" i="39"/>
  <c r="C17" i="108" l="1"/>
  <c r="C20" i="108" s="1"/>
  <c r="C13" i="108"/>
  <c r="C12" i="108"/>
  <c r="C11" i="108"/>
  <c r="M89" i="39"/>
  <c r="N89" i="39"/>
  <c r="O89" i="39"/>
  <c r="P89" i="39"/>
  <c r="Q89" i="39"/>
  <c r="R89" i="39"/>
  <c r="S89" i="39"/>
  <c r="C84" i="39"/>
  <c r="C80" i="16"/>
  <c r="E15" i="39"/>
  <c r="E14" i="39"/>
  <c r="C12" i="110"/>
  <c r="C11" i="110"/>
  <c r="B12" i="108"/>
  <c r="B19" i="108" s="1"/>
  <c r="B11" i="108"/>
  <c r="B18" i="108" s="1"/>
  <c r="B10" i="108"/>
  <c r="B17" i="108" s="1"/>
  <c r="C87" i="16"/>
  <c r="C18" i="108" l="1"/>
  <c r="C19" i="108"/>
  <c r="S31" i="111"/>
  <c r="S49" i="111" s="1"/>
  <c r="R71" i="39"/>
  <c r="R31" i="111"/>
  <c r="R49" i="111" s="1"/>
  <c r="Q71" i="39"/>
  <c r="Q31" i="111"/>
  <c r="Q49" i="111" s="1"/>
  <c r="P71" i="39"/>
  <c r="P31" i="111"/>
  <c r="P49" i="111" s="1"/>
  <c r="O71" i="39"/>
  <c r="N31" i="111"/>
  <c r="N49" i="111" s="1"/>
  <c r="M71" i="39"/>
  <c r="O31" i="111"/>
  <c r="O49" i="111" s="1"/>
  <c r="N71" i="39"/>
  <c r="T31" i="111"/>
  <c r="T49" i="111" s="1"/>
  <c r="S71" i="39"/>
  <c r="F22" i="13"/>
  <c r="H15" i="39" s="1"/>
  <c r="F15" i="113" s="1"/>
  <c r="G22" i="13"/>
  <c r="I15" i="39" s="1"/>
  <c r="G15" i="113" s="1"/>
  <c r="H22" i="13"/>
  <c r="J15" i="39" s="1"/>
  <c r="H15" i="113" s="1"/>
  <c r="I22" i="13"/>
  <c r="K15" i="39" s="1"/>
  <c r="I15" i="113" s="1"/>
  <c r="J22" i="13"/>
  <c r="L15" i="39" s="1"/>
  <c r="J15" i="113" s="1"/>
  <c r="K22" i="13"/>
  <c r="M15" i="39" s="1"/>
  <c r="K15" i="113" s="1"/>
  <c r="L22" i="13"/>
  <c r="N15" i="39" s="1"/>
  <c r="L15" i="113" s="1"/>
  <c r="M22" i="13"/>
  <c r="O15" i="39" s="1"/>
  <c r="M15" i="113" s="1"/>
  <c r="N22" i="13"/>
  <c r="P15" i="39" s="1"/>
  <c r="N15" i="113" s="1"/>
  <c r="O22" i="13"/>
  <c r="Q15" i="39" s="1"/>
  <c r="O15" i="113" s="1"/>
  <c r="P22" i="13"/>
  <c r="R15" i="39" s="1"/>
  <c r="P15" i="113" s="1"/>
  <c r="Q22" i="13"/>
  <c r="S15" i="39" s="1"/>
  <c r="Q15" i="113" s="1"/>
  <c r="R22" i="13"/>
  <c r="T15" i="39" s="1"/>
  <c r="R15" i="113" s="1"/>
  <c r="E22" i="13"/>
  <c r="G15" i="39" s="1"/>
  <c r="E15" i="113" s="1"/>
  <c r="D22" i="13"/>
  <c r="F15" i="39" s="1"/>
  <c r="D15" i="113" s="1"/>
  <c r="E13" i="13"/>
  <c r="F13" i="13"/>
  <c r="G13" i="13"/>
  <c r="H13" i="13"/>
  <c r="I13" i="13"/>
  <c r="J13" i="13"/>
  <c r="K13" i="13"/>
  <c r="L13" i="13"/>
  <c r="M13" i="13"/>
  <c r="N13" i="13"/>
  <c r="O13" i="13"/>
  <c r="P13" i="13"/>
  <c r="Q13" i="13"/>
  <c r="R13" i="13"/>
  <c r="D13" i="13"/>
  <c r="E4" i="13" l="1"/>
  <c r="G11" i="39" s="1"/>
  <c r="G14" i="39" s="1"/>
  <c r="F4" i="13"/>
  <c r="H11" i="39" s="1"/>
  <c r="H14" i="39" s="1"/>
  <c r="G4" i="13"/>
  <c r="I11" i="39" s="1"/>
  <c r="I14" i="39" s="1"/>
  <c r="H4" i="13"/>
  <c r="J11" i="39" s="1"/>
  <c r="J14" i="39" s="1"/>
  <c r="I4" i="13"/>
  <c r="K11" i="39" s="1"/>
  <c r="K14" i="39" s="1"/>
  <c r="J4" i="13"/>
  <c r="L11" i="39" s="1"/>
  <c r="L14" i="39" s="1"/>
  <c r="K4" i="13"/>
  <c r="M11" i="39" s="1"/>
  <c r="M14" i="39" s="1"/>
  <c r="L4" i="13"/>
  <c r="N11" i="39" s="1"/>
  <c r="N14" i="39" s="1"/>
  <c r="M4" i="13"/>
  <c r="O11" i="39" s="1"/>
  <c r="O14" i="39" s="1"/>
  <c r="N4" i="13"/>
  <c r="P11" i="39" s="1"/>
  <c r="P14" i="39" s="1"/>
  <c r="O4" i="13"/>
  <c r="Q11" i="39" s="1"/>
  <c r="Q14" i="39" s="1"/>
  <c r="P4" i="13"/>
  <c r="R11" i="39" s="1"/>
  <c r="R14" i="39" s="1"/>
  <c r="Q4" i="13"/>
  <c r="S11" i="39" s="1"/>
  <c r="S14" i="39" s="1"/>
  <c r="R4" i="13"/>
  <c r="T11" i="39" s="1"/>
  <c r="T14" i="39" s="1"/>
  <c r="D4" i="13"/>
  <c r="F11" i="39" s="1"/>
  <c r="F14" i="39" s="1"/>
  <c r="J9" i="110" l="1"/>
  <c r="J16" i="113"/>
  <c r="J17" i="113" s="1"/>
  <c r="J23" i="113" s="1"/>
  <c r="L9" i="110"/>
  <c r="L16" i="113"/>
  <c r="L17" i="113" s="1"/>
  <c r="L23" i="113" s="1"/>
  <c r="H9" i="110"/>
  <c r="H16" i="113"/>
  <c r="H17" i="113" s="1"/>
  <c r="H23" i="113" s="1"/>
  <c r="K9" i="110"/>
  <c r="K16" i="113"/>
  <c r="K17" i="113" s="1"/>
  <c r="K23" i="113" s="1"/>
  <c r="Q9" i="110"/>
  <c r="Q16" i="113"/>
  <c r="Q17" i="113" s="1"/>
  <c r="Q23" i="113" s="1"/>
  <c r="G9" i="110"/>
  <c r="G16" i="113"/>
  <c r="G17" i="113" s="1"/>
  <c r="G23" i="113" s="1"/>
  <c r="D9" i="110"/>
  <c r="D16" i="113"/>
  <c r="D17" i="113" s="1"/>
  <c r="D23" i="113" s="1"/>
  <c r="I9" i="110"/>
  <c r="I16" i="113"/>
  <c r="I17" i="113" s="1"/>
  <c r="I23" i="113" s="1"/>
  <c r="O9" i="110"/>
  <c r="O16" i="113"/>
  <c r="O17" i="113" s="1"/>
  <c r="O23" i="113" s="1"/>
  <c r="N9" i="110"/>
  <c r="N16" i="113"/>
  <c r="N17" i="113" s="1"/>
  <c r="N23" i="113" s="1"/>
  <c r="F9" i="110"/>
  <c r="F16" i="113"/>
  <c r="F17" i="113" s="1"/>
  <c r="F23" i="113" s="1"/>
  <c r="R9" i="110"/>
  <c r="R16" i="113"/>
  <c r="R17" i="113" s="1"/>
  <c r="R23" i="113" s="1"/>
  <c r="P9" i="110"/>
  <c r="P16" i="113"/>
  <c r="P17" i="113" s="1"/>
  <c r="P23" i="113" s="1"/>
  <c r="M9" i="110"/>
  <c r="M16" i="113"/>
  <c r="M17" i="113" s="1"/>
  <c r="M23" i="113" s="1"/>
  <c r="E9" i="110"/>
  <c r="E16" i="113"/>
  <c r="E17" i="113" s="1"/>
  <c r="E23" i="113" s="1"/>
  <c r="P9" i="13"/>
  <c r="P12" i="13"/>
  <c r="H9" i="13"/>
  <c r="H12" i="13"/>
  <c r="Q9" i="13"/>
  <c r="Q12" i="13"/>
  <c r="O9" i="13"/>
  <c r="O12" i="13"/>
  <c r="G9" i="13"/>
  <c r="G12" i="13"/>
  <c r="N9" i="13"/>
  <c r="N12" i="13"/>
  <c r="F9" i="13"/>
  <c r="F12" i="13"/>
  <c r="I9" i="13"/>
  <c r="I12" i="13"/>
  <c r="M8" i="13"/>
  <c r="M12" i="13"/>
  <c r="E8" i="13"/>
  <c r="E12" i="13"/>
  <c r="L8" i="13"/>
  <c r="L12" i="13"/>
  <c r="D8" i="13"/>
  <c r="D12" i="13"/>
  <c r="K8" i="13"/>
  <c r="K12" i="13"/>
  <c r="R8" i="13"/>
  <c r="R12" i="13"/>
  <c r="J8" i="13"/>
  <c r="J12" i="13"/>
  <c r="I8" i="13"/>
  <c r="Q8" i="13"/>
  <c r="D9" i="13"/>
  <c r="M9" i="13"/>
  <c r="K9" i="13"/>
  <c r="E9" i="13"/>
  <c r="P8" i="13"/>
  <c r="H8" i="13"/>
  <c r="L9" i="13"/>
  <c r="N8" i="13"/>
  <c r="R9" i="13"/>
  <c r="J9" i="13"/>
  <c r="G8" i="13"/>
  <c r="O8" i="13"/>
  <c r="F8" i="13"/>
  <c r="D51" i="39" l="1"/>
  <c r="C51" i="39"/>
  <c r="B8" i="16" l="1"/>
  <c r="B6" i="16"/>
  <c r="T59" i="39" l="1"/>
  <c r="B29" i="16"/>
  <c r="B40" i="16" l="1"/>
  <c r="B43" i="16" s="1"/>
  <c r="B20" i="16"/>
  <c r="D20" i="16" s="1"/>
  <c r="D22" i="16" s="1"/>
  <c r="H4" i="103"/>
  <c r="B41" i="16" l="1"/>
  <c r="E43" i="16"/>
  <c r="B27" i="16"/>
  <c r="B4" i="16"/>
  <c r="B44" i="16"/>
  <c r="B42" i="16"/>
  <c r="C4" i="108" l="1"/>
  <c r="B45" i="16"/>
  <c r="B28" i="16" s="1"/>
  <c r="D18" i="108" l="1"/>
  <c r="E18" i="108" s="1"/>
  <c r="F18" i="108" s="1"/>
  <c r="O11" i="108"/>
  <c r="L11" i="108"/>
  <c r="I11" i="108"/>
  <c r="P11" i="108"/>
  <c r="M11" i="108"/>
  <c r="J11" i="108"/>
  <c r="F11" i="108"/>
  <c r="Q11" i="108"/>
  <c r="G11" i="108"/>
  <c r="R11" i="108"/>
  <c r="K11" i="108"/>
  <c r="N11" i="108"/>
  <c r="H11" i="108"/>
  <c r="D11" i="108"/>
  <c r="E11" i="108"/>
  <c r="B32" i="16"/>
  <c r="B5" i="16"/>
  <c r="M11" i="103"/>
  <c r="N11" i="103"/>
  <c r="O11" i="103"/>
  <c r="P11" i="103"/>
  <c r="Q11" i="103"/>
  <c r="R11" i="103"/>
  <c r="S11" i="103"/>
  <c r="B11" i="16" l="1"/>
  <c r="B34" i="16"/>
  <c r="E34" i="16"/>
  <c r="F34" i="16" s="1"/>
  <c r="D15" i="13"/>
  <c r="E15" i="13" s="1"/>
  <c r="F15" i="13" s="1"/>
  <c r="G15" i="13" s="1"/>
  <c r="H15" i="13" s="1"/>
  <c r="I15" i="13" s="1"/>
  <c r="J15" i="13" s="1"/>
  <c r="K15" i="13" s="1"/>
  <c r="L15" i="13" s="1"/>
  <c r="M15" i="13" s="1"/>
  <c r="N15" i="13" s="1"/>
  <c r="O15" i="13" s="1"/>
  <c r="P15" i="13" s="1"/>
  <c r="Q15" i="13" s="1"/>
  <c r="R15" i="13" s="1"/>
  <c r="C19" i="113"/>
  <c r="C3" i="108"/>
  <c r="B9" i="16"/>
  <c r="G18" i="108"/>
  <c r="H18" i="108" s="1"/>
  <c r="G28" i="99"/>
  <c r="C7" i="13"/>
  <c r="C24" i="13" s="1"/>
  <c r="E34" i="98"/>
  <c r="B34" i="98"/>
  <c r="B11" i="58"/>
  <c r="D44" i="99"/>
  <c r="D45" i="99"/>
  <c r="D46" i="99"/>
  <c r="D47" i="99"/>
  <c r="D48" i="99"/>
  <c r="D43" i="99"/>
  <c r="D39" i="99"/>
  <c r="E39" i="99" s="1"/>
  <c r="F6" i="99"/>
  <c r="B24" i="13" s="1"/>
  <c r="F5" i="99"/>
  <c r="F4" i="99"/>
  <c r="F3" i="99"/>
  <c r="B7" i="13" s="1"/>
  <c r="D35" i="99"/>
  <c r="E35" i="99" s="1"/>
  <c r="F23" i="98"/>
  <c r="F27" i="98"/>
  <c r="G11" i="99"/>
  <c r="G18" i="16" l="1"/>
  <c r="G21" i="113"/>
  <c r="F21" i="113"/>
  <c r="D21" i="113"/>
  <c r="E21" i="113"/>
  <c r="H21" i="113"/>
  <c r="I18" i="108"/>
  <c r="G10" i="108"/>
  <c r="D17" i="108"/>
  <c r="H10" i="108"/>
  <c r="I10" i="108"/>
  <c r="E10" i="108"/>
  <c r="K10" i="108"/>
  <c r="F10" i="108"/>
  <c r="M10" i="108"/>
  <c r="N10" i="108"/>
  <c r="J10" i="108"/>
  <c r="O10" i="108"/>
  <c r="Q10" i="108"/>
  <c r="R10" i="108"/>
  <c r="P10" i="108"/>
  <c r="D10" i="108"/>
  <c r="L10" i="108"/>
  <c r="L24" i="13"/>
  <c r="H24" i="13"/>
  <c r="N24" i="13"/>
  <c r="K24" i="13"/>
  <c r="F24" i="13"/>
  <c r="I24" i="13"/>
  <c r="D24" i="13"/>
  <c r="M24" i="13"/>
  <c r="G24" i="13"/>
  <c r="P24" i="13"/>
  <c r="R24" i="13"/>
  <c r="O24" i="13"/>
  <c r="E24" i="13"/>
  <c r="Q24" i="13"/>
  <c r="J24" i="13"/>
  <c r="N7" i="13"/>
  <c r="R7" i="13"/>
  <c r="J7" i="13"/>
  <c r="G7" i="13"/>
  <c r="M7" i="13"/>
  <c r="K7" i="13"/>
  <c r="Q7" i="13"/>
  <c r="Q11" i="113" s="1"/>
  <c r="Q12" i="113" s="1"/>
  <c r="Q22" i="113" s="1"/>
  <c r="D7" i="13"/>
  <c r="D11" i="113" s="1"/>
  <c r="D12" i="113" s="1"/>
  <c r="H7" i="13"/>
  <c r="E7" i="13"/>
  <c r="E11" i="113" s="1"/>
  <c r="E12" i="113" s="1"/>
  <c r="F7" i="13"/>
  <c r="P7" i="13"/>
  <c r="I7" i="13"/>
  <c r="I11" i="113" s="1"/>
  <c r="I12" i="113" s="1"/>
  <c r="I22" i="113" s="1"/>
  <c r="L7" i="13"/>
  <c r="O7" i="13"/>
  <c r="T12" i="39"/>
  <c r="D49" i="99"/>
  <c r="B17" i="56"/>
  <c r="B66" i="101"/>
  <c r="B67" i="101"/>
  <c r="B68" i="101"/>
  <c r="B69" i="101"/>
  <c r="B70" i="101"/>
  <c r="B65" i="101"/>
  <c r="D6" i="101"/>
  <c r="D5" i="101"/>
  <c r="D4" i="101"/>
  <c r="D3" i="101"/>
  <c r="C60" i="101"/>
  <c r="C61" i="101" s="1"/>
  <c r="C56" i="101"/>
  <c r="C57" i="101" s="1"/>
  <c r="B89" i="101"/>
  <c r="R8" i="110" l="1"/>
  <c r="D22" i="113"/>
  <c r="D24" i="113" s="1"/>
  <c r="D25" i="113" s="1"/>
  <c r="F13" i="39" s="1"/>
  <c r="F12" i="39" s="1"/>
  <c r="E22" i="113"/>
  <c r="R10" i="110"/>
  <c r="R12" i="110" s="1"/>
  <c r="R11" i="113"/>
  <c r="R12" i="113" s="1"/>
  <c r="R22" i="113" s="1"/>
  <c r="F10" i="110"/>
  <c r="F12" i="110" s="1"/>
  <c r="F11" i="113"/>
  <c r="F12" i="113" s="1"/>
  <c r="F22" i="113" s="1"/>
  <c r="H10" i="110"/>
  <c r="H12" i="110" s="1"/>
  <c r="H11" i="113"/>
  <c r="H12" i="113" s="1"/>
  <c r="H22" i="113" s="1"/>
  <c r="N10" i="110"/>
  <c r="N12" i="110" s="1"/>
  <c r="N11" i="113"/>
  <c r="N12" i="113" s="1"/>
  <c r="N22" i="113" s="1"/>
  <c r="O10" i="110"/>
  <c r="O12" i="110" s="1"/>
  <c r="O11" i="113"/>
  <c r="O12" i="113" s="1"/>
  <c r="O22" i="113" s="1"/>
  <c r="L10" i="110"/>
  <c r="L12" i="110" s="1"/>
  <c r="L11" i="113"/>
  <c r="L12" i="113" s="1"/>
  <c r="L22" i="113" s="1"/>
  <c r="K10" i="110"/>
  <c r="K12" i="110" s="1"/>
  <c r="K11" i="113"/>
  <c r="K12" i="113" s="1"/>
  <c r="K22" i="113" s="1"/>
  <c r="J10" i="110"/>
  <c r="J12" i="110" s="1"/>
  <c r="J11" i="113"/>
  <c r="J12" i="113" s="1"/>
  <c r="J22" i="113" s="1"/>
  <c r="M10" i="110"/>
  <c r="M12" i="110" s="1"/>
  <c r="M11" i="113"/>
  <c r="M12" i="113" s="1"/>
  <c r="M22" i="113" s="1"/>
  <c r="P10" i="110"/>
  <c r="P12" i="110" s="1"/>
  <c r="P11" i="113"/>
  <c r="P12" i="113" s="1"/>
  <c r="P22" i="113" s="1"/>
  <c r="G10" i="110"/>
  <c r="G12" i="110" s="1"/>
  <c r="G11" i="113"/>
  <c r="G12" i="113" s="1"/>
  <c r="G22" i="113" s="1"/>
  <c r="I10" i="110"/>
  <c r="I12" i="110" s="1"/>
  <c r="E10" i="110"/>
  <c r="E12" i="110" s="1"/>
  <c r="D10" i="110"/>
  <c r="D12" i="110" s="1"/>
  <c r="Q10" i="110"/>
  <c r="Q12" i="110" s="1"/>
  <c r="D14" i="13"/>
  <c r="E14" i="13" s="1"/>
  <c r="D50" i="99"/>
  <c r="J18" i="108"/>
  <c r="E17" i="108"/>
  <c r="O10" i="13"/>
  <c r="O6" i="13"/>
  <c r="L10" i="13"/>
  <c r="L6" i="13"/>
  <c r="K10" i="13"/>
  <c r="K6" i="13"/>
  <c r="M10" i="13"/>
  <c r="M6" i="13"/>
  <c r="D10" i="13"/>
  <c r="D6" i="13"/>
  <c r="I10" i="13"/>
  <c r="I6" i="13"/>
  <c r="P10" i="13"/>
  <c r="P6" i="13"/>
  <c r="G10" i="13"/>
  <c r="G6" i="13"/>
  <c r="F10" i="13"/>
  <c r="F6" i="13"/>
  <c r="J10" i="13"/>
  <c r="J6" i="13"/>
  <c r="Q10" i="13"/>
  <c r="Q6" i="13"/>
  <c r="E10" i="13"/>
  <c r="E6" i="13"/>
  <c r="R10" i="13"/>
  <c r="R6" i="13"/>
  <c r="H10" i="13"/>
  <c r="H6" i="13"/>
  <c r="N10" i="13"/>
  <c r="N6" i="13"/>
  <c r="S12" i="39"/>
  <c r="B71" i="101"/>
  <c r="Q8" i="110" l="1"/>
  <c r="F14" i="13"/>
  <c r="E24" i="113"/>
  <c r="F24" i="113" s="1"/>
  <c r="I17" i="13"/>
  <c r="Q17" i="13"/>
  <c r="J17" i="13"/>
  <c r="R17" i="13"/>
  <c r="K17" i="13"/>
  <c r="L17" i="13"/>
  <c r="M17" i="13"/>
  <c r="N17" i="13"/>
  <c r="O17" i="13"/>
  <c r="D17" i="13"/>
  <c r="E17" i="13"/>
  <c r="F17" i="13"/>
  <c r="G17" i="13"/>
  <c r="H17" i="13"/>
  <c r="P17" i="13"/>
  <c r="F17" i="108"/>
  <c r="K18" i="108"/>
  <c r="L18" i="108" s="1"/>
  <c r="M18" i="108" s="1"/>
  <c r="E25" i="113" l="1"/>
  <c r="G13" i="39" s="1"/>
  <c r="G12" i="39" s="1"/>
  <c r="G14" i="13"/>
  <c r="F25" i="113"/>
  <c r="H13" i="39" s="1"/>
  <c r="H12" i="39" s="1"/>
  <c r="G24" i="113"/>
  <c r="N18" i="108"/>
  <c r="O18" i="108" s="1"/>
  <c r="G17" i="108"/>
  <c r="H17" i="108" s="1"/>
  <c r="I17" i="108" s="1"/>
  <c r="W40" i="101"/>
  <c r="W41" i="101" s="1"/>
  <c r="V40" i="101"/>
  <c r="V41" i="101" s="1"/>
  <c r="U40" i="101"/>
  <c r="U41" i="101" s="1"/>
  <c r="T40" i="101"/>
  <c r="T41" i="101" s="1"/>
  <c r="D8" i="110"/>
  <c r="C2" i="56"/>
  <c r="D2" i="56"/>
  <c r="E2" i="56"/>
  <c r="F2" i="56"/>
  <c r="G2" i="56"/>
  <c r="H2" i="56"/>
  <c r="I2" i="56"/>
  <c r="J2" i="56"/>
  <c r="K2" i="56"/>
  <c r="B2" i="56"/>
  <c r="E8" i="110" l="1"/>
  <c r="F8" i="110"/>
  <c r="H14" i="13"/>
  <c r="G25" i="113"/>
  <c r="I13" i="39" s="1"/>
  <c r="I12" i="39" s="1"/>
  <c r="H24" i="113"/>
  <c r="P18" i="108"/>
  <c r="J17" i="108"/>
  <c r="F40" i="101"/>
  <c r="F41" i="101" s="1"/>
  <c r="G40" i="101"/>
  <c r="G41" i="101" s="1"/>
  <c r="S40" i="101"/>
  <c r="S41" i="101" s="1"/>
  <c r="E40" i="101"/>
  <c r="E41" i="101" s="1"/>
  <c r="B5" i="56"/>
  <c r="C5" i="56"/>
  <c r="D5" i="56"/>
  <c r="G8" i="110" l="1"/>
  <c r="I14" i="13"/>
  <c r="H40" i="101"/>
  <c r="H41" i="101" s="1"/>
  <c r="E5" i="56"/>
  <c r="B20" i="56" s="1"/>
  <c r="C20" i="56" s="1"/>
  <c r="H25" i="113"/>
  <c r="J13" i="39" s="1"/>
  <c r="J12" i="39" s="1"/>
  <c r="I24" i="113"/>
  <c r="Q18" i="108"/>
  <c r="R18" i="108" s="1"/>
  <c r="K17" i="108"/>
  <c r="R40" i="101"/>
  <c r="R41" i="101" s="1"/>
  <c r="G22" i="98"/>
  <c r="D22" i="98"/>
  <c r="G10" i="98"/>
  <c r="K6" i="98"/>
  <c r="L6" i="98" s="1"/>
  <c r="K3" i="98"/>
  <c r="L3" i="98" s="1"/>
  <c r="H1" i="98"/>
  <c r="H6" i="98"/>
  <c r="H7" i="98"/>
  <c r="I7" i="98"/>
  <c r="F14" i="98"/>
  <c r="F15" i="98"/>
  <c r="E16" i="98"/>
  <c r="F16" i="98" s="1"/>
  <c r="E18" i="98"/>
  <c r="F20" i="56" l="1"/>
  <c r="J14" i="13"/>
  <c r="D20" i="56"/>
  <c r="J24" i="113"/>
  <c r="I25" i="113"/>
  <c r="K13" i="39" s="1"/>
  <c r="K12" i="39" s="1"/>
  <c r="H8" i="110"/>
  <c r="I40" i="101"/>
  <c r="I41" i="101" s="1"/>
  <c r="F5" i="56"/>
  <c r="L17" i="108"/>
  <c r="M17" i="108" s="1"/>
  <c r="N17" i="108" s="1"/>
  <c r="O17" i="108" s="1"/>
  <c r="P17" i="108" s="1"/>
  <c r="Q17" i="108" s="1"/>
  <c r="R17" i="108" s="1"/>
  <c r="H22" i="98"/>
  <c r="I22" i="98" s="1"/>
  <c r="E20" i="56"/>
  <c r="K14" i="13" l="1"/>
  <c r="I8" i="110"/>
  <c r="J40" i="101"/>
  <c r="J41" i="101" s="1"/>
  <c r="G5" i="56"/>
  <c r="K24" i="113"/>
  <c r="J25" i="113"/>
  <c r="L13" i="39" s="1"/>
  <c r="L12" i="39" s="1"/>
  <c r="I23" i="98"/>
  <c r="J22" i="98"/>
  <c r="L14" i="13" l="1"/>
  <c r="J8" i="110"/>
  <c r="H5" i="56"/>
  <c r="K40" i="101"/>
  <c r="K41" i="101" s="1"/>
  <c r="L24" i="113"/>
  <c r="K25" i="113"/>
  <c r="M13" i="39" s="1"/>
  <c r="M12" i="39" s="1"/>
  <c r="M14" i="13" l="1"/>
  <c r="K8" i="110"/>
  <c r="L40" i="101"/>
  <c r="L41" i="101" s="1"/>
  <c r="I5" i="56"/>
  <c r="L25" i="113"/>
  <c r="N13" i="39" s="1"/>
  <c r="N12" i="39" s="1"/>
  <c r="M24" i="113"/>
  <c r="N14" i="13" l="1"/>
  <c r="L8" i="110"/>
  <c r="M40" i="101"/>
  <c r="M41" i="101" s="1"/>
  <c r="J5" i="56"/>
  <c r="N24" i="113"/>
  <c r="M25" i="113"/>
  <c r="O13" i="39" s="1"/>
  <c r="O12" i="39" s="1"/>
  <c r="O14" i="13" l="1"/>
  <c r="M8" i="110"/>
  <c r="N40" i="101"/>
  <c r="N41" i="101" s="1"/>
  <c r="K5" i="56"/>
  <c r="O24" i="113"/>
  <c r="N25" i="113"/>
  <c r="P13" i="39" s="1"/>
  <c r="P12" i="39" s="1"/>
  <c r="B3" i="57"/>
  <c r="P14" i="13" l="1"/>
  <c r="N8" i="110"/>
  <c r="O40" i="101"/>
  <c r="O41" i="101" s="1"/>
  <c r="P24" i="113"/>
  <c r="O25" i="113"/>
  <c r="Q13" i="39" s="1"/>
  <c r="Q12" i="39" s="1"/>
  <c r="B15" i="57"/>
  <c r="Q14" i="13" l="1"/>
  <c r="O8" i="110"/>
  <c r="P40" i="101"/>
  <c r="P41" i="101" s="1"/>
  <c r="P25" i="113"/>
  <c r="R13" i="39" s="1"/>
  <c r="R12" i="39" s="1"/>
  <c r="Q24" i="113"/>
  <c r="D15" i="57"/>
  <c r="E15" i="57"/>
  <c r="F15" i="57"/>
  <c r="C15" i="57"/>
  <c r="R14" i="13" l="1"/>
  <c r="P8" i="110"/>
  <c r="Q40" i="101"/>
  <c r="Q41" i="101" s="1"/>
  <c r="Q25" i="113"/>
  <c r="R24" i="113"/>
  <c r="R25" i="113" s="1"/>
  <c r="B19" i="57" l="1"/>
  <c r="C19" i="57" s="1"/>
  <c r="D19" i="57" s="1"/>
  <c r="E19" i="57" s="1"/>
  <c r="F19" i="57" s="1"/>
  <c r="B78" i="101" l="1"/>
  <c r="B76" i="101" s="1"/>
  <c r="B77" i="101" l="1"/>
  <c r="B85" i="101" s="1"/>
  <c r="D88" i="101" s="1"/>
  <c r="B20" i="57"/>
  <c r="C20" i="57" s="1"/>
  <c r="D20" i="57" s="1"/>
  <c r="E20" i="57" s="1"/>
  <c r="F20" i="57" s="1"/>
  <c r="C88" i="101" l="1"/>
  <c r="J88" i="101"/>
  <c r="C87" i="101"/>
  <c r="F87" i="101"/>
  <c r="E87" i="101"/>
  <c r="C85" i="101"/>
  <c r="G88" i="101"/>
  <c r="H87" i="101"/>
  <c r="B90" i="101"/>
  <c r="B91" i="101" s="1"/>
  <c r="B92" i="101" s="1"/>
  <c r="H88" i="101"/>
  <c r="D87" i="101"/>
  <c r="D89" i="101" s="1"/>
  <c r="I88" i="101"/>
  <c r="J87" i="101"/>
  <c r="G87" i="101"/>
  <c r="E88" i="101"/>
  <c r="I87" i="101"/>
  <c r="F88" i="101"/>
  <c r="C86" i="101" l="1"/>
  <c r="D85" i="101" s="1"/>
  <c r="F89" i="101"/>
  <c r="C89" i="101"/>
  <c r="I89" i="101"/>
  <c r="E89" i="101"/>
  <c r="J89" i="101"/>
  <c r="H89" i="101"/>
  <c r="C90" i="101"/>
  <c r="G89" i="101"/>
  <c r="C91" i="101" l="1"/>
  <c r="C92" i="101" s="1"/>
  <c r="D90" i="101"/>
  <c r="D86" i="101"/>
  <c r="E85" i="101" l="1"/>
  <c r="D91" i="101"/>
  <c r="D92" i="101" s="1"/>
  <c r="E86" i="101" l="1"/>
  <c r="E90" i="101"/>
  <c r="F85" i="101" l="1"/>
  <c r="E91" i="101"/>
  <c r="E92" i="101" s="1"/>
  <c r="B17" i="57"/>
  <c r="C17" i="57" l="1"/>
  <c r="F17" i="57"/>
  <c r="E17" i="57"/>
  <c r="F86" i="101"/>
  <c r="F90" i="101"/>
  <c r="D17" i="57" l="1"/>
  <c r="F91" i="101"/>
  <c r="F92" i="101" s="1"/>
  <c r="G85" i="101"/>
  <c r="G86" i="101" l="1"/>
  <c r="G90" i="101"/>
  <c r="G92" i="101" s="1"/>
  <c r="G91" i="101" l="1"/>
  <c r="H85" i="101"/>
  <c r="H90" i="101" l="1"/>
  <c r="H92" i="101" s="1"/>
  <c r="H86" i="101"/>
  <c r="H91" i="101" l="1"/>
  <c r="I85" i="101"/>
  <c r="I90" i="101" l="1"/>
  <c r="I92" i="101" s="1"/>
  <c r="I86" i="101"/>
  <c r="I91" i="101" l="1"/>
  <c r="J85" i="101"/>
  <c r="J90" i="101" l="1"/>
  <c r="J92" i="101" s="1"/>
  <c r="J86" i="101"/>
  <c r="J91" i="101" s="1"/>
  <c r="W45" i="101" l="1"/>
  <c r="V45" i="101"/>
  <c r="T45" i="101"/>
  <c r="U45" i="101"/>
  <c r="R45" i="101" l="1"/>
  <c r="R46" i="101" s="1"/>
  <c r="S45" i="101"/>
  <c r="S46" i="101" s="1"/>
  <c r="T46" i="101"/>
  <c r="T50" i="101"/>
  <c r="T51" i="101" s="1"/>
  <c r="U46" i="101"/>
  <c r="U50" i="101"/>
  <c r="U51" i="101" s="1"/>
  <c r="V50" i="101"/>
  <c r="V51" i="101" s="1"/>
  <c r="V46" i="101"/>
  <c r="W50" i="101"/>
  <c r="W51" i="101" s="1"/>
  <c r="W46" i="101"/>
  <c r="R50" i="101" l="1"/>
  <c r="R51" i="101" s="1"/>
  <c r="S50" i="101"/>
  <c r="S51" i="101" s="1"/>
  <c r="B18" i="57"/>
  <c r="C18" i="57" l="1"/>
  <c r="B21" i="57"/>
  <c r="B22" i="57" s="1"/>
  <c r="D18" i="57" l="1"/>
  <c r="C21" i="57"/>
  <c r="C22" i="57" s="1"/>
  <c r="E18" i="57" l="1"/>
  <c r="D21" i="57"/>
  <c r="D22" i="57" s="1"/>
  <c r="F18" i="57" l="1"/>
  <c r="F21" i="57" s="1"/>
  <c r="F22" i="57" s="1"/>
  <c r="E21" i="57"/>
  <c r="E22" i="57" s="1"/>
  <c r="D12" i="103" l="1"/>
  <c r="D13" i="103" s="1"/>
  <c r="C7" i="103"/>
  <c r="D11" i="58"/>
  <c r="E11" i="58" l="1"/>
  <c r="I11" i="58"/>
  <c r="J11" i="58"/>
  <c r="H11" i="58"/>
  <c r="E12" i="103"/>
  <c r="C8" i="103"/>
  <c r="F11" i="58"/>
  <c r="C11" i="58"/>
  <c r="G11" i="58"/>
  <c r="B6" i="58" l="1"/>
  <c r="E13" i="103"/>
  <c r="F11" i="103"/>
  <c r="H11" i="103"/>
  <c r="G11" i="103"/>
  <c r="I11" i="103"/>
  <c r="E11" i="103"/>
  <c r="F12" i="103" s="1"/>
  <c r="J11" i="103"/>
  <c r="L11" i="103"/>
  <c r="K11" i="103"/>
  <c r="F13" i="103" l="1"/>
  <c r="G12" i="103"/>
  <c r="C6" i="58"/>
  <c r="B10" i="58"/>
  <c r="B13" i="58" s="1"/>
  <c r="C10" i="58" l="1"/>
  <c r="C13" i="58" s="1"/>
  <c r="G13" i="103"/>
  <c r="H12" i="103"/>
  <c r="H13" i="103" l="1"/>
  <c r="I12" i="103"/>
  <c r="D6" i="58"/>
  <c r="J12" i="103" l="1"/>
  <c r="I13" i="103"/>
  <c r="D10" i="58"/>
  <c r="D13" i="58" s="1"/>
  <c r="E6" i="58" l="1"/>
  <c r="B8" i="57"/>
  <c r="K12" i="103"/>
  <c r="J13" i="103"/>
  <c r="B25" i="57" l="1"/>
  <c r="K13" i="103"/>
  <c r="L12" i="103"/>
  <c r="E10" i="58"/>
  <c r="E13" i="58" s="1"/>
  <c r="F6" i="58" l="1"/>
  <c r="C25" i="57"/>
  <c r="M12" i="103"/>
  <c r="L13" i="103"/>
  <c r="G6" i="58" l="1"/>
  <c r="M13" i="103"/>
  <c r="N12" i="103"/>
  <c r="D25" i="57"/>
  <c r="F10" i="58"/>
  <c r="F13" i="58" s="1"/>
  <c r="E25" i="57" l="1"/>
  <c r="G10" i="58"/>
  <c r="G13" i="58" s="1"/>
  <c r="O12" i="103"/>
  <c r="N13" i="103"/>
  <c r="H6" i="58" l="1"/>
  <c r="O13" i="103"/>
  <c r="P12" i="103"/>
  <c r="F25" i="57"/>
  <c r="H10" i="58" l="1"/>
  <c r="H13" i="58" s="1"/>
  <c r="Q12" i="103"/>
  <c r="P13" i="103"/>
  <c r="Q13" i="103" l="1"/>
  <c r="R12" i="103"/>
  <c r="I6" i="58"/>
  <c r="R13" i="103" l="1"/>
  <c r="S12" i="103"/>
  <c r="S13" i="103" s="1"/>
  <c r="I10" i="58"/>
  <c r="I13" i="58" s="1"/>
  <c r="J6" i="58" l="1"/>
  <c r="J10" i="58" l="1"/>
  <c r="J13" i="58" s="1"/>
  <c r="T10" i="111" l="1"/>
  <c r="T34" i="111" s="1"/>
  <c r="C5" i="108"/>
  <c r="B14" i="56"/>
  <c r="B71" i="16"/>
  <c r="C36" i="39"/>
  <c r="C11" i="16"/>
  <c r="B77" i="16" l="1"/>
  <c r="D5" i="112"/>
  <c r="C5" i="112"/>
  <c r="C7" i="112" s="1"/>
  <c r="C10" i="112" s="1"/>
  <c r="C69" i="39"/>
  <c r="D69" i="39" s="1"/>
  <c r="E12" i="108"/>
  <c r="E13" i="108" s="1"/>
  <c r="J12" i="108"/>
  <c r="J13" i="108" s="1"/>
  <c r="H12" i="108"/>
  <c r="H13" i="108" s="1"/>
  <c r="Q12" i="108"/>
  <c r="Q13" i="108" s="1"/>
  <c r="O12" i="108"/>
  <c r="O13" i="108" s="1"/>
  <c r="N12" i="108"/>
  <c r="N13" i="108" s="1"/>
  <c r="F12" i="108"/>
  <c r="F13" i="108" s="1"/>
  <c r="G12" i="108"/>
  <c r="G13" i="108" s="1"/>
  <c r="D19" i="108"/>
  <c r="D20" i="108" s="1"/>
  <c r="C99" i="39" s="1"/>
  <c r="C6" i="108"/>
  <c r="D12" i="108"/>
  <c r="D13" i="108" s="1"/>
  <c r="F27" i="39" s="1"/>
  <c r="E6" i="112" s="1"/>
  <c r="K12" i="108"/>
  <c r="K13" i="108" s="1"/>
  <c r="I12" i="108"/>
  <c r="I13" i="108" s="1"/>
  <c r="P12" i="108"/>
  <c r="P13" i="108" s="1"/>
  <c r="L12" i="108"/>
  <c r="L13" i="108" s="1"/>
  <c r="M12" i="108"/>
  <c r="M13" i="108" s="1"/>
  <c r="R12" i="108"/>
  <c r="R13" i="108" s="1"/>
  <c r="D85" i="16"/>
  <c r="D86" i="16"/>
  <c r="D84" i="16"/>
  <c r="D83" i="16"/>
  <c r="C38" i="39"/>
  <c r="E19" i="108" l="1"/>
  <c r="E20" i="108" s="1"/>
  <c r="D99" i="39" s="1"/>
  <c r="E5" i="112"/>
  <c r="F5" i="112" s="1"/>
  <c r="G5" i="112" s="1"/>
  <c r="H5" i="112" s="1"/>
  <c r="I5" i="112" s="1"/>
  <c r="J5" i="112" s="1"/>
  <c r="K5" i="112" s="1"/>
  <c r="L5" i="112" s="1"/>
  <c r="M5" i="112" s="1"/>
  <c r="N5" i="112" s="1"/>
  <c r="O5" i="112" s="1"/>
  <c r="P5" i="112" s="1"/>
  <c r="Q5" i="112" s="1"/>
  <c r="R5" i="112" s="1"/>
  <c r="S5" i="112" s="1"/>
  <c r="D7" i="112"/>
  <c r="D10" i="112" s="1"/>
  <c r="G27" i="39"/>
  <c r="F6" i="112" s="1"/>
  <c r="E65" i="39"/>
  <c r="F5" i="111"/>
  <c r="F30" i="111" s="1"/>
  <c r="C98" i="39"/>
  <c r="E83" i="16"/>
  <c r="D87" i="16"/>
  <c r="F19" i="108"/>
  <c r="F20" i="108" s="1"/>
  <c r="E99" i="39" s="1"/>
  <c r="F7" i="112" l="1"/>
  <c r="E7" i="112"/>
  <c r="H27" i="39"/>
  <c r="G6" i="112" s="1"/>
  <c r="G7" i="112" s="1"/>
  <c r="F65" i="39"/>
  <c r="G5" i="111"/>
  <c r="G30" i="111" s="1"/>
  <c r="D98" i="39"/>
  <c r="G19" i="108"/>
  <c r="G20" i="108" s="1"/>
  <c r="F99" i="39" s="1"/>
  <c r="F83" i="16"/>
  <c r="H83" i="16"/>
  <c r="I27" i="39" l="1"/>
  <c r="H6" i="112" s="1"/>
  <c r="H7" i="112" s="1"/>
  <c r="G65" i="39"/>
  <c r="H5" i="111"/>
  <c r="H30" i="111" s="1"/>
  <c r="E98" i="39"/>
  <c r="H19" i="108"/>
  <c r="H20" i="108" s="1"/>
  <c r="G99" i="39" s="1"/>
  <c r="I83" i="16"/>
  <c r="J27" i="39" l="1"/>
  <c r="I6" i="112" s="1"/>
  <c r="I7" i="112" s="1"/>
  <c r="H65" i="39"/>
  <c r="F98" i="39"/>
  <c r="I5" i="111"/>
  <c r="I30" i="111" s="1"/>
  <c r="I19" i="108"/>
  <c r="I20" i="108" s="1"/>
  <c r="H99" i="39" s="1"/>
  <c r="K83" i="16"/>
  <c r="J19" i="108" l="1"/>
  <c r="K19" i="108" s="1"/>
  <c r="K20" i="108" s="1"/>
  <c r="J99" i="39" s="1"/>
  <c r="K27" i="39"/>
  <c r="J6" i="112" s="1"/>
  <c r="J7" i="112" s="1"/>
  <c r="I65" i="39"/>
  <c r="G98" i="39"/>
  <c r="J5" i="111"/>
  <c r="J30" i="111" s="1"/>
  <c r="L19" i="108" l="1"/>
  <c r="L20" i="108" s="1"/>
  <c r="K99" i="39" s="1"/>
  <c r="J20" i="108"/>
  <c r="I99" i="39" s="1"/>
  <c r="L27" i="39"/>
  <c r="K6" i="112" s="1"/>
  <c r="K7" i="112" s="1"/>
  <c r="J65" i="39"/>
  <c r="H98" i="39"/>
  <c r="K5" i="111"/>
  <c r="K30" i="111" s="1"/>
  <c r="M19" i="108" l="1"/>
  <c r="M20" i="108" s="1"/>
  <c r="L99" i="39" s="1"/>
  <c r="M27" i="39"/>
  <c r="L6" i="112" s="1"/>
  <c r="L7" i="112" s="1"/>
  <c r="K65" i="39"/>
  <c r="L5" i="111"/>
  <c r="L30" i="111" s="1"/>
  <c r="I98" i="39"/>
  <c r="N19" i="108" l="1"/>
  <c r="N20" i="108" s="1"/>
  <c r="M99" i="39" s="1"/>
  <c r="N27" i="39"/>
  <c r="M6" i="112" s="1"/>
  <c r="M7" i="112" s="1"/>
  <c r="L65" i="39"/>
  <c r="M5" i="111"/>
  <c r="M30" i="111" s="1"/>
  <c r="J98" i="39"/>
  <c r="O19" i="108" l="1"/>
  <c r="O20" i="108" s="1"/>
  <c r="N99" i="39" s="1"/>
  <c r="O27" i="39"/>
  <c r="N6" i="112" s="1"/>
  <c r="N7" i="112" s="1"/>
  <c r="M65" i="39"/>
  <c r="N5" i="111"/>
  <c r="N30" i="111" s="1"/>
  <c r="K98" i="39"/>
  <c r="P19" i="108" l="1"/>
  <c r="P20" i="108" s="1"/>
  <c r="O99" i="39" s="1"/>
  <c r="P27" i="39"/>
  <c r="O6" i="112" s="1"/>
  <c r="O7" i="112" s="1"/>
  <c r="N65" i="39"/>
  <c r="L98" i="39"/>
  <c r="O5" i="111"/>
  <c r="O30" i="111" s="1"/>
  <c r="Q19" i="108" l="1"/>
  <c r="R19" i="108" s="1"/>
  <c r="R20" i="108" s="1"/>
  <c r="Q99" i="39" s="1"/>
  <c r="Q27" i="39"/>
  <c r="P6" i="112" s="1"/>
  <c r="P7" i="112" s="1"/>
  <c r="O65" i="39"/>
  <c r="P5" i="111"/>
  <c r="P30" i="111" s="1"/>
  <c r="M98" i="39"/>
  <c r="J23" i="13"/>
  <c r="I23" i="13"/>
  <c r="R23" i="13"/>
  <c r="N23" i="13"/>
  <c r="K23" i="13"/>
  <c r="Q23" i="13"/>
  <c r="F23" i="13"/>
  <c r="E23" i="13"/>
  <c r="H23" i="13"/>
  <c r="G23" i="13"/>
  <c r="L23" i="13"/>
  <c r="M23" i="13"/>
  <c r="P23" i="13"/>
  <c r="O23" i="13"/>
  <c r="D23" i="13"/>
  <c r="D25" i="13" s="1"/>
  <c r="D75" i="39"/>
  <c r="C75" i="39"/>
  <c r="Q20" i="108" l="1"/>
  <c r="P99" i="39" s="1"/>
  <c r="L18" i="39"/>
  <c r="H7" i="56" s="1"/>
  <c r="J25" i="13"/>
  <c r="H18" i="39"/>
  <c r="F25" i="13"/>
  <c r="J18" i="39"/>
  <c r="F7" i="56" s="1"/>
  <c r="H25" i="13"/>
  <c r="S18" i="39"/>
  <c r="Q25" i="13"/>
  <c r="M18" i="39"/>
  <c r="K25" i="13"/>
  <c r="G18" i="39"/>
  <c r="E25" i="13"/>
  <c r="R18" i="39"/>
  <c r="P25" i="13"/>
  <c r="P18" i="39"/>
  <c r="N25" i="13"/>
  <c r="O18" i="39"/>
  <c r="M25" i="13"/>
  <c r="T18" i="39"/>
  <c r="R25" i="13"/>
  <c r="Q18" i="39"/>
  <c r="O25" i="13"/>
  <c r="N18" i="39"/>
  <c r="L25" i="13"/>
  <c r="I18" i="39"/>
  <c r="E7" i="56" s="1"/>
  <c r="G25" i="13"/>
  <c r="K18" i="39"/>
  <c r="I25" i="13"/>
  <c r="R27" i="39"/>
  <c r="Q6" i="112" s="1"/>
  <c r="Q7" i="112" s="1"/>
  <c r="P65" i="39"/>
  <c r="N98" i="39"/>
  <c r="Q5" i="111"/>
  <c r="Q30" i="111" s="1"/>
  <c r="F18" i="39"/>
  <c r="I7" i="56" l="1"/>
  <c r="K7" i="56"/>
  <c r="G7" i="56"/>
  <c r="B4" i="57"/>
  <c r="B5" i="57" s="1"/>
  <c r="D7" i="56"/>
  <c r="C7" i="56"/>
  <c r="J7" i="56"/>
  <c r="S27" i="39"/>
  <c r="R6" i="112" s="1"/>
  <c r="R7" i="112" s="1"/>
  <c r="Q65" i="39"/>
  <c r="O98" i="39"/>
  <c r="R5" i="111"/>
  <c r="R30" i="111" s="1"/>
  <c r="F22" i="56"/>
  <c r="C22" i="56"/>
  <c r="B22" i="56"/>
  <c r="B7" i="56"/>
  <c r="T27" i="39" l="1"/>
  <c r="S6" i="112" s="1"/>
  <c r="S7" i="112" s="1"/>
  <c r="R65" i="39"/>
  <c r="P98" i="39"/>
  <c r="S5" i="111"/>
  <c r="S30" i="111" s="1"/>
  <c r="E22" i="56"/>
  <c r="D22" i="56"/>
  <c r="S65" i="39" l="1"/>
  <c r="Q98" i="39"/>
  <c r="T5" i="111"/>
  <c r="T30" i="111" s="1"/>
  <c r="T100" i="39" l="1"/>
  <c r="V21" i="111" l="1"/>
  <c r="C14" i="112" l="1"/>
  <c r="E14" i="112" s="1"/>
  <c r="G83" i="16"/>
  <c r="E84" i="16" s="1"/>
  <c r="H84" i="16" s="1"/>
  <c r="C63" i="39" s="1"/>
  <c r="C64" i="39"/>
  <c r="C22" i="111"/>
  <c r="D36" i="111" s="1"/>
  <c r="D14" i="112" l="1"/>
  <c r="E40" i="111"/>
  <c r="C16" i="112"/>
  <c r="C18" i="112" s="1"/>
  <c r="C20" i="112" s="1"/>
  <c r="C66" i="39"/>
  <c r="F14" i="112"/>
  <c r="I84" i="16"/>
  <c r="F84" i="16"/>
  <c r="G84" i="16" s="1"/>
  <c r="E85" i="16" s="1"/>
  <c r="C76" i="39" l="1"/>
  <c r="K84" i="16"/>
  <c r="H85" i="16"/>
  <c r="F85" i="16"/>
  <c r="G85" i="16" s="1"/>
  <c r="E86" i="16" s="1"/>
  <c r="E87" i="16" s="1"/>
  <c r="G14" i="112"/>
  <c r="H14" i="112" l="1"/>
  <c r="H86" i="16"/>
  <c r="D63" i="39" s="1"/>
  <c r="F86" i="16"/>
  <c r="I85" i="16"/>
  <c r="D16" i="112" l="1"/>
  <c r="D18" i="112" s="1"/>
  <c r="D20" i="112" s="1"/>
  <c r="D66" i="39"/>
  <c r="D76" i="39" s="1"/>
  <c r="H87" i="16"/>
  <c r="G86" i="16"/>
  <c r="F87" i="16"/>
  <c r="G87" i="16" s="1"/>
  <c r="I86" i="16"/>
  <c r="I14" i="112"/>
  <c r="K85" i="16"/>
  <c r="J14" i="112" l="1"/>
  <c r="I87" i="16"/>
  <c r="K86" i="16"/>
  <c r="K87" i="16" s="1"/>
  <c r="B72" i="16" l="1"/>
  <c r="B13" i="16"/>
  <c r="K14" i="112"/>
  <c r="B73" i="16" l="1"/>
  <c r="D11" i="111" s="1"/>
  <c r="D12" i="111" s="1"/>
  <c r="B76" i="16"/>
  <c r="L14" i="112"/>
  <c r="C37" i="39"/>
  <c r="C39" i="39" s="1"/>
  <c r="B14" i="16"/>
  <c r="E11" i="111" l="1"/>
  <c r="E12" i="111" s="1"/>
  <c r="E13" i="111" s="1"/>
  <c r="E16" i="111" s="1"/>
  <c r="B78" i="16"/>
  <c r="J83" i="16"/>
  <c r="C23" i="111"/>
  <c r="C85" i="39"/>
  <c r="J84" i="16"/>
  <c r="J85" i="16"/>
  <c r="J86" i="16"/>
  <c r="J87" i="16" s="1"/>
  <c r="E8" i="39"/>
  <c r="I16" i="13"/>
  <c r="I11" i="13" s="1"/>
  <c r="Q16" i="13"/>
  <c r="Q11" i="13" s="1"/>
  <c r="J16" i="13"/>
  <c r="J11" i="13" s="1"/>
  <c r="R16" i="13"/>
  <c r="R11" i="13" s="1"/>
  <c r="K16" i="13"/>
  <c r="K11" i="13" s="1"/>
  <c r="D16" i="13"/>
  <c r="D11" i="13" s="1"/>
  <c r="L16" i="13"/>
  <c r="L11" i="13" s="1"/>
  <c r="E16" i="13"/>
  <c r="E11" i="13" s="1"/>
  <c r="M16" i="13"/>
  <c r="M11" i="13" s="1"/>
  <c r="F16" i="13"/>
  <c r="F11" i="13" s="1"/>
  <c r="N16" i="13"/>
  <c r="N11" i="13" s="1"/>
  <c r="G16" i="13"/>
  <c r="G11" i="13" s="1"/>
  <c r="O16" i="13"/>
  <c r="O11" i="13" s="1"/>
  <c r="H16" i="13"/>
  <c r="H11" i="13" s="1"/>
  <c r="P16" i="13"/>
  <c r="P11" i="13" s="1"/>
  <c r="D42" i="39"/>
  <c r="D43" i="39"/>
  <c r="M14" i="112"/>
  <c r="C86" i="39" l="1"/>
  <c r="E90" i="39"/>
  <c r="D24" i="111"/>
  <c r="C24" i="111"/>
  <c r="T19" i="39"/>
  <c r="R11" i="110"/>
  <c r="R13" i="110" s="1"/>
  <c r="R18" i="13"/>
  <c r="L19" i="39"/>
  <c r="J11" i="110"/>
  <c r="J13" i="110" s="1"/>
  <c r="J18" i="13"/>
  <c r="M19" i="39"/>
  <c r="K18" i="13"/>
  <c r="K11" i="110"/>
  <c r="K13" i="110" s="1"/>
  <c r="S19" i="39"/>
  <c r="Q18" i="13"/>
  <c r="Q11" i="110"/>
  <c r="Q13" i="110" s="1"/>
  <c r="K19" i="39"/>
  <c r="I18" i="13"/>
  <c r="I11" i="110"/>
  <c r="I13" i="110" s="1"/>
  <c r="I19" i="39"/>
  <c r="G18" i="13"/>
  <c r="G11" i="110"/>
  <c r="G13" i="110" s="1"/>
  <c r="P19" i="39"/>
  <c r="N18" i="13"/>
  <c r="N11" i="110"/>
  <c r="N13" i="110" s="1"/>
  <c r="G19" i="39"/>
  <c r="E18" i="13"/>
  <c r="E11" i="110"/>
  <c r="E13" i="110" s="1"/>
  <c r="C8" i="39"/>
  <c r="D8" i="39"/>
  <c r="E9" i="39"/>
  <c r="E25" i="56"/>
  <c r="F25" i="56"/>
  <c r="D25" i="56"/>
  <c r="D44" i="39"/>
  <c r="O19" i="39"/>
  <c r="M18" i="13"/>
  <c r="M11" i="110"/>
  <c r="M13" i="110" s="1"/>
  <c r="N19" i="39"/>
  <c r="L18" i="13"/>
  <c r="L11" i="110"/>
  <c r="L13" i="110" s="1"/>
  <c r="Q19" i="39"/>
  <c r="O18" i="13"/>
  <c r="O11" i="110"/>
  <c r="O13" i="110" s="1"/>
  <c r="N14" i="112"/>
  <c r="H19" i="39"/>
  <c r="F18" i="13"/>
  <c r="F11" i="110"/>
  <c r="F13" i="110" s="1"/>
  <c r="R19" i="39"/>
  <c r="P18" i="13"/>
  <c r="P11" i="110"/>
  <c r="P13" i="110" s="1"/>
  <c r="J19" i="39"/>
  <c r="H18" i="13"/>
  <c r="H11" i="110"/>
  <c r="H13" i="110" s="1"/>
  <c r="F19" i="39"/>
  <c r="D18" i="13"/>
  <c r="D32" i="13" s="1"/>
  <c r="D33" i="13" s="1"/>
  <c r="D11" i="110"/>
  <c r="D13" i="110" s="1"/>
  <c r="D26" i="13" l="1"/>
  <c r="D27" i="13" s="1"/>
  <c r="D28" i="13" s="1"/>
  <c r="D29" i="13"/>
  <c r="D30" i="13" s="1"/>
  <c r="D31" i="13" s="1"/>
  <c r="E16" i="112"/>
  <c r="E91" i="39"/>
  <c r="I89" i="39"/>
  <c r="L89" i="39"/>
  <c r="G89" i="39"/>
  <c r="K89" i="39"/>
  <c r="E89" i="39"/>
  <c r="H89" i="39"/>
  <c r="J89" i="39"/>
  <c r="F89" i="39"/>
  <c r="R20" i="39"/>
  <c r="O14" i="112"/>
  <c r="G20" i="39"/>
  <c r="C8" i="56"/>
  <c r="C6" i="56" s="1"/>
  <c r="C9" i="56" s="1"/>
  <c r="I20" i="39"/>
  <c r="B7" i="57"/>
  <c r="E8" i="56"/>
  <c r="M20" i="39"/>
  <c r="I8" i="56"/>
  <c r="I6" i="56" s="1"/>
  <c r="I9" i="56" s="1"/>
  <c r="N8" i="112"/>
  <c r="N70" i="39"/>
  <c r="M18" i="110"/>
  <c r="M16" i="110"/>
  <c r="K8" i="112"/>
  <c r="K70" i="39"/>
  <c r="J18" i="110"/>
  <c r="J16" i="110"/>
  <c r="E8" i="112"/>
  <c r="E70" i="39"/>
  <c r="D16" i="110"/>
  <c r="D17" i="110" s="1"/>
  <c r="F7" i="111" s="1"/>
  <c r="D18" i="110"/>
  <c r="O8" i="112"/>
  <c r="O70" i="39"/>
  <c r="N18" i="110"/>
  <c r="N16" i="110"/>
  <c r="K20" i="39"/>
  <c r="G8" i="56"/>
  <c r="G6" i="56" s="1"/>
  <c r="G9" i="56" s="1"/>
  <c r="L20" i="39"/>
  <c r="H8" i="56"/>
  <c r="H6" i="56" s="1"/>
  <c r="H9" i="56" s="1"/>
  <c r="J8" i="112"/>
  <c r="J70" i="39"/>
  <c r="I18" i="110"/>
  <c r="I16" i="110"/>
  <c r="F20" i="39"/>
  <c r="B8" i="56"/>
  <c r="B6" i="56" s="1"/>
  <c r="B9" i="56" s="1"/>
  <c r="G8" i="112"/>
  <c r="G70" i="39"/>
  <c r="F18" i="110"/>
  <c r="F16" i="110"/>
  <c r="O20" i="39"/>
  <c r="K8" i="56"/>
  <c r="K6" i="56" s="1"/>
  <c r="K9" i="56" s="1"/>
  <c r="D9" i="39"/>
  <c r="R8" i="112"/>
  <c r="R70" i="39"/>
  <c r="Q16" i="110"/>
  <c r="Q18" i="110"/>
  <c r="C9" i="39"/>
  <c r="P20" i="39"/>
  <c r="S8" i="112"/>
  <c r="S70" i="39"/>
  <c r="T70" i="39"/>
  <c r="T75" i="39" s="1"/>
  <c r="T76" i="39" s="1"/>
  <c r="R18" i="110"/>
  <c r="R16" i="110"/>
  <c r="P8" i="112"/>
  <c r="P70" i="39"/>
  <c r="O16" i="110"/>
  <c r="O18" i="110"/>
  <c r="Q20" i="39"/>
  <c r="J20" i="39"/>
  <c r="F8" i="56"/>
  <c r="F6" i="56" s="1"/>
  <c r="F9" i="56" s="1"/>
  <c r="H20" i="39"/>
  <c r="D8" i="56"/>
  <c r="D6" i="56" s="1"/>
  <c r="D9" i="56" s="1"/>
  <c r="F8" i="112"/>
  <c r="F70" i="39"/>
  <c r="E18" i="110"/>
  <c r="E16" i="110"/>
  <c r="H8" i="112"/>
  <c r="H70" i="39"/>
  <c r="G18" i="110"/>
  <c r="G16" i="110"/>
  <c r="S20" i="39"/>
  <c r="L8" i="112"/>
  <c r="L70" i="39"/>
  <c r="K16" i="110"/>
  <c r="K18" i="110"/>
  <c r="T20" i="39"/>
  <c r="N20" i="39"/>
  <c r="J8" i="56"/>
  <c r="J6" i="56" s="1"/>
  <c r="J9" i="56" s="1"/>
  <c r="I8" i="112"/>
  <c r="I70" i="39"/>
  <c r="H18" i="110"/>
  <c r="H16" i="110"/>
  <c r="Q8" i="112"/>
  <c r="Q70" i="39"/>
  <c r="P18" i="110"/>
  <c r="P16" i="110"/>
  <c r="M8" i="112"/>
  <c r="M70" i="39"/>
  <c r="L16" i="110"/>
  <c r="L18" i="110"/>
  <c r="E26" i="13" l="1"/>
  <c r="E17" i="110"/>
  <c r="G7" i="111" s="1"/>
  <c r="H31" i="111"/>
  <c r="H49" i="111" s="1"/>
  <c r="G71" i="39"/>
  <c r="F31" i="111"/>
  <c r="F49" i="111" s="1"/>
  <c r="E71" i="39"/>
  <c r="L71" i="39"/>
  <c r="M31" i="111"/>
  <c r="M49" i="111" s="1"/>
  <c r="K71" i="39"/>
  <c r="L31" i="111"/>
  <c r="L49" i="111" s="1"/>
  <c r="I71" i="39"/>
  <c r="J31" i="111"/>
  <c r="J49" i="111" s="1"/>
  <c r="G31" i="111"/>
  <c r="G49" i="111" s="1"/>
  <c r="F71" i="39"/>
  <c r="F90" i="39"/>
  <c r="J71" i="39"/>
  <c r="K31" i="111"/>
  <c r="K49" i="111" s="1"/>
  <c r="F26" i="39"/>
  <c r="C14" i="56"/>
  <c r="H71" i="39"/>
  <c r="I31" i="111"/>
  <c r="I49" i="111" s="1"/>
  <c r="O17" i="110"/>
  <c r="Q7" i="111" s="1"/>
  <c r="L17" i="110"/>
  <c r="N7" i="111" s="1"/>
  <c r="K17" i="110"/>
  <c r="M7" i="111" s="1"/>
  <c r="G17" i="110"/>
  <c r="I7" i="111" s="1"/>
  <c r="R17" i="110"/>
  <c r="T7" i="111" s="1"/>
  <c r="P17" i="110"/>
  <c r="R7" i="111" s="1"/>
  <c r="F17" i="112"/>
  <c r="E19" i="110"/>
  <c r="G25" i="39" s="1"/>
  <c r="F73" i="39" s="1"/>
  <c r="E20" i="110"/>
  <c r="F62" i="39" s="1"/>
  <c r="P22" i="39"/>
  <c r="O45" i="101"/>
  <c r="G22" i="39"/>
  <c r="F45" i="101"/>
  <c r="Q17" i="112"/>
  <c r="P20" i="110"/>
  <c r="Q62" i="39" s="1"/>
  <c r="P19" i="110"/>
  <c r="R25" i="39" s="1"/>
  <c r="Q73" i="39" s="1"/>
  <c r="N22" i="39"/>
  <c r="M45" i="101"/>
  <c r="S22" i="39"/>
  <c r="J22" i="39"/>
  <c r="I45" i="101"/>
  <c r="S17" i="112"/>
  <c r="T9" i="111"/>
  <c r="T33" i="111" s="1"/>
  <c r="R20" i="110"/>
  <c r="S62" i="39" s="1"/>
  <c r="R19" i="110"/>
  <c r="T25" i="39" s="1"/>
  <c r="S73" i="39" s="1"/>
  <c r="L22" i="39"/>
  <c r="K45" i="101"/>
  <c r="E17" i="112"/>
  <c r="D19" i="110"/>
  <c r="F25" i="39" s="1"/>
  <c r="E73" i="39" s="1"/>
  <c r="D20" i="110"/>
  <c r="E62" i="39" s="1"/>
  <c r="M17" i="110"/>
  <c r="O7" i="111" s="1"/>
  <c r="M22" i="39"/>
  <c r="L45" i="101"/>
  <c r="P14" i="112"/>
  <c r="F22" i="39"/>
  <c r="E45" i="101"/>
  <c r="N17" i="112"/>
  <c r="M20" i="110"/>
  <c r="N62" i="39" s="1"/>
  <c r="M19" i="110"/>
  <c r="O25" i="39" s="1"/>
  <c r="N73" i="39" s="1"/>
  <c r="E6" i="56"/>
  <c r="E9" i="56" s="1"/>
  <c r="E23" i="56"/>
  <c r="E21" i="56" s="1"/>
  <c r="E24" i="56" s="1"/>
  <c r="E26" i="56" s="1"/>
  <c r="B23" i="56"/>
  <c r="B21" i="56" s="1"/>
  <c r="C23" i="56"/>
  <c r="C21" i="56" s="1"/>
  <c r="C24" i="56" s="1"/>
  <c r="D23" i="56"/>
  <c r="D21" i="56" s="1"/>
  <c r="D24" i="56" s="1"/>
  <c r="D26" i="56" s="1"/>
  <c r="F23" i="56"/>
  <c r="H17" i="110"/>
  <c r="J7" i="111" s="1"/>
  <c r="T22" i="39"/>
  <c r="H17" i="112"/>
  <c r="G20" i="110"/>
  <c r="H62" i="39" s="1"/>
  <c r="G19" i="110"/>
  <c r="I25" i="39" s="1"/>
  <c r="H73" i="39" s="1"/>
  <c r="Q22" i="39"/>
  <c r="P45" i="101"/>
  <c r="R17" i="112"/>
  <c r="Q20" i="110"/>
  <c r="R62" i="39" s="1"/>
  <c r="Q19" i="110"/>
  <c r="S25" i="39" s="1"/>
  <c r="R73" i="39" s="1"/>
  <c r="O22" i="39"/>
  <c r="N45" i="101"/>
  <c r="I17" i="110"/>
  <c r="K7" i="111" s="1"/>
  <c r="M17" i="112"/>
  <c r="L19" i="110"/>
  <c r="N25" i="39" s="1"/>
  <c r="M73" i="39" s="1"/>
  <c r="L20" i="110"/>
  <c r="M62" i="39" s="1"/>
  <c r="I17" i="112"/>
  <c r="H20" i="110"/>
  <c r="I62" i="39" s="1"/>
  <c r="H19" i="110"/>
  <c r="J25" i="39" s="1"/>
  <c r="I73" i="39" s="1"/>
  <c r="L17" i="112"/>
  <c r="K20" i="110"/>
  <c r="L62" i="39" s="1"/>
  <c r="K19" i="110"/>
  <c r="M25" i="39" s="1"/>
  <c r="L73" i="39" s="1"/>
  <c r="P17" i="112"/>
  <c r="O20" i="110"/>
  <c r="P62" i="39" s="1"/>
  <c r="O19" i="110"/>
  <c r="Q25" i="39" s="1"/>
  <c r="P73" i="39" s="1"/>
  <c r="Q17" i="110"/>
  <c r="S7" i="111" s="1"/>
  <c r="C14" i="16"/>
  <c r="F17" i="110"/>
  <c r="H7" i="111" s="1"/>
  <c r="J17" i="112"/>
  <c r="I20" i="110"/>
  <c r="J62" i="39" s="1"/>
  <c r="I19" i="110"/>
  <c r="K25" i="39" s="1"/>
  <c r="J73" i="39" s="1"/>
  <c r="K22" i="39"/>
  <c r="J45" i="101"/>
  <c r="B24" i="57"/>
  <c r="R22" i="39"/>
  <c r="Q45" i="101"/>
  <c r="H22" i="39"/>
  <c r="E18" i="39"/>
  <c r="G45" i="101"/>
  <c r="G17" i="112"/>
  <c r="F19" i="110"/>
  <c r="H25" i="39" s="1"/>
  <c r="G73" i="39" s="1"/>
  <c r="F20" i="110"/>
  <c r="G62" i="39" s="1"/>
  <c r="N17" i="110"/>
  <c r="P7" i="111" s="1"/>
  <c r="J17" i="110"/>
  <c r="L7" i="111" s="1"/>
  <c r="I22" i="39"/>
  <c r="H45" i="101"/>
  <c r="E19" i="39"/>
  <c r="O17" i="112"/>
  <c r="N19" i="110"/>
  <c r="P25" i="39" s="1"/>
  <c r="O73" i="39" s="1"/>
  <c r="N20" i="110"/>
  <c r="O62" i="39" s="1"/>
  <c r="K17" i="112"/>
  <c r="J19" i="110"/>
  <c r="L25" i="39" s="1"/>
  <c r="K73" i="39" s="1"/>
  <c r="J20" i="110"/>
  <c r="K62" i="39" s="1"/>
  <c r="E72" i="39" l="1"/>
  <c r="F6" i="111"/>
  <c r="F48" i="111" s="1"/>
  <c r="F50" i="111" s="1"/>
  <c r="F16" i="112"/>
  <c r="G90" i="39"/>
  <c r="F91" i="39"/>
  <c r="T8" i="111"/>
  <c r="T32" i="111" s="1"/>
  <c r="F24" i="39"/>
  <c r="N24" i="39"/>
  <c r="R24" i="39"/>
  <c r="I24" i="39"/>
  <c r="N50" i="101"/>
  <c r="N51" i="101" s="1"/>
  <c r="N46" i="101"/>
  <c r="K46" i="101"/>
  <c r="K50" i="101"/>
  <c r="K51" i="101" s="1"/>
  <c r="O24" i="39"/>
  <c r="K24" i="39"/>
  <c r="D27" i="56"/>
  <c r="D28" i="56" s="1"/>
  <c r="M24" i="39"/>
  <c r="S24" i="39"/>
  <c r="I46" i="101"/>
  <c r="I50" i="101"/>
  <c r="I51" i="101" s="1"/>
  <c r="F50" i="101"/>
  <c r="F51" i="101" s="1"/>
  <c r="F46" i="101"/>
  <c r="C24" i="57"/>
  <c r="H24" i="39"/>
  <c r="P50" i="101"/>
  <c r="P51" i="101" s="1"/>
  <c r="P46" i="101"/>
  <c r="T24" i="39"/>
  <c r="P24" i="39"/>
  <c r="H50" i="101"/>
  <c r="H51" i="101" s="1"/>
  <c r="H46" i="101"/>
  <c r="G46" i="101"/>
  <c r="G50" i="101"/>
  <c r="G51" i="101" s="1"/>
  <c r="J46" i="101"/>
  <c r="J50" i="101"/>
  <c r="J51" i="101" s="1"/>
  <c r="B24" i="56"/>
  <c r="F21" i="56"/>
  <c r="F24" i="56" s="1"/>
  <c r="F26" i="56" s="1"/>
  <c r="E50" i="101"/>
  <c r="E51" i="101" s="1"/>
  <c r="E46" i="101"/>
  <c r="Q14" i="112"/>
  <c r="J24" i="39"/>
  <c r="M50" i="101"/>
  <c r="M51" i="101" s="1"/>
  <c r="M46" i="101"/>
  <c r="G24" i="39"/>
  <c r="B10" i="56"/>
  <c r="B11" i="56" s="1"/>
  <c r="L24" i="39"/>
  <c r="Q46" i="101"/>
  <c r="Q50" i="101"/>
  <c r="Q51" i="101" s="1"/>
  <c r="Q24" i="39"/>
  <c r="E27" i="56"/>
  <c r="E28" i="56" s="1"/>
  <c r="L50" i="101"/>
  <c r="L51" i="101" s="1"/>
  <c r="L46" i="101"/>
  <c r="O50" i="101"/>
  <c r="O51" i="101" s="1"/>
  <c r="O46" i="101"/>
  <c r="D14" i="56" l="1"/>
  <c r="G26" i="39"/>
  <c r="G16" i="112"/>
  <c r="H90" i="39"/>
  <c r="G91" i="39"/>
  <c r="L32" i="39"/>
  <c r="I97" i="39"/>
  <c r="I100" i="39" s="1"/>
  <c r="K61" i="39"/>
  <c r="K66" i="39" s="1"/>
  <c r="J61" i="39"/>
  <c r="J66" i="39" s="1"/>
  <c r="H97" i="39"/>
  <c r="H100" i="39" s="1"/>
  <c r="K32" i="39"/>
  <c r="H61" i="39"/>
  <c r="H66" i="39" s="1"/>
  <c r="I32" i="39"/>
  <c r="F97" i="39"/>
  <c r="F100" i="39" s="1"/>
  <c r="Q61" i="39"/>
  <c r="Q66" i="39" s="1"/>
  <c r="O97" i="39"/>
  <c r="O100" i="39" s="1"/>
  <c r="R32" i="39"/>
  <c r="R14" i="112"/>
  <c r="P61" i="39"/>
  <c r="P66" i="39" s="1"/>
  <c r="Q32" i="39"/>
  <c r="N97" i="39"/>
  <c r="N100" i="39" s="1"/>
  <c r="O61" i="39"/>
  <c r="O66" i="39" s="1"/>
  <c r="M97" i="39"/>
  <c r="M100" i="39" s="1"/>
  <c r="P32" i="39"/>
  <c r="L61" i="39"/>
  <c r="L66" i="39" s="1"/>
  <c r="J97" i="39"/>
  <c r="J100" i="39" s="1"/>
  <c r="M32" i="39"/>
  <c r="R61" i="39"/>
  <c r="R66" i="39" s="1"/>
  <c r="P97" i="39"/>
  <c r="P100" i="39" s="1"/>
  <c r="S32" i="39"/>
  <c r="N61" i="39"/>
  <c r="N66" i="39" s="1"/>
  <c r="L97" i="39"/>
  <c r="L100" i="39" s="1"/>
  <c r="O32" i="39"/>
  <c r="D24" i="57"/>
  <c r="B12" i="56"/>
  <c r="B13" i="56" s="1"/>
  <c r="I61" i="39"/>
  <c r="I66" i="39" s="1"/>
  <c r="G97" i="39"/>
  <c r="G100" i="39" s="1"/>
  <c r="J32" i="39"/>
  <c r="F27" i="56"/>
  <c r="F28" i="56" s="1"/>
  <c r="T32" i="39"/>
  <c r="Q97" i="39"/>
  <c r="Q100" i="39" s="1"/>
  <c r="S61" i="39"/>
  <c r="S66" i="39" s="1"/>
  <c r="G61" i="39"/>
  <c r="G66" i="39" s="1"/>
  <c r="E97" i="39"/>
  <c r="E100" i="39" s="1"/>
  <c r="H32" i="39"/>
  <c r="F28" i="39"/>
  <c r="E61" i="39"/>
  <c r="E66" i="39" s="1"/>
  <c r="C97" i="39"/>
  <c r="C100" i="39" s="1"/>
  <c r="F32" i="39"/>
  <c r="G28" i="39"/>
  <c r="F61" i="39"/>
  <c r="F66" i="39" s="1"/>
  <c r="D97" i="39"/>
  <c r="D100" i="39" s="1"/>
  <c r="G32" i="39"/>
  <c r="C10" i="56"/>
  <c r="C11" i="56" s="1"/>
  <c r="M61" i="39"/>
  <c r="M66" i="39" s="1"/>
  <c r="K97" i="39"/>
  <c r="K100" i="39" s="1"/>
  <c r="N32" i="39"/>
  <c r="H26" i="39" l="1"/>
  <c r="E14" i="56"/>
  <c r="B29" i="56" s="1"/>
  <c r="H16" i="112"/>
  <c r="I90" i="39"/>
  <c r="H91" i="39"/>
  <c r="F72" i="39"/>
  <c r="G6" i="111"/>
  <c r="G48" i="111" s="1"/>
  <c r="G50" i="111" s="1"/>
  <c r="C12" i="56"/>
  <c r="C13" i="56" s="1"/>
  <c r="D104" i="39"/>
  <c r="S14" i="112"/>
  <c r="D10" i="56"/>
  <c r="D11" i="56" s="1"/>
  <c r="C102" i="39"/>
  <c r="E24" i="57"/>
  <c r="B5" i="58"/>
  <c r="B8" i="58" s="1"/>
  <c r="B15" i="56"/>
  <c r="C104" i="39"/>
  <c r="F14" i="56" l="1"/>
  <c r="I26" i="39"/>
  <c r="J90" i="39"/>
  <c r="I91" i="39"/>
  <c r="I16" i="112"/>
  <c r="E29" i="56"/>
  <c r="E30" i="56" s="1"/>
  <c r="C37" i="56" s="1"/>
  <c r="C29" i="56"/>
  <c r="F29" i="56"/>
  <c r="F30" i="56" s="1"/>
  <c r="C38" i="56" s="1"/>
  <c r="D29" i="56"/>
  <c r="D30" i="56" s="1"/>
  <c r="C36" i="56" s="1"/>
  <c r="G72" i="39"/>
  <c r="H6" i="111"/>
  <c r="H48" i="111" s="1"/>
  <c r="H50" i="111" s="1"/>
  <c r="H28" i="39"/>
  <c r="E104" i="39" s="1"/>
  <c r="C103" i="39"/>
  <c r="C110" i="39" s="1"/>
  <c r="C111" i="39" s="1"/>
  <c r="D101" i="39"/>
  <c r="D102" i="39" s="1"/>
  <c r="D12" i="56"/>
  <c r="D13" i="56" s="1"/>
  <c r="B9" i="57"/>
  <c r="E10" i="56"/>
  <c r="C5" i="58"/>
  <c r="C8" i="58" s="1"/>
  <c r="C15" i="58" s="1"/>
  <c r="C15" i="56"/>
  <c r="F24" i="57"/>
  <c r="B15" i="58"/>
  <c r="J26" i="39" l="1"/>
  <c r="G14" i="56"/>
  <c r="K90" i="39"/>
  <c r="J91" i="39"/>
  <c r="J16" i="112"/>
  <c r="I6" i="111"/>
  <c r="I48" i="111" s="1"/>
  <c r="I50" i="111" s="1"/>
  <c r="H72" i="39"/>
  <c r="I28" i="39"/>
  <c r="F104" i="39" s="1"/>
  <c r="C112" i="39"/>
  <c r="C25" i="56"/>
  <c r="C26" i="56" s="1"/>
  <c r="B25" i="56"/>
  <c r="B26" i="56" s="1"/>
  <c r="E11" i="56"/>
  <c r="C105" i="39"/>
  <c r="C106" i="39"/>
  <c r="F10" i="56"/>
  <c r="F11" i="56" s="1"/>
  <c r="B26" i="57"/>
  <c r="B10" i="57"/>
  <c r="B11" i="57" s="1"/>
  <c r="D5" i="58"/>
  <c r="D8" i="58" s="1"/>
  <c r="D15" i="58" s="1"/>
  <c r="D15" i="56"/>
  <c r="E101" i="39"/>
  <c r="E102" i="39" s="1"/>
  <c r="D103" i="39"/>
  <c r="H14" i="56" l="1"/>
  <c r="K26" i="39"/>
  <c r="K16" i="112"/>
  <c r="K91" i="39"/>
  <c r="L90" i="39"/>
  <c r="J6" i="111"/>
  <c r="J48" i="111" s="1"/>
  <c r="J50" i="111" s="1"/>
  <c r="I72" i="39"/>
  <c r="J28" i="39"/>
  <c r="G104" i="39" s="1"/>
  <c r="D110" i="39"/>
  <c r="D111" i="39" s="1"/>
  <c r="D112" i="39"/>
  <c r="E12" i="56"/>
  <c r="E13" i="56" s="1"/>
  <c r="C26" i="57"/>
  <c r="B27" i="57"/>
  <c r="B28" i="57" s="1"/>
  <c r="C31" i="57" s="1"/>
  <c r="D105" i="39"/>
  <c r="D106" i="39"/>
  <c r="G10" i="56"/>
  <c r="G11" i="56" s="1"/>
  <c r="B27" i="56"/>
  <c r="B28" i="56" s="1"/>
  <c r="B30" i="56" s="1"/>
  <c r="C33" i="56" s="1"/>
  <c r="F12" i="56"/>
  <c r="F13" i="56" s="1"/>
  <c r="C27" i="56"/>
  <c r="C28" i="56" s="1"/>
  <c r="C30" i="56" s="1"/>
  <c r="C35" i="56" s="1"/>
  <c r="F101" i="39"/>
  <c r="F102" i="39" s="1"/>
  <c r="E103" i="39"/>
  <c r="L16" i="112" l="1"/>
  <c r="M90" i="39"/>
  <c r="L91" i="39"/>
  <c r="I14" i="56"/>
  <c r="L26" i="39"/>
  <c r="J72" i="39"/>
  <c r="K6" i="111"/>
  <c r="K48" i="111" s="1"/>
  <c r="K50" i="111" s="1"/>
  <c r="K28" i="39"/>
  <c r="H104" i="39" s="1"/>
  <c r="E110" i="39"/>
  <c r="E111" i="39" s="1"/>
  <c r="E112" i="39"/>
  <c r="E5" i="58"/>
  <c r="E8" i="58" s="1"/>
  <c r="E15" i="56"/>
  <c r="D35" i="56"/>
  <c r="H10" i="56"/>
  <c r="H11" i="56" s="1"/>
  <c r="G12" i="56"/>
  <c r="G13" i="56" s="1"/>
  <c r="F5" i="58"/>
  <c r="F8" i="58" s="1"/>
  <c r="F15" i="58" s="1"/>
  <c r="F15" i="56"/>
  <c r="D36" i="56"/>
  <c r="D37" i="56"/>
  <c r="D38" i="56"/>
  <c r="E105" i="39"/>
  <c r="E106" i="39"/>
  <c r="E26" i="57"/>
  <c r="E27" i="57" s="1"/>
  <c r="E28" i="57" s="1"/>
  <c r="C35" i="57" s="1"/>
  <c r="D26" i="57"/>
  <c r="C27" i="57"/>
  <c r="C28" i="57" s="1"/>
  <c r="C33" i="57" s="1"/>
  <c r="G101" i="39"/>
  <c r="G102" i="39" s="1"/>
  <c r="F103" i="39"/>
  <c r="L6" i="111" l="1"/>
  <c r="L48" i="111" s="1"/>
  <c r="L50" i="111" s="1"/>
  <c r="K72" i="39"/>
  <c r="L28" i="39"/>
  <c r="I104" i="39" s="1"/>
  <c r="J14" i="56"/>
  <c r="M26" i="39"/>
  <c r="M16" i="112"/>
  <c r="N90" i="39"/>
  <c r="M91" i="39"/>
  <c r="F110" i="39"/>
  <c r="F111" i="39" s="1"/>
  <c r="F112" i="39"/>
  <c r="I10" i="56"/>
  <c r="I11" i="56" s="1"/>
  <c r="G5" i="58"/>
  <c r="G8" i="58" s="1"/>
  <c r="G15" i="58" s="1"/>
  <c r="G15" i="56"/>
  <c r="H101" i="39"/>
  <c r="H102" i="39" s="1"/>
  <c r="G103" i="39"/>
  <c r="H12" i="56"/>
  <c r="H13" i="56" s="1"/>
  <c r="F26" i="57"/>
  <c r="F27" i="57" s="1"/>
  <c r="F28" i="57" s="1"/>
  <c r="C36" i="57" s="1"/>
  <c r="D27" i="57"/>
  <c r="D28" i="57" s="1"/>
  <c r="C34" i="57" s="1"/>
  <c r="F105" i="39"/>
  <c r="F106" i="39"/>
  <c r="E15" i="58"/>
  <c r="L72" i="39" l="1"/>
  <c r="M6" i="111"/>
  <c r="M48" i="111" s="1"/>
  <c r="M50" i="111" s="1"/>
  <c r="M28" i="39"/>
  <c r="J104" i="39" s="1"/>
  <c r="N16" i="112"/>
  <c r="N91" i="39"/>
  <c r="O90" i="39"/>
  <c r="N26" i="39"/>
  <c r="K14" i="56"/>
  <c r="G110" i="39"/>
  <c r="G111" i="39" s="1"/>
  <c r="G112" i="39"/>
  <c r="H5" i="58"/>
  <c r="H8" i="58" s="1"/>
  <c r="H15" i="58" s="1"/>
  <c r="H15" i="56"/>
  <c r="I12" i="56"/>
  <c r="I13" i="56" s="1"/>
  <c r="H103" i="39"/>
  <c r="I101" i="39"/>
  <c r="I102" i="39" s="1"/>
  <c r="J10" i="56"/>
  <c r="J11" i="56" s="1"/>
  <c r="G105" i="39"/>
  <c r="G106" i="39"/>
  <c r="O16" i="112" l="1"/>
  <c r="O91" i="39"/>
  <c r="P90" i="39"/>
  <c r="O26" i="39"/>
  <c r="M72" i="39"/>
  <c r="N6" i="111"/>
  <c r="N48" i="111" s="1"/>
  <c r="N50" i="111" s="1"/>
  <c r="N52" i="111" s="1"/>
  <c r="N28" i="39"/>
  <c r="K104" i="39" s="1"/>
  <c r="H110" i="39"/>
  <c r="H111" i="39" s="1"/>
  <c r="H112" i="39"/>
  <c r="I5" i="58"/>
  <c r="I8" i="58" s="1"/>
  <c r="I15" i="56"/>
  <c r="I103" i="39"/>
  <c r="J101" i="39"/>
  <c r="J102" i="39" s="1"/>
  <c r="H105" i="39"/>
  <c r="H106" i="39"/>
  <c r="K10" i="56"/>
  <c r="K11" i="56" s="1"/>
  <c r="J12" i="56"/>
  <c r="J13" i="56" s="1"/>
  <c r="O6" i="111" l="1"/>
  <c r="O48" i="111" s="1"/>
  <c r="O50" i="111" s="1"/>
  <c r="O52" i="111" s="1"/>
  <c r="N72" i="39"/>
  <c r="O28" i="39"/>
  <c r="L104" i="39" s="1"/>
  <c r="P16" i="112"/>
  <c r="P91" i="39"/>
  <c r="Q90" i="39"/>
  <c r="P26" i="39"/>
  <c r="I110" i="39"/>
  <c r="I111" i="39" s="1"/>
  <c r="I112" i="39"/>
  <c r="K12" i="56"/>
  <c r="K13" i="56" s="1"/>
  <c r="K15" i="56" s="1"/>
  <c r="I15" i="58"/>
  <c r="B17" i="58"/>
  <c r="I105" i="39"/>
  <c r="I106" i="39"/>
  <c r="J103" i="39"/>
  <c r="K101" i="39"/>
  <c r="K102" i="39" s="1"/>
  <c r="J5" i="58"/>
  <c r="J8" i="58" s="1"/>
  <c r="J15" i="58" s="1"/>
  <c r="J15" i="56"/>
  <c r="O72" i="39" l="1"/>
  <c r="P6" i="111"/>
  <c r="P48" i="111" s="1"/>
  <c r="P50" i="111" s="1"/>
  <c r="P52" i="111" s="1"/>
  <c r="P28" i="39"/>
  <c r="M104" i="39" s="1"/>
  <c r="Q16" i="112"/>
  <c r="R90" i="39"/>
  <c r="Q91" i="39"/>
  <c r="Q26" i="39"/>
  <c r="J110" i="39"/>
  <c r="J111" i="39" s="1"/>
  <c r="J112" i="39"/>
  <c r="K103" i="39"/>
  <c r="L101" i="39"/>
  <c r="L102" i="39" s="1"/>
  <c r="J105" i="39"/>
  <c r="J106" i="39"/>
  <c r="P72" i="39" l="1"/>
  <c r="Q6" i="111"/>
  <c r="Q48" i="111" s="1"/>
  <c r="Q50" i="111" s="1"/>
  <c r="Q52" i="111" s="1"/>
  <c r="Q28" i="39"/>
  <c r="N104" i="39" s="1"/>
  <c r="R26" i="39"/>
  <c r="R16" i="112"/>
  <c r="S90" i="39"/>
  <c r="R91" i="39"/>
  <c r="K110" i="39"/>
  <c r="K111" i="39" s="1"/>
  <c r="K112" i="39"/>
  <c r="M101" i="39"/>
  <c r="M102" i="39" s="1"/>
  <c r="L103" i="39"/>
  <c r="K105" i="39"/>
  <c r="K106" i="39"/>
  <c r="S16" i="112" l="1"/>
  <c r="S91" i="39"/>
  <c r="T26" i="39" s="1"/>
  <c r="Q72" i="39"/>
  <c r="R6" i="111"/>
  <c r="R48" i="111" s="1"/>
  <c r="R50" i="111" s="1"/>
  <c r="R52" i="111" s="1"/>
  <c r="R28" i="39"/>
  <c r="O104" i="39" s="1"/>
  <c r="S26" i="39"/>
  <c r="L110" i="39"/>
  <c r="L111" i="39" s="1"/>
  <c r="L112" i="39"/>
  <c r="L105" i="39"/>
  <c r="L106" i="39"/>
  <c r="N101" i="39"/>
  <c r="N102" i="39" s="1"/>
  <c r="M103" i="39"/>
  <c r="R72" i="39" l="1"/>
  <c r="S6" i="111"/>
  <c r="S48" i="111" s="1"/>
  <c r="S50" i="111" s="1"/>
  <c r="S52" i="111" s="1"/>
  <c r="S28" i="39"/>
  <c r="P104" i="39" s="1"/>
  <c r="S72" i="39"/>
  <c r="T6" i="111"/>
  <c r="T48" i="111" s="1"/>
  <c r="T50" i="111" s="1"/>
  <c r="T52" i="111" s="1"/>
  <c r="T28" i="39"/>
  <c r="Q104" i="39" s="1"/>
  <c r="M110" i="39"/>
  <c r="M111" i="39" s="1"/>
  <c r="M112" i="39"/>
  <c r="M105" i="39"/>
  <c r="M106" i="39"/>
  <c r="O101" i="39"/>
  <c r="O102" i="39" s="1"/>
  <c r="N103" i="39"/>
  <c r="N110" i="39" l="1"/>
  <c r="N111" i="39" s="1"/>
  <c r="N112" i="39"/>
  <c r="N105" i="39"/>
  <c r="N106" i="39"/>
  <c r="P101" i="39"/>
  <c r="P102" i="39" s="1"/>
  <c r="O103" i="39"/>
  <c r="O110" i="39" l="1"/>
  <c r="O111" i="39" s="1"/>
  <c r="O112" i="39"/>
  <c r="O105" i="39"/>
  <c r="O106" i="39"/>
  <c r="Q101" i="39"/>
  <c r="Q102" i="39" s="1"/>
  <c r="P103" i="39"/>
  <c r="P110" i="39" l="1"/>
  <c r="P111" i="39" s="1"/>
  <c r="P112" i="39"/>
  <c r="P105" i="39"/>
  <c r="P106" i="39"/>
  <c r="Q103" i="39"/>
  <c r="R101" i="39"/>
  <c r="R102" i="39" s="1"/>
  <c r="Q110" i="39" l="1"/>
  <c r="Q111" i="39" s="1"/>
  <c r="Q112" i="39"/>
  <c r="R103" i="39"/>
  <c r="S101" i="39"/>
  <c r="S102" i="39" s="1"/>
  <c r="Q105" i="39"/>
  <c r="Q106" i="39"/>
  <c r="R110" i="39" l="1"/>
  <c r="R111" i="39" s="1"/>
  <c r="R112" i="39"/>
  <c r="U112" i="39" s="1"/>
  <c r="R105" i="39"/>
  <c r="R106" i="39"/>
  <c r="S103" i="39"/>
  <c r="T101" i="39"/>
  <c r="T102" i="39" s="1"/>
  <c r="T103" i="39" s="1"/>
  <c r="R113" i="39" l="1"/>
  <c r="R107" i="39" s="1"/>
  <c r="R108" i="39" s="1"/>
  <c r="C113" i="39"/>
  <c r="C107" i="39" s="1"/>
  <c r="C108" i="39" s="1"/>
  <c r="D113" i="39"/>
  <c r="D107" i="39" s="1"/>
  <c r="D108" i="39" s="1"/>
  <c r="E113" i="39"/>
  <c r="E107" i="39" s="1"/>
  <c r="E108" i="39" s="1"/>
  <c r="F113" i="39"/>
  <c r="F107" i="39" s="1"/>
  <c r="F108" i="39" s="1"/>
  <c r="G113" i="39"/>
  <c r="G107" i="39" s="1"/>
  <c r="G108" i="39" s="1"/>
  <c r="H113" i="39"/>
  <c r="H107" i="39" s="1"/>
  <c r="H108" i="39" s="1"/>
  <c r="I113" i="39"/>
  <c r="I107" i="39" s="1"/>
  <c r="I108" i="39" s="1"/>
  <c r="J113" i="39"/>
  <c r="J107" i="39" s="1"/>
  <c r="J108" i="39" s="1"/>
  <c r="K113" i="39"/>
  <c r="K107" i="39" s="1"/>
  <c r="K108" i="39" s="1"/>
  <c r="L113" i="39"/>
  <c r="L107" i="39" s="1"/>
  <c r="L108" i="39" s="1"/>
  <c r="M113" i="39"/>
  <c r="M107" i="39" s="1"/>
  <c r="M108" i="39" s="1"/>
  <c r="N113" i="39"/>
  <c r="N107" i="39" s="1"/>
  <c r="N108" i="39" s="1"/>
  <c r="O113" i="39"/>
  <c r="O107" i="39" s="1"/>
  <c r="O108" i="39" s="1"/>
  <c r="P113" i="39"/>
  <c r="P107" i="39" s="1"/>
  <c r="P108" i="39" s="1"/>
  <c r="S110" i="39"/>
  <c r="S111" i="39" s="1"/>
  <c r="S112" i="39"/>
  <c r="T110" i="39"/>
  <c r="T112" i="39"/>
  <c r="Q113" i="39"/>
  <c r="Q107" i="39" s="1"/>
  <c r="Q108" i="39" s="1"/>
  <c r="S105" i="39"/>
  <c r="S106" i="39"/>
  <c r="T105" i="39"/>
  <c r="T106" i="39"/>
  <c r="T111" i="39" l="1"/>
  <c r="T113" i="39" s="1"/>
  <c r="T107" i="39" s="1"/>
  <c r="T108" i="39" s="1"/>
  <c r="S113" i="39"/>
  <c r="S107" i="39" s="1"/>
  <c r="S108" i="39" s="1"/>
  <c r="M29" i="39"/>
  <c r="K29" i="39"/>
  <c r="N29" i="39"/>
  <c r="I29" i="39"/>
  <c r="T29" i="39"/>
  <c r="S29" i="39"/>
  <c r="J29" i="39"/>
  <c r="H29" i="39"/>
  <c r="F29" i="39"/>
  <c r="L29" i="39"/>
  <c r="R29" i="39"/>
  <c r="Q29" i="39"/>
  <c r="P29" i="39"/>
  <c r="O29" i="39"/>
  <c r="G29" i="39"/>
  <c r="O74" i="39" l="1"/>
  <c r="O75" i="39" s="1"/>
  <c r="O76" i="39" s="1"/>
  <c r="P30" i="39"/>
  <c r="P4" i="111" s="1"/>
  <c r="F74" i="39"/>
  <c r="F75" i="39" s="1"/>
  <c r="F76" i="39" s="1"/>
  <c r="G30" i="39"/>
  <c r="G4" i="111" s="1"/>
  <c r="H74" i="39"/>
  <c r="H75" i="39" s="1"/>
  <c r="H76" i="39" s="1"/>
  <c r="I30" i="39"/>
  <c r="I4" i="111" s="1"/>
  <c r="J74" i="39"/>
  <c r="J75" i="39" s="1"/>
  <c r="J76" i="39" s="1"/>
  <c r="K30" i="39"/>
  <c r="K4" i="111" s="1"/>
  <c r="I74" i="39"/>
  <c r="I75" i="39" s="1"/>
  <c r="I76" i="39" s="1"/>
  <c r="J30" i="39"/>
  <c r="J4" i="111" s="1"/>
  <c r="L74" i="39"/>
  <c r="L75" i="39" s="1"/>
  <c r="L76" i="39" s="1"/>
  <c r="M30" i="39"/>
  <c r="M4" i="111" s="1"/>
  <c r="N74" i="39"/>
  <c r="N75" i="39" s="1"/>
  <c r="N76" i="39" s="1"/>
  <c r="O30" i="39"/>
  <c r="O4" i="111" s="1"/>
  <c r="E74" i="39"/>
  <c r="E75" i="39" s="1"/>
  <c r="E76" i="39" s="1"/>
  <c r="F30" i="39"/>
  <c r="R74" i="39"/>
  <c r="R75" i="39" s="1"/>
  <c r="R76" i="39" s="1"/>
  <c r="S30" i="39"/>
  <c r="S4" i="111" s="1"/>
  <c r="G74" i="39"/>
  <c r="G75" i="39" s="1"/>
  <c r="G76" i="39" s="1"/>
  <c r="H30" i="39"/>
  <c r="H4" i="111" s="1"/>
  <c r="S74" i="39"/>
  <c r="S75" i="39" s="1"/>
  <c r="S76" i="39" s="1"/>
  <c r="T30" i="39"/>
  <c r="T4" i="111" s="1"/>
  <c r="K74" i="39"/>
  <c r="K75" i="39" s="1"/>
  <c r="K76" i="39" s="1"/>
  <c r="L30" i="39"/>
  <c r="L4" i="111" s="1"/>
  <c r="P74" i="39"/>
  <c r="P75" i="39" s="1"/>
  <c r="P76" i="39" s="1"/>
  <c r="Q30" i="39"/>
  <c r="Q4" i="111" s="1"/>
  <c r="Q74" i="39"/>
  <c r="Q75" i="39" s="1"/>
  <c r="Q76" i="39" s="1"/>
  <c r="R30" i="39"/>
  <c r="R4" i="111" s="1"/>
  <c r="M74" i="39"/>
  <c r="M75" i="39" s="1"/>
  <c r="M76" i="39" s="1"/>
  <c r="N30" i="39"/>
  <c r="N4" i="111" s="1"/>
  <c r="L11" i="111" l="1"/>
  <c r="L12" i="111" s="1"/>
  <c r="L29" i="111"/>
  <c r="L35" i="111" s="1"/>
  <c r="L36" i="111" s="1"/>
  <c r="L51" i="111"/>
  <c r="L52" i="111" s="1"/>
  <c r="S11" i="111"/>
  <c r="S12" i="111" s="1"/>
  <c r="S29" i="111"/>
  <c r="S35" i="111" s="1"/>
  <c r="S36" i="111" s="1"/>
  <c r="S51" i="111"/>
  <c r="J29" i="111"/>
  <c r="J35" i="111" s="1"/>
  <c r="J36" i="111" s="1"/>
  <c r="J51" i="111"/>
  <c r="J52" i="111" s="1"/>
  <c r="J11" i="111"/>
  <c r="J12" i="111" s="1"/>
  <c r="R9" i="112"/>
  <c r="R10" i="112" s="1"/>
  <c r="T11" i="111"/>
  <c r="T12" i="111" s="1"/>
  <c r="T29" i="111"/>
  <c r="T35" i="111" s="1"/>
  <c r="T36" i="111" s="1"/>
  <c r="T51" i="111"/>
  <c r="G29" i="111"/>
  <c r="G35" i="111" s="1"/>
  <c r="G36" i="111" s="1"/>
  <c r="G51" i="111"/>
  <c r="G52" i="111" s="1"/>
  <c r="G11" i="111"/>
  <c r="G12" i="111" s="1"/>
  <c r="E9" i="112"/>
  <c r="E10" i="112" s="1"/>
  <c r="E77" i="39"/>
  <c r="F77" i="39" s="1"/>
  <c r="M11" i="111"/>
  <c r="M12" i="111" s="1"/>
  <c r="M29" i="111"/>
  <c r="M35" i="111" s="1"/>
  <c r="M36" i="111" s="1"/>
  <c r="M51" i="111"/>
  <c r="M52" i="111" s="1"/>
  <c r="J9" i="112"/>
  <c r="J10" i="112" s="1"/>
  <c r="P29" i="111"/>
  <c r="P35" i="111" s="1"/>
  <c r="P36" i="111" s="1"/>
  <c r="P51" i="111"/>
  <c r="P11" i="111"/>
  <c r="P12" i="111" s="1"/>
  <c r="K9" i="112"/>
  <c r="K10" i="112" s="1"/>
  <c r="K11" i="111"/>
  <c r="K12" i="111" s="1"/>
  <c r="K29" i="111"/>
  <c r="K35" i="111" s="1"/>
  <c r="K36" i="111" s="1"/>
  <c r="K51" i="111"/>
  <c r="K52" i="111" s="1"/>
  <c r="S9" i="112"/>
  <c r="S10" i="112" s="1"/>
  <c r="N9" i="112"/>
  <c r="N10" i="112" s="1"/>
  <c r="O9" i="112"/>
  <c r="O10" i="112" s="1"/>
  <c r="I9" i="112"/>
  <c r="I10" i="112" s="1"/>
  <c r="F31" i="39"/>
  <c r="F4" i="111"/>
  <c r="F9" i="112"/>
  <c r="F10" i="112" s="1"/>
  <c r="Q29" i="111"/>
  <c r="Q35" i="111" s="1"/>
  <c r="Q36" i="111" s="1"/>
  <c r="Q51" i="111"/>
  <c r="Q11" i="111"/>
  <c r="Q12" i="111" s="1"/>
  <c r="I29" i="111"/>
  <c r="I35" i="111" s="1"/>
  <c r="I36" i="111" s="1"/>
  <c r="I51" i="111"/>
  <c r="I52" i="111" s="1"/>
  <c r="I11" i="111"/>
  <c r="I12" i="111" s="1"/>
  <c r="N29" i="111"/>
  <c r="N35" i="111" s="1"/>
  <c r="N36" i="111" s="1"/>
  <c r="N51" i="111"/>
  <c r="N11" i="111"/>
  <c r="N12" i="111" s="1"/>
  <c r="M9" i="112"/>
  <c r="M10" i="112" s="1"/>
  <c r="L9" i="112"/>
  <c r="L10" i="112" s="1"/>
  <c r="O29" i="111"/>
  <c r="O35" i="111" s="1"/>
  <c r="O36" i="111" s="1"/>
  <c r="O51" i="111"/>
  <c r="O11" i="111"/>
  <c r="O12" i="111" s="1"/>
  <c r="R29" i="111"/>
  <c r="R35" i="111" s="1"/>
  <c r="R36" i="111" s="1"/>
  <c r="R51" i="111"/>
  <c r="R11" i="111"/>
  <c r="R12" i="111" s="1"/>
  <c r="H29" i="111"/>
  <c r="H35" i="111" s="1"/>
  <c r="H36" i="111" s="1"/>
  <c r="H51" i="111"/>
  <c r="H52" i="111" s="1"/>
  <c r="H11" i="111"/>
  <c r="H12" i="111" s="1"/>
  <c r="Q9" i="112"/>
  <c r="Q10" i="112" s="1"/>
  <c r="P9" i="112"/>
  <c r="P10" i="112" s="1"/>
  <c r="G9" i="112"/>
  <c r="G10" i="112" s="1"/>
  <c r="H9" i="112"/>
  <c r="H10" i="112" s="1"/>
  <c r="G77" i="39" l="1"/>
  <c r="H77" i="39" s="1"/>
  <c r="F29" i="111"/>
  <c r="F35" i="111" s="1"/>
  <c r="F36" i="111" s="1"/>
  <c r="G40" i="111" s="1"/>
  <c r="G41" i="111" s="1"/>
  <c r="F51" i="111"/>
  <c r="F52" i="111" s="1"/>
  <c r="D53" i="111" s="1"/>
  <c r="F11" i="111"/>
  <c r="F16" i="111" s="1"/>
  <c r="E15" i="112"/>
  <c r="E18" i="112" s="1"/>
  <c r="E20" i="112" s="1"/>
  <c r="G31" i="39"/>
  <c r="I77" i="39" l="1"/>
  <c r="J77" i="39" s="1"/>
  <c r="H40" i="111"/>
  <c r="H41" i="111" s="1"/>
  <c r="H42" i="111" s="1"/>
  <c r="F15" i="112"/>
  <c r="F18" i="112" s="1"/>
  <c r="F20" i="112" s="1"/>
  <c r="H31" i="39"/>
  <c r="F12" i="111"/>
  <c r="F17" i="111"/>
  <c r="F18" i="111" s="1"/>
  <c r="F40" i="111"/>
  <c r="F41" i="111" s="1"/>
  <c r="F42" i="111" s="1"/>
  <c r="D37" i="111"/>
  <c r="G42" i="111" l="1"/>
  <c r="I40" i="111"/>
  <c r="I41" i="111" s="1"/>
  <c r="I42" i="111" s="1"/>
  <c r="G15" i="112"/>
  <c r="G18" i="112" s="1"/>
  <c r="G20" i="112" s="1"/>
  <c r="I31" i="39"/>
  <c r="D13" i="111"/>
  <c r="C25" i="111"/>
  <c r="G16" i="111"/>
  <c r="K77" i="39"/>
  <c r="J40" i="111" l="1"/>
  <c r="J41" i="111" s="1"/>
  <c r="J42" i="111" s="1"/>
  <c r="H15" i="112"/>
  <c r="H18" i="112" s="1"/>
  <c r="H20" i="112" s="1"/>
  <c r="J31" i="39"/>
  <c r="L77" i="39"/>
  <c r="G17" i="111"/>
  <c r="G18" i="111" s="1"/>
  <c r="H16" i="111"/>
  <c r="K40" i="111" l="1"/>
  <c r="K41" i="111" s="1"/>
  <c r="K42" i="111" s="1"/>
  <c r="M77" i="39"/>
  <c r="I15" i="112"/>
  <c r="I18" i="112" s="1"/>
  <c r="I20" i="112" s="1"/>
  <c r="K31" i="39"/>
  <c r="H17" i="111"/>
  <c r="H18" i="111" s="1"/>
  <c r="I16" i="111"/>
  <c r="L40" i="111" l="1"/>
  <c r="J15" i="112"/>
  <c r="J18" i="112" s="1"/>
  <c r="J20" i="112" s="1"/>
  <c r="L31" i="39"/>
  <c r="N77" i="39"/>
  <c r="I17" i="111"/>
  <c r="I18" i="111" s="1"/>
  <c r="J16" i="111"/>
  <c r="L41" i="111"/>
  <c r="L42" i="111" s="1"/>
  <c r="M40" i="111"/>
  <c r="K15" i="112" l="1"/>
  <c r="K18" i="112" s="1"/>
  <c r="K20" i="112" s="1"/>
  <c r="M31" i="39"/>
  <c r="O77" i="39"/>
  <c r="M41" i="111"/>
  <c r="M42" i="111" s="1"/>
  <c r="N40" i="111"/>
  <c r="J17" i="111"/>
  <c r="J18" i="111" s="1"/>
  <c r="K16" i="111"/>
  <c r="L15" i="112" l="1"/>
  <c r="L18" i="112" s="1"/>
  <c r="L20" i="112" s="1"/>
  <c r="N31" i="39"/>
  <c r="P77" i="39"/>
  <c r="K17" i="111"/>
  <c r="K18" i="111" s="1"/>
  <c r="L16" i="111"/>
  <c r="N41" i="111"/>
  <c r="N42" i="111" s="1"/>
  <c r="O40" i="111"/>
  <c r="Q77" i="39" l="1"/>
  <c r="O41" i="111"/>
  <c r="O42" i="111" s="1"/>
  <c r="P40" i="111"/>
  <c r="L17" i="111"/>
  <c r="L18" i="111" s="1"/>
  <c r="M16" i="111"/>
  <c r="M15" i="112"/>
  <c r="M18" i="112" s="1"/>
  <c r="M20" i="112" s="1"/>
  <c r="O31" i="39"/>
  <c r="P41" i="111" l="1"/>
  <c r="P42" i="111" s="1"/>
  <c r="Q40" i="111"/>
  <c r="M17" i="111"/>
  <c r="M18" i="111" s="1"/>
  <c r="N16" i="111"/>
  <c r="R77" i="39"/>
  <c r="N15" i="112"/>
  <c r="N18" i="112" s="1"/>
  <c r="N20" i="112" s="1"/>
  <c r="P31" i="39"/>
  <c r="N17" i="111" l="1"/>
  <c r="N18" i="111" s="1"/>
  <c r="O16" i="111"/>
  <c r="O15" i="112"/>
  <c r="O18" i="112" s="1"/>
  <c r="O20" i="112" s="1"/>
  <c r="Q31" i="39"/>
  <c r="S77" i="39"/>
  <c r="Q41" i="111"/>
  <c r="Q42" i="111" s="1"/>
  <c r="R40" i="111"/>
  <c r="T77" i="39" l="1"/>
  <c r="P15" i="112"/>
  <c r="P18" i="112" s="1"/>
  <c r="P20" i="112" s="1"/>
  <c r="R31" i="39"/>
  <c r="R41" i="111"/>
  <c r="R42" i="111" s="1"/>
  <c r="S40" i="111"/>
  <c r="O17" i="111"/>
  <c r="O18" i="111" s="1"/>
  <c r="P16" i="111"/>
  <c r="P17" i="111" l="1"/>
  <c r="P18" i="111" s="1"/>
  <c r="Q16" i="111"/>
  <c r="Q15" i="112"/>
  <c r="Q18" i="112" s="1"/>
  <c r="Q20" i="112" s="1"/>
  <c r="S31" i="39"/>
  <c r="S41" i="111"/>
  <c r="S42" i="111" s="1"/>
  <c r="T40" i="111"/>
  <c r="T41" i="111" s="1"/>
  <c r="T42" i="111" s="1"/>
  <c r="R15" i="112" l="1"/>
  <c r="R18" i="112" s="1"/>
  <c r="R20" i="112" s="1"/>
  <c r="T31" i="39"/>
  <c r="S15" i="112" s="1"/>
  <c r="S18" i="112" s="1"/>
  <c r="S20" i="112" s="1"/>
  <c r="Q17" i="111"/>
  <c r="Q18" i="111" s="1"/>
  <c r="R16" i="111"/>
  <c r="R17" i="111" l="1"/>
  <c r="R18" i="111" s="1"/>
  <c r="S16" i="111"/>
  <c r="S17" i="111" l="1"/>
  <c r="S18" i="111" s="1"/>
  <c r="T16" i="111"/>
  <c r="T17" i="111" s="1"/>
  <c r="T18" i="1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<sst xmlns="http://schemas.openxmlformats.org/spreadsheetml/2006/main" count="1001" uniqueCount="603">
  <si>
    <t>Naphtha</t>
  </si>
  <si>
    <t>Product</t>
  </si>
  <si>
    <t>Labour</t>
  </si>
  <si>
    <t>Variable Overheads</t>
  </si>
  <si>
    <t>Fixed Overheads</t>
  </si>
  <si>
    <t>Selling Overheads</t>
  </si>
  <si>
    <t>Description</t>
  </si>
  <si>
    <t>Operating Period</t>
  </si>
  <si>
    <t>Operating Revenue</t>
  </si>
  <si>
    <t>Total Operating Cost</t>
  </si>
  <si>
    <t>Depreciation</t>
  </si>
  <si>
    <t>NPV</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</si>
  <si>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</si>
  <si>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</si>
  <si>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</si>
  <si>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</si>
  <si>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</si>
  <si>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</si>
  <si>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</si>
  <si>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</si>
  <si>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</si>
  <si>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</si>
  <si>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</si>
  <si>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</si>
  <si>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B</t>
  </si>
  <si>
    <t>Tonne</t>
  </si>
  <si>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</si>
  <si>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</si>
  <si>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</si>
  <si>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</si>
  <si>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</si>
  <si>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</si>
  <si>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</si>
  <si>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</si>
  <si>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</si>
  <si>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</si>
  <si>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</si>
  <si>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</si>
  <si>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</si>
  <si>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</si>
  <si>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</si>
  <si>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</si>
  <si>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Steam</t>
  </si>
  <si>
    <t>INR / Tonne</t>
  </si>
  <si>
    <t>Total Fixed Cost</t>
  </si>
  <si>
    <t>Unit</t>
  </si>
  <si>
    <t>MT</t>
  </si>
  <si>
    <t>Total</t>
  </si>
  <si>
    <t>TOTAL SALES</t>
  </si>
  <si>
    <t>Price (INR / Tonne)</t>
  </si>
  <si>
    <t>Annual Production</t>
  </si>
  <si>
    <t>Value in (INR Crore)</t>
  </si>
  <si>
    <t>Product &amp; Co-Product</t>
  </si>
  <si>
    <t>Expenditure phasing / Capacity Utilization</t>
  </si>
  <si>
    <t>Overheads</t>
  </si>
  <si>
    <t>Capex (In INR Crore)</t>
  </si>
  <si>
    <t>Total Investment (In INR Crore)</t>
  </si>
  <si>
    <t xml:space="preserve">All Figures are in INR Crore </t>
  </si>
  <si>
    <t>Plant &amp; Machinery</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</si>
  <si>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</si>
  <si>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</si>
  <si>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</si>
  <si>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</si>
  <si>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</si>
  <si>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</si>
  <si>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</si>
  <si>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</si>
  <si>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</si>
  <si>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</si>
  <si>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</si>
  <si>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</si>
  <si>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</si>
  <si>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</si>
  <si>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</si>
  <si>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</si>
  <si>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</si>
  <si>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</si>
  <si>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</si>
  <si>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</si>
  <si>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</si>
  <si>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</si>
  <si>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</si>
  <si>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</si>
  <si>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</si>
  <si>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</si>
  <si>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</si>
  <si>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</si>
  <si>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</si>
  <si>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</si>
  <si>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</si>
  <si>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</si>
  <si>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</si>
  <si>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</si>
  <si>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</si>
  <si>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</si>
  <si>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</si>
  <si>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</si>
  <si>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</si>
  <si>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</si>
  <si>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</si>
  <si>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</si>
  <si>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Actual</t>
  </si>
  <si>
    <t>Chemical Products' Price</t>
  </si>
  <si>
    <t>Derived</t>
  </si>
  <si>
    <t>Tonnes</t>
  </si>
  <si>
    <t>Boiler Feed Water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</si>
  <si>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</si>
  <si>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</si>
  <si>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</si>
  <si>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</si>
  <si>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</si>
  <si>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</si>
  <si>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</si>
  <si>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</si>
  <si>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</si>
  <si>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</si>
  <si>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</si>
  <si>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</si>
  <si>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</si>
  <si>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</si>
  <si>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</si>
  <si>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Gross Margin (EBITDA/PBITDA)</t>
  </si>
  <si>
    <t>Inflation (after adjustment of dollar appreciation)</t>
  </si>
  <si>
    <t xml:space="preserve">Unit </t>
  </si>
  <si>
    <t>Break Even Point (at optimum capacity utilization)</t>
  </si>
  <si>
    <t>Year of Operation</t>
  </si>
  <si>
    <t>Total  Cost of Sales</t>
  </si>
  <si>
    <t>Gross Profit</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</si>
  <si>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</si>
  <si>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</si>
  <si>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</si>
  <si>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</si>
  <si>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</si>
  <si>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</si>
  <si>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</si>
  <si>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</si>
  <si>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</si>
  <si>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</si>
  <si>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</si>
  <si>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</si>
  <si>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</si>
  <si>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</si>
  <si>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</si>
  <si>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</si>
  <si>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</si>
  <si>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</si>
  <si>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</si>
  <si>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</si>
  <si>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</si>
  <si>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</si>
  <si>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</si>
  <si>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</si>
  <si>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</si>
  <si>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</si>
  <si>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</si>
  <si>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</si>
  <si>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</si>
  <si>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</si>
  <si>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</si>
  <si>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</si>
  <si>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</si>
  <si>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</si>
  <si>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</si>
  <si>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</si>
  <si>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</si>
  <si>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</si>
  <si>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</si>
  <si>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</si>
  <si>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</si>
  <si>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</si>
  <si>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</si>
  <si>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</si>
  <si>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</si>
  <si>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</si>
  <si>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</si>
  <si>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</si>
  <si>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</si>
  <si>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</si>
  <si>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</si>
  <si>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</si>
  <si>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</si>
  <si>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</si>
  <si>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</si>
  <si>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</si>
  <si>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</si>
  <si>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</si>
  <si>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</si>
  <si>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</si>
  <si>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</si>
  <si>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</si>
  <si>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</si>
  <si>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</si>
  <si>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</si>
  <si>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</si>
  <si>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</si>
  <si>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</si>
  <si>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</si>
  <si>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</si>
  <si>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</si>
  <si>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</si>
  <si>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</si>
  <si>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</si>
  <si>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</si>
  <si>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</si>
  <si>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</si>
  <si>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</si>
  <si>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</si>
  <si>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</si>
  <si>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</si>
  <si>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</si>
  <si>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</si>
  <si>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</si>
  <si>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Annual Sales Revenue @ 100 Percent Capacity Utilization</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</si>
  <si>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</si>
  <si>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</si>
  <si>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</si>
  <si>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</si>
  <si>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</si>
  <si>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</si>
  <si>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</si>
  <si>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</si>
  <si>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</si>
  <si>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</si>
  <si>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</si>
  <si>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</si>
  <si>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</si>
  <si>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</si>
  <si>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</si>
  <si>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</si>
  <si>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</si>
  <si>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</si>
  <si>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</si>
  <si>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</si>
  <si>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</si>
  <si>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</si>
  <si>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</si>
  <si>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</si>
  <si>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</si>
  <si>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</si>
  <si>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</si>
  <si>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</si>
  <si>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</si>
  <si>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</si>
  <si>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</si>
  <si>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</si>
  <si>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</si>
  <si>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</si>
  <si>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</si>
  <si>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</si>
  <si>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</si>
  <si>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</si>
  <si>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</si>
  <si>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</si>
  <si>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</si>
  <si>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</si>
  <si>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</si>
  <si>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</si>
  <si>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</si>
  <si>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</si>
  <si>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</si>
  <si>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</si>
  <si>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</si>
  <si>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</si>
  <si>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</si>
  <si>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</si>
  <si>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average of this item is not required</t>
  </si>
  <si>
    <t>This sheet may not be necessary, "Norms" sheet can be directly linked to other worksheets.</t>
  </si>
  <si>
    <t>Interest cost not mentioned??</t>
  </si>
  <si>
    <t>Annual Sales</t>
  </si>
  <si>
    <t>For Hazira</t>
  </si>
  <si>
    <t> (Rs/MT NH3)</t>
  </si>
  <si>
    <t>2021-22</t>
  </si>
  <si>
    <t>For Shahjahanpur</t>
  </si>
  <si>
    <t xml:space="preserve">(Rs/MT NH3) </t>
  </si>
  <si>
    <t xml:space="preserve">Variable Cost </t>
  </si>
  <si>
    <t>Fixed  Cost</t>
  </si>
  <si>
    <t>Maintenance and repairs (2.0% of fixed-capital investment)(Capex)</t>
  </si>
  <si>
    <t>Varaible Cost</t>
  </si>
  <si>
    <t>Fixed Cost</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</si>
  <si>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</si>
  <si>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</si>
  <si>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</si>
  <si>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</si>
  <si>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</si>
  <si>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</si>
  <si>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</si>
  <si>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</si>
  <si>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Long Term Loans</t>
  </si>
  <si>
    <t>Moratorium</t>
  </si>
  <si>
    <t>Tenure</t>
  </si>
  <si>
    <t>Loan</t>
  </si>
  <si>
    <t>Annual Installment</t>
  </si>
  <si>
    <t>-2 (6 Months Equity)</t>
  </si>
  <si>
    <t>Loan Repayment</t>
  </si>
  <si>
    <t>Loan Outstanding</t>
  </si>
  <si>
    <t>Total cost</t>
  </si>
  <si>
    <t>Years</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</si>
  <si>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</si>
  <si>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</si>
  <si>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</si>
  <si>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</si>
  <si>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</si>
  <si>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</si>
  <si>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</si>
  <si>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</si>
  <si>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</si>
  <si>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</si>
  <si>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</si>
  <si>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</si>
  <si>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</si>
  <si>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</si>
  <si>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</si>
  <si>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</si>
  <si>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</si>
  <si>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</si>
  <si>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</si>
  <si>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</si>
  <si>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</si>
  <si>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</si>
  <si>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</si>
  <si>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</si>
  <si>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</si>
  <si>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</si>
  <si>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</si>
  <si>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</si>
  <si>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</si>
  <si>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</si>
  <si>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</si>
  <si>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</si>
  <si>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</si>
  <si>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</si>
  <si>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Ammonia</t>
  </si>
  <si>
    <t>SL.</t>
  </si>
  <si>
    <t>Item</t>
  </si>
  <si>
    <t>2</t>
  </si>
  <si>
    <t>3</t>
  </si>
  <si>
    <t>4</t>
  </si>
  <si>
    <t>5</t>
  </si>
  <si>
    <t>6</t>
  </si>
  <si>
    <t>7</t>
  </si>
  <si>
    <t>8</t>
  </si>
  <si>
    <t>9</t>
  </si>
  <si>
    <t>10</t>
  </si>
  <si>
    <t>11</t>
  </si>
  <si>
    <t>12</t>
  </si>
  <si>
    <t>13</t>
  </si>
  <si>
    <t>14</t>
  </si>
  <si>
    <t>15</t>
  </si>
  <si>
    <t>NO.</t>
  </si>
  <si>
    <t>ASSETS</t>
  </si>
  <si>
    <t>LIABILITIES</t>
  </si>
  <si>
    <t>Retained Earnings</t>
  </si>
  <si>
    <t>Working Capital Margin</t>
  </si>
  <si>
    <t>Income bef. Depr.,Int.&amp; Taxes</t>
  </si>
  <si>
    <t>Interest LT loan</t>
  </si>
  <si>
    <t xml:space="preserve">Depreciation </t>
  </si>
  <si>
    <t>Taxes on Income</t>
  </si>
  <si>
    <t>Profit after Tax</t>
  </si>
  <si>
    <t>EBIDTA%</t>
  </si>
  <si>
    <t>CASH FLOW STATEMENT</t>
  </si>
  <si>
    <t>Construction Period</t>
  </si>
  <si>
    <t>Sl.No.</t>
  </si>
  <si>
    <t>1</t>
  </si>
  <si>
    <t>SOURCE OF FUNDS</t>
  </si>
  <si>
    <t>Increase in LT Loan</t>
  </si>
  <si>
    <t>TOTAL (A)</t>
  </si>
  <si>
    <t>APPLICATION OF FUNDS</t>
  </si>
  <si>
    <t>Cost of Construction</t>
  </si>
  <si>
    <t>Interest on LT Loan</t>
  </si>
  <si>
    <t>TOTAL (B)</t>
  </si>
  <si>
    <t>C</t>
  </si>
  <si>
    <t>Cash surplus for period</t>
  </si>
  <si>
    <t>D</t>
  </si>
  <si>
    <t>INCOME TAX CALCULATION</t>
  </si>
  <si>
    <t>16</t>
  </si>
  <si>
    <t>17</t>
  </si>
  <si>
    <t>18</t>
  </si>
  <si>
    <t>Profit before Tax</t>
  </si>
  <si>
    <t>Add - Dep.as per Books</t>
  </si>
  <si>
    <t>Less - Depreciation for 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</si>
  <si>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</si>
  <si>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</si>
  <si>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</si>
  <si>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</si>
  <si>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</si>
  <si>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</si>
  <si>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</si>
  <si>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</si>
  <si>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</si>
  <si>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</si>
  <si>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</si>
  <si>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</si>
  <si>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</si>
  <si>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</si>
  <si>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</si>
  <si>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</si>
  <si>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</si>
  <si>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</si>
  <si>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</si>
  <si>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</si>
  <si>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</si>
  <si>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</si>
  <si>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</si>
  <si>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</si>
  <si>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</si>
  <si>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</si>
  <si>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</si>
  <si>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</si>
  <si>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</si>
  <si>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</si>
  <si>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</si>
  <si>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</si>
  <si>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</si>
  <si>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</si>
  <si>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</si>
  <si>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</si>
  <si>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</si>
  <si>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</si>
  <si>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</si>
  <si>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Equity IRR</t>
  </si>
  <si>
    <t>Project IRR</t>
  </si>
  <si>
    <t>WNA production</t>
  </si>
  <si>
    <t>%</t>
  </si>
  <si>
    <t>Capacity Utilisation</t>
  </si>
  <si>
    <t>OSBL Facilities</t>
  </si>
  <si>
    <t>Cooling Tower</t>
  </si>
  <si>
    <t>DM Water plant</t>
  </si>
  <si>
    <t>STG for power generation</t>
  </si>
  <si>
    <t>Storage tanks-WNA</t>
  </si>
  <si>
    <t>Storage tank-AN</t>
  </si>
  <si>
    <t>Instrument air package</t>
  </si>
  <si>
    <t>Sl No.</t>
  </si>
  <si>
    <t>Capacity</t>
  </si>
  <si>
    <t>Cost, Rs Cr.</t>
  </si>
  <si>
    <t>DM water tank</t>
  </si>
  <si>
    <t>M3/hr</t>
  </si>
  <si>
    <t>m3/hr</t>
  </si>
  <si>
    <t>MW</t>
  </si>
  <si>
    <t>NM3/hr</t>
  </si>
  <si>
    <t>M3</t>
  </si>
  <si>
    <t>m3</t>
  </si>
  <si>
    <t>Units</t>
  </si>
  <si>
    <t>WTP plusTreated water tank</t>
  </si>
  <si>
    <t>Rs/m3</t>
  </si>
  <si>
    <t>DM water/BFW water</t>
  </si>
  <si>
    <t>Process water/Treated water/cooling water make up</t>
  </si>
  <si>
    <t>Sub-Total</t>
  </si>
  <si>
    <t>gm/MT</t>
  </si>
  <si>
    <t>Platinum catalyst loss</t>
  </si>
  <si>
    <t>Platinum catalyst</t>
  </si>
  <si>
    <t>INR/gm</t>
  </si>
  <si>
    <t>Chemicals</t>
  </si>
  <si>
    <t>INR lakhs</t>
  </si>
  <si>
    <t>Pt-Rh Catalyst guaze</t>
  </si>
  <si>
    <t>Administrative Overhead @25% of salary &amp; wages</t>
  </si>
  <si>
    <t xml:space="preserve">Plant Overhead and Administrative Costs </t>
  </si>
  <si>
    <t>Total  Production Cost-AN</t>
  </si>
  <si>
    <t>Total  Production Cost- WNA</t>
  </si>
  <si>
    <t>AN Production</t>
  </si>
  <si>
    <t>Construction Period Months</t>
  </si>
  <si>
    <t>Interest Rate (Term Loan)</t>
  </si>
  <si>
    <t>Cumulative</t>
  </si>
  <si>
    <t>Cumultive</t>
  </si>
  <si>
    <t>Phasing</t>
  </si>
  <si>
    <t>Half yearly</t>
  </si>
  <si>
    <t>First half yr</t>
  </si>
  <si>
    <t>Secod half yr</t>
  </si>
  <si>
    <t>Third half yr</t>
  </si>
  <si>
    <t>Fourth half yr</t>
  </si>
  <si>
    <t>Project cost with out IDC</t>
  </si>
  <si>
    <t>Rs lakhs</t>
  </si>
  <si>
    <t>Rs Lakhs</t>
  </si>
  <si>
    <t>Debt:Equity</t>
  </si>
  <si>
    <t>Balance</t>
  </si>
  <si>
    <t>Half yrly</t>
  </si>
  <si>
    <t>Total project cost with IDC</t>
  </si>
  <si>
    <t>Book</t>
  </si>
  <si>
    <t>IT</t>
  </si>
  <si>
    <t>Miscellaneous</t>
  </si>
  <si>
    <t>Civil Works-building &amp; site development</t>
  </si>
  <si>
    <t xml:space="preserve"> Total Depreciation</t>
  </si>
  <si>
    <t>Stream days</t>
  </si>
  <si>
    <t>Working Capital Requirement</t>
  </si>
  <si>
    <t xml:space="preserve">Total Working Capital Requirement </t>
  </si>
  <si>
    <t>Sources of Working Capital</t>
  </si>
  <si>
    <t>Working Capital Loan (75% of WC)</t>
  </si>
  <si>
    <t>Increase in Working Capital loan</t>
  </si>
  <si>
    <t xml:space="preserve">Receivables </t>
  </si>
  <si>
    <t>Inventory -Finished products-WNA, no inventory for AN</t>
  </si>
  <si>
    <t>Inventory -Ammonia</t>
  </si>
  <si>
    <t>Credit from KFL-Ammonia</t>
  </si>
  <si>
    <t>WNA sales qty (MT)</t>
  </si>
  <si>
    <t>Variable Cost- WNA &amp; AN</t>
  </si>
  <si>
    <t>Fixed Cost- WNA &amp; AN</t>
  </si>
  <si>
    <t>Insurance (0.5% of project cost)</t>
  </si>
  <si>
    <t>WORKING CAPITAL REQUIREMENT</t>
  </si>
  <si>
    <t>Fixed cost (Salary &amp; wages, RM etc)</t>
  </si>
  <si>
    <t>Margin Money for Working Capital (25%)</t>
  </si>
  <si>
    <t>Interest of long term loan</t>
  </si>
  <si>
    <t>Interest on short term loan</t>
  </si>
  <si>
    <t>Interest (Rs Cr.)</t>
  </si>
  <si>
    <t>-2</t>
  </si>
  <si>
    <t>Profit for Taxation</t>
  </si>
  <si>
    <t>-</t>
  </si>
  <si>
    <t>WC Margin Money Return</t>
  </si>
  <si>
    <t>Add Book Depreciation</t>
  </si>
  <si>
    <t>Add Interest on Term Loan</t>
  </si>
  <si>
    <t>IRR on Project (Post Tax)</t>
  </si>
  <si>
    <t>Check</t>
  </si>
  <si>
    <t>Project NPV</t>
  </si>
  <si>
    <t>Net Equity Cash Flow</t>
  </si>
  <si>
    <t>Interest Payment On Term Loan</t>
  </si>
  <si>
    <t>Term Loan  Repayment</t>
  </si>
  <si>
    <t>Lenders Fund Requirement</t>
  </si>
  <si>
    <t>Funds Available</t>
  </si>
  <si>
    <t>Ratio</t>
  </si>
  <si>
    <t xml:space="preserve">Average DSCR </t>
  </si>
  <si>
    <t>Working Capital Margin Money increase</t>
  </si>
  <si>
    <t>WC Loans Outstanding Return</t>
  </si>
  <si>
    <t>Project cost</t>
  </si>
  <si>
    <t>Less : Term Loan repayment</t>
  </si>
  <si>
    <t>Depreciation provision</t>
  </si>
  <si>
    <t>Increase in ST (WC) Loan</t>
  </si>
  <si>
    <t>Increase in Working Capital</t>
  </si>
  <si>
    <t>Repayment of LT loans</t>
  </si>
  <si>
    <t>Interest on WC loan</t>
  </si>
  <si>
    <t>Provision for Tax</t>
  </si>
  <si>
    <t>Cumulative Cash at end of period</t>
  </si>
  <si>
    <t>Cash In Hand</t>
  </si>
  <si>
    <t>Projected Balance Sheet</t>
  </si>
  <si>
    <t>Promoters contribution- Equity</t>
  </si>
  <si>
    <t>Promoters contribution-Equity</t>
  </si>
  <si>
    <t xml:space="preserve">Long Term Loans </t>
  </si>
  <si>
    <t>WC loans</t>
  </si>
  <si>
    <t>Reserves &amp; Surplus (retained earnings)</t>
  </si>
  <si>
    <t>Gross Fixed assets</t>
  </si>
  <si>
    <t>Accu. Depreciation</t>
  </si>
  <si>
    <t xml:space="preserve">Net Fixed Asset </t>
  </si>
  <si>
    <t>Current Assets (WC)</t>
  </si>
  <si>
    <t>Check (Asset-Liabilities)</t>
  </si>
  <si>
    <t>IRR &amp; PAYBACK PERIOD</t>
  </si>
  <si>
    <t>INR Cr</t>
  </si>
  <si>
    <t>Terminal Value/salvage value @ 5%</t>
  </si>
  <si>
    <t>Net Project Cash Flow</t>
  </si>
  <si>
    <t>CAPEX less WC Margin</t>
  </si>
  <si>
    <t>IRR on Equity</t>
  </si>
  <si>
    <t>Rate</t>
  </si>
  <si>
    <t>Terminal Value /salvage value @ 5%</t>
  </si>
  <si>
    <t>DEPRECIATION CALCULATION</t>
  </si>
  <si>
    <t>Book Depreciation- SLM</t>
  </si>
  <si>
    <t>Depreciation for IT-WDV method</t>
  </si>
  <si>
    <t>Total Depreciation</t>
  </si>
  <si>
    <t>INR Cr.</t>
  </si>
  <si>
    <t>Interest on Working Capital  Loan</t>
  </si>
  <si>
    <t>GST Paid on Inputs</t>
  </si>
  <si>
    <t>Input Credit Available</t>
  </si>
  <si>
    <t>GST on Outputs</t>
  </si>
  <si>
    <t>ITC available over 5 years after commissioning</t>
  </si>
  <si>
    <t>ITC Carried Forward</t>
  </si>
  <si>
    <t>Calculation of Input Tax Credit on GST</t>
  </si>
  <si>
    <t>Input</t>
  </si>
  <si>
    <t>GST Rate</t>
  </si>
  <si>
    <t>Output</t>
  </si>
  <si>
    <t>AN</t>
  </si>
  <si>
    <t>GST Paid on Plant &amp; Machinery</t>
  </si>
  <si>
    <t>Total GST on products</t>
  </si>
  <si>
    <t>Calculation of ITC on GST</t>
  </si>
  <si>
    <t>Actual GST payable</t>
  </si>
  <si>
    <t>Total ITC available (GST on input+plant &amp; machinery)</t>
  </si>
  <si>
    <t>GST Collected on products Sales</t>
  </si>
  <si>
    <t>Net GST payable</t>
  </si>
  <si>
    <t>Project payback  period</t>
  </si>
  <si>
    <t>Cumulative cash flow</t>
  </si>
  <si>
    <t>Payback period</t>
  </si>
  <si>
    <t>Equity payback  period</t>
  </si>
  <si>
    <t>Cumulative equity cash flow</t>
  </si>
  <si>
    <t>Equity Payback period</t>
  </si>
  <si>
    <t>65 million USD</t>
  </si>
  <si>
    <t>Erection and foundation at 10% of plant machinery</t>
  </si>
  <si>
    <t>Case 1 :</t>
  </si>
  <si>
    <t xml:space="preserve">Project IRR </t>
  </si>
  <si>
    <t>Project Payback Period</t>
  </si>
  <si>
    <t>Equity Payback Period</t>
  </si>
  <si>
    <t>Raw Material Price Increases by 10%</t>
  </si>
  <si>
    <t>Gross Margin (%)</t>
  </si>
  <si>
    <t>PAT Margin (%)</t>
  </si>
  <si>
    <t>PBT Margin (%)</t>
  </si>
  <si>
    <t xml:space="preserve">Case 2: </t>
  </si>
  <si>
    <t>Project Cost decreases by 5%</t>
  </si>
  <si>
    <t>Case 3 :</t>
  </si>
  <si>
    <t xml:space="preserve">Selling Price increases by 10%	</t>
  </si>
  <si>
    <t>82500 MTPA Weak Nitric Acid</t>
  </si>
  <si>
    <t>100000 MTPA Ammonium Nitrate Plant</t>
  </si>
  <si>
    <t>Salary and Wages</t>
  </si>
  <si>
    <t>Increase in the Margin Money</t>
  </si>
  <si>
    <t>2x125</t>
  </si>
  <si>
    <t>Sewage Treatment Plant</t>
  </si>
  <si>
    <t>KLD</t>
  </si>
  <si>
    <t>Effluent Treatment plant with ZLD facility</t>
  </si>
  <si>
    <t>M3/day</t>
  </si>
  <si>
    <t>Current Selling Prices of Ammonium Nitrate and Weak Nitric Acid</t>
  </si>
  <si>
    <t xml:space="preserve">Case 4: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</si>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</sst>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 #,##0.00_ ;_ * \-#,##0.00_ ;_ * &quot;-&quot;??_ ;_ @_ "/>
    <numFmt numFmtId="164" formatCode="_(* #,##0.00_);_(* \(#,##0.00\);_(* &quot;-&quot;??_);_(@_)"/>
    <numFmt numFmtId="165" formatCode="_(* #,##0_);_(* \(#,##0\);_(* &quot;-&quot;??_);_(@_)"/>
    <numFmt numFmtId="166" formatCode="0.0"/>
    <numFmt numFmtId="167" formatCode="0.0%"/>
    <numFmt numFmtId="168" formatCode="_(* #,##0_);_(* \(#,##0\);_(* &quot;-&quot;_);@_)"/>
    <numFmt numFmtId="169" formatCode="0%_);\(0%\)"/>
    <numFmt numFmtId="170" formatCode="General_)"/>
    <numFmt numFmtId="171" formatCode="#,##0.0"/>
    <numFmt numFmtId="172" formatCode="0.00_)"/>
    <numFmt numFmtId="173" formatCode="0.0_)"/>
    <numFmt numFmtId="174" formatCode="0.000000_)"/>
    <numFmt numFmtId="175" formatCode=";;;"/>
    <numFmt numFmtId="176" formatCode="0.0000"/>
  </numFmts>
  <fonts count="62" x14ac:knownFonts="1">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sz val="10"/>
      <name val="Courier"/>
      <family val="3"/>
    </font>
    <font>
      <b/>
      <sz val="11"/>
      <name val="Calibri"/>
      <family val="2"/>
      <scheme val="minor"/>
    </font>
    <font>
      <sz val="10"/>
      <name val="Courier"/>
    </font>
    <font>
      <b/>
      <sz val="12"/>
      <name val="Arial"/>
      <family val="2"/>
    </font>
    <font>
      <b/>
      <sz val="11"/>
      <name val="Arial"/>
      <family val="2"/>
    </font>
    <font>
      <b/>
      <sz val="11"/>
      <color theme="1"/>
      <name val="Arial"/>
      <family val="2"/>
    </font>
    <font>
      <sz val="10"/>
      <name val="Calibri"/>
      <family val="2"/>
      <scheme val="minor"/>
    </font>
  </fonts>
  <fills count="23">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rgb="FF92D050"/>
        <bgColor indexed="64"/>
      </patternFill>
    </fill>
    <fill>
      <patternFill patternType="solid">
        <fgColor theme="7" tint="0.39997558519241921"/>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1">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164" fontId="1" fillId="0" borderId="0" applyFont="0" applyFill="0" applyBorder="0" applyAlignment="0" applyProtection="0"/>
    <xf numFmtId="0" fontId="1" fillId="0" borderId="0"/>
    <xf numFmtId="168" fontId="10" fillId="0" borderId="0"/>
    <xf numFmtId="0" fontId="16" fillId="5" borderId="0" applyNumberFormat="0" applyBorder="0" applyAlignment="0" applyProtection="0"/>
    <xf numFmtId="0" fontId="20" fillId="8" borderId="14" applyNumberFormat="0" applyAlignment="0" applyProtection="0"/>
    <xf numFmtId="0" fontId="22" fillId="9" borderId="17" applyNumberFormat="0" applyAlignment="0" applyProtection="0"/>
    <xf numFmtId="43" fontId="10" fillId="0" borderId="0" applyFont="0" applyFill="0" applyBorder="0" applyAlignment="0" applyProtection="0"/>
    <xf numFmtId="0" fontId="23" fillId="0" borderId="0" applyNumberFormat="0" applyFill="0" applyBorder="0" applyAlignment="0" applyProtection="0"/>
    <xf numFmtId="0" fontId="15" fillId="4" borderId="0" applyNumberFormat="0" applyBorder="0" applyAlignment="0" applyProtection="0"/>
    <xf numFmtId="49" fontId="12" fillId="0" borderId="19" applyFill="0" applyProtection="0">
      <alignment horizontal="right" wrapText="1"/>
    </xf>
    <xf numFmtId="49" fontId="13" fillId="0" borderId="0" applyProtection="0">
      <alignment wrapText="1"/>
    </xf>
    <xf numFmtId="49" fontId="14" fillId="0" borderId="20" applyFill="0" applyProtection="0">
      <alignment horizontal="right" wrapText="1"/>
    </xf>
    <xf numFmtId="49" fontId="14" fillId="0" borderId="0" applyProtection="0">
      <alignment wrapText="1"/>
    </xf>
    <xf numFmtId="0" fontId="29" fillId="0" borderId="0" applyNumberFormat="0" applyFill="0" applyBorder="0" applyAlignment="0" applyProtection="0">
      <alignment vertical="top"/>
      <protection locked="0"/>
    </xf>
    <xf numFmtId="0" fontId="18" fillId="7" borderId="14" applyNumberFormat="0" applyAlignment="0" applyProtection="0"/>
    <xf numFmtId="0" fontId="21" fillId="0" borderId="16" applyNumberFormat="0" applyFill="0" applyAlignment="0" applyProtection="0"/>
    <xf numFmtId="0" fontId="17" fillId="6" borderId="0" applyNumberFormat="0" applyBorder="0" applyAlignment="0" applyProtection="0"/>
    <xf numFmtId="0" fontId="1" fillId="0" borderId="0"/>
    <xf numFmtId="0" fontId="10" fillId="10" borderId="18" applyNumberFormat="0" applyAlignment="0" applyProtection="0"/>
    <xf numFmtId="0" fontId="19" fillId="8" borderId="15" applyNumberFormat="0" applyAlignment="0" applyProtection="0"/>
    <xf numFmtId="9" fontId="10" fillId="0" borderId="0" applyFont="0" applyFill="0" applyBorder="0" applyAlignment="0" applyProtection="0"/>
    <xf numFmtId="9" fontId="1" fillId="0" borderId="0" applyFont="0" applyFill="0" applyBorder="0" applyAlignment="0" applyProtection="0"/>
    <xf numFmtId="168" fontId="25" fillId="0" borderId="0" applyNumberFormat="0" applyFill="0" applyBorder="0" applyAlignment="0" applyProtection="0"/>
    <xf numFmtId="168" fontId="10" fillId="11" borderId="0" applyNumberFormat="0" applyFont="0" applyBorder="0" applyAlignment="0" applyProtection="0"/>
    <xf numFmtId="0" fontId="10" fillId="0" borderId="0" applyFill="0" applyBorder="0" applyProtection="0"/>
    <xf numFmtId="168" fontId="10" fillId="12" borderId="0" applyNumberFormat="0" applyFont="0" applyBorder="0" applyAlignment="0" applyProtection="0"/>
    <xf numFmtId="169" fontId="10" fillId="0" borderId="0" applyFill="0" applyBorder="0" applyAlignment="0" applyProtection="0"/>
    <xf numFmtId="0" fontId="26" fillId="0" borderId="0" applyNumberFormat="0" applyAlignment="0" applyProtection="0"/>
    <xf numFmtId="0" fontId="25" fillId="0" borderId="19" applyFill="0" applyProtection="0">
      <alignment horizontal="left" wrapText="1"/>
    </xf>
    <xf numFmtId="0" fontId="25" fillId="0" borderId="0" applyFill="0" applyProtection="0">
      <alignment wrapText="1"/>
    </xf>
    <xf numFmtId="0" fontId="25" fillId="0" borderId="23" applyFill="0" applyProtection="0">
      <alignment wrapText="1"/>
    </xf>
    <xf numFmtId="168" fontId="27" fillId="0" borderId="22" applyNumberFormat="0" applyFill="0" applyAlignment="0" applyProtection="0"/>
    <xf numFmtId="0" fontId="28" fillId="0" borderId="0" applyAlignment="0" applyProtection="0"/>
    <xf numFmtId="0" fontId="27" fillId="0" borderId="21" applyNumberFormat="0" applyFill="0" applyAlignment="0" applyProtection="0"/>
    <xf numFmtId="49" fontId="11" fillId="0" borderId="0" applyAlignment="0" applyProtection="0"/>
    <xf numFmtId="0" fontId="24"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0" fillId="0" borderId="0"/>
    <xf numFmtId="168" fontId="10" fillId="0" borderId="0"/>
    <xf numFmtId="9" fontId="10" fillId="0" borderId="0" applyFont="0" applyFill="0" applyBorder="0" applyAlignment="0" applyProtection="0"/>
    <xf numFmtId="0" fontId="30" fillId="0" borderId="0"/>
    <xf numFmtId="0" fontId="3" fillId="0" borderId="0"/>
    <xf numFmtId="0" fontId="31" fillId="0" borderId="0" applyNumberFormat="0" applyFill="0" applyBorder="0" applyProtection="0">
      <alignment vertical="top" wrapText="1"/>
    </xf>
    <xf numFmtId="0" fontId="3" fillId="0" borderId="0"/>
    <xf numFmtId="9" fontId="3" fillId="0" borderId="0" applyFont="0" applyFill="0" applyBorder="0" applyAlignment="0" applyProtection="0"/>
    <xf numFmtId="0" fontId="55" fillId="0" borderId="0"/>
    <xf numFmtId="0" fontId="3" fillId="0" borderId="0"/>
    <xf numFmtId="164" fontId="3" fillId="0" borderId="0" applyFont="0" applyFill="0" applyBorder="0" applyAlignment="0" applyProtection="0"/>
    <xf numFmtId="0" fontId="57" fillId="0" borderId="0"/>
    <xf numFmtId="0" fontId="57"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9" fontId="3" fillId="0" borderId="0" applyFont="0" applyFill="0" applyBorder="0" applyAlignment="0" applyProtection="0"/>
    <xf numFmtId="0" fontId="57" fillId="0" borderId="0"/>
    <xf numFmtId="0" fontId="55" fillId="0" borderId="0"/>
  </cellStyleXfs>
  <cellXfs count="762">
    <xf numFmtId="0" fontId="0" fillId="0" borderId="0" xfId="0"/>
    <xf numFmtId="0" fontId="2" fillId="0" borderId="0" xfId="0" applyFont="1"/>
    <xf numFmtId="165" fontId="3" fillId="0" borderId="0" xfId="1" applyNumberFormat="1" applyFont="1" applyBorder="1" applyAlignment="1">
      <alignment horizontal="center" vertical="center"/>
    </xf>
    <xf numFmtId="1" fontId="2" fillId="0" borderId="0" xfId="0" applyNumberFormat="1" applyFont="1" applyAlignment="1">
      <alignment horizontal="center" vertical="center"/>
    </xf>
    <xf numFmtId="165" fontId="5"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0" fontId="3" fillId="0" borderId="25" xfId="0" applyFont="1" applyBorder="1" applyAlignment="1" applyProtection="1">
      <alignment horizontal="center" vertical="center"/>
      <protection locked="0"/>
    </xf>
    <xf numFmtId="2" fontId="2" fillId="0" borderId="0" xfId="0" applyNumberFormat="1" applyFont="1" applyAlignment="1">
      <alignment horizontal="center"/>
    </xf>
    <xf numFmtId="2" fontId="5" fillId="0" borderId="0" xfId="43" applyNumberFormat="1" applyFont="1" applyAlignment="1">
      <alignment horizontal="center" vertical="center"/>
    </xf>
    <xf numFmtId="0" fontId="3" fillId="0" borderId="0" xfId="43" applyAlignment="1">
      <alignment horizontal="center" vertical="center"/>
    </xf>
    <xf numFmtId="2" fontId="3" fillId="0" borderId="0" xfId="43" applyNumberFormat="1" applyAlignment="1">
      <alignment horizontal="center" vertical="center"/>
    </xf>
    <xf numFmtId="0" fontId="2" fillId="0" borderId="0" xfId="0" applyFont="1" applyAlignment="1">
      <alignment horizontal="center"/>
    </xf>
    <xf numFmtId="1" fontId="2" fillId="0" borderId="8" xfId="0" applyNumberFormat="1" applyFont="1" applyBorder="1" applyAlignment="1">
      <alignment horizontal="center"/>
    </xf>
    <xf numFmtId="2" fontId="8" fillId="0" borderId="0" xfId="0" applyNumberFormat="1" applyFont="1" applyAlignment="1">
      <alignment horizontal="center" vertical="center"/>
    </xf>
    <xf numFmtId="2" fontId="2" fillId="0" borderId="8" xfId="0" applyNumberFormat="1" applyFont="1" applyBorder="1" applyAlignment="1">
      <alignment horizontal="center"/>
    </xf>
    <xf numFmtId="2" fontId="6" fillId="0" borderId="1" xfId="0" applyNumberFormat="1" applyFont="1" applyBorder="1" applyAlignment="1">
      <alignment horizontal="center" vertical="center"/>
    </xf>
    <xf numFmtId="2" fontId="8" fillId="0" borderId="1" xfId="0" applyNumberFormat="1" applyFont="1" applyBorder="1" applyAlignment="1">
      <alignment horizontal="center"/>
    </xf>
    <xf numFmtId="2" fontId="6" fillId="0" borderId="8" xfId="0" applyNumberFormat="1" applyFont="1" applyBorder="1" applyAlignment="1">
      <alignment horizontal="center" vertical="center"/>
    </xf>
    <xf numFmtId="0" fontId="2" fillId="0" borderId="25" xfId="0" applyFont="1" applyBorder="1" applyAlignment="1">
      <alignment horizontal="center" vertical="center"/>
    </xf>
    <xf numFmtId="2" fontId="7" fillId="0" borderId="0" xfId="0" applyNumberFormat="1" applyFont="1" applyAlignment="1">
      <alignment horizontal="center" vertical="center"/>
    </xf>
    <xf numFmtId="3" fontId="7" fillId="0" borderId="0" xfId="0" applyNumberFormat="1" applyFont="1" applyAlignment="1">
      <alignment horizontal="center" vertical="center"/>
    </xf>
    <xf numFmtId="2" fontId="7" fillId="0" borderId="0" xfId="5" applyNumberFormat="1" applyFont="1" applyFill="1" applyBorder="1" applyAlignment="1">
      <alignment horizontal="center" vertical="center"/>
    </xf>
    <xf numFmtId="0" fontId="8" fillId="0" borderId="13" xfId="0" applyFont="1" applyBorder="1" applyAlignment="1">
      <alignment horizontal="center" vertical="center"/>
    </xf>
    <xf numFmtId="3" fontId="6" fillId="0" borderId="13" xfId="0" applyNumberFormat="1" applyFont="1" applyBorder="1" applyAlignment="1">
      <alignment horizontal="center" vertical="center"/>
    </xf>
    <xf numFmtId="2" fontId="6" fillId="0" borderId="13" xfId="0" applyNumberFormat="1" applyFont="1" applyBorder="1" applyAlignment="1">
      <alignment horizontal="center" vertical="center"/>
    </xf>
    <xf numFmtId="2" fontId="2" fillId="0" borderId="0" xfId="5" applyNumberFormat="1" applyFont="1" applyFill="1" applyBorder="1" applyAlignment="1">
      <alignment horizontal="center"/>
    </xf>
    <xf numFmtId="2" fontId="0" fillId="0" borderId="0" xfId="0" applyNumberFormat="1"/>
    <xf numFmtId="0" fontId="2" fillId="0" borderId="0" xfId="0" applyFont="1" applyAlignment="1">
      <alignment horizontal="left"/>
    </xf>
    <xf numFmtId="165" fontId="2" fillId="0" borderId="0" xfId="1" applyNumberFormat="1" applyFont="1" applyAlignment="1"/>
    <xf numFmtId="0" fontId="2" fillId="0" borderId="24" xfId="0" applyFont="1" applyBorder="1" applyAlignment="1">
      <alignment horizontal="center"/>
    </xf>
    <xf numFmtId="0" fontId="5"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Alignment="1" applyProtection="1">
      <alignment horizontal="center" vertical="center"/>
      <protection locked="0"/>
    </xf>
    <xf numFmtId="1" fontId="3" fillId="0" borderId="24" xfId="0" applyNumberFormat="1" applyFont="1" applyBorder="1" applyAlignment="1">
      <alignment horizontal="center" vertical="center"/>
    </xf>
    <xf numFmtId="0" fontId="5" fillId="0" borderId="25" xfId="41" applyFont="1" applyBorder="1" applyAlignment="1">
      <alignment horizontal="center" vertical="center"/>
    </xf>
    <xf numFmtId="9" fontId="3" fillId="0" borderId="0" xfId="41" applyNumberFormat="1" applyAlignment="1">
      <alignment horizontal="center" vertical="center"/>
    </xf>
    <xf numFmtId="0" fontId="5" fillId="0" borderId="0" xfId="41" applyFont="1" applyAlignment="1">
      <alignment horizontal="center" vertical="center"/>
    </xf>
    <xf numFmtId="0" fontId="5" fillId="0" borderId="24" xfId="41" applyFont="1" applyBorder="1" applyAlignment="1">
      <alignment horizontal="center" vertical="center"/>
    </xf>
    <xf numFmtId="0" fontId="5" fillId="0" borderId="10" xfId="41" applyFont="1" applyBorder="1" applyAlignment="1">
      <alignment horizontal="center" vertical="center"/>
    </xf>
    <xf numFmtId="0" fontId="5" fillId="0" borderId="25" xfId="43" applyFont="1" applyBorder="1" applyAlignment="1">
      <alignment vertical="center"/>
    </xf>
    <xf numFmtId="2" fontId="5" fillId="0" borderId="24" xfId="43" applyNumberFormat="1" applyFont="1" applyBorder="1" applyAlignment="1">
      <alignment horizontal="center" vertical="center"/>
    </xf>
    <xf numFmtId="0" fontId="3" fillId="0" borderId="24" xfId="43" applyBorder="1" applyAlignment="1">
      <alignment horizontal="center" vertical="center"/>
    </xf>
    <xf numFmtId="0" fontId="3" fillId="0" borderId="25" xfId="43" applyBorder="1" applyAlignment="1">
      <alignment vertical="center"/>
    </xf>
    <xf numFmtId="2" fontId="3" fillId="0" borderId="24" xfId="43" applyNumberFormat="1" applyBorder="1" applyAlignment="1">
      <alignment horizontal="center" vertical="center"/>
    </xf>
    <xf numFmtId="0" fontId="5" fillId="0" borderId="25" xfId="43" applyFont="1" applyBorder="1" applyAlignment="1">
      <alignment horizontal="center" vertical="center"/>
    </xf>
    <xf numFmtId="0" fontId="5" fillId="0" borderId="10" xfId="43" applyFont="1" applyBorder="1" applyAlignment="1">
      <alignment vertical="center"/>
    </xf>
    <xf numFmtId="10" fontId="5" fillId="0" borderId="11" xfId="51" applyNumberFormat="1" applyFont="1" applyBorder="1" applyAlignment="1">
      <alignment horizontal="center" vertical="center"/>
    </xf>
    <xf numFmtId="2" fontId="3" fillId="0" borderId="0" xfId="43" applyNumberFormat="1"/>
    <xf numFmtId="0" fontId="33" fillId="0" borderId="0" xfId="43" applyFont="1" applyAlignment="1">
      <alignment vertical="center"/>
    </xf>
    <xf numFmtId="0" fontId="33" fillId="0" borderId="24" xfId="43" applyFont="1" applyBorder="1" applyAlignment="1">
      <alignment vertical="center"/>
    </xf>
    <xf numFmtId="10" fontId="5" fillId="0" borderId="1" xfId="51" applyNumberFormat="1" applyFont="1" applyBorder="1" applyAlignment="1">
      <alignment horizontal="center" vertical="center"/>
    </xf>
    <xf numFmtId="0" fontId="3" fillId="0" borderId="0" xfId="43" applyAlignment="1">
      <alignment horizontal="center"/>
    </xf>
    <xf numFmtId="0" fontId="3" fillId="0" borderId="24" xfId="43" applyBorder="1" applyAlignment="1">
      <alignment horizontal="center"/>
    </xf>
    <xf numFmtId="0" fontId="3" fillId="0" borderId="5" xfId="43" applyBorder="1" applyAlignment="1">
      <alignment horizontal="center"/>
    </xf>
    <xf numFmtId="0" fontId="3" fillId="0" borderId="12" xfId="43" applyBorder="1" applyAlignment="1">
      <alignment horizontal="center"/>
    </xf>
    <xf numFmtId="2" fontId="3" fillId="0" borderId="0" xfId="41" applyNumberFormat="1" applyAlignment="1">
      <alignment horizontal="center" vertical="center"/>
    </xf>
    <xf numFmtId="2" fontId="3" fillId="0" borderId="24" xfId="41" applyNumberFormat="1" applyBorder="1" applyAlignment="1">
      <alignment horizontal="center" vertical="center"/>
    </xf>
    <xf numFmtId="2" fontId="3" fillId="0" borderId="1" xfId="41" applyNumberFormat="1" applyBorder="1" applyAlignment="1">
      <alignment horizontal="center" vertical="center"/>
    </xf>
    <xf numFmtId="2" fontId="3" fillId="0" borderId="11" xfId="41" applyNumberFormat="1" applyBorder="1" applyAlignment="1">
      <alignment horizontal="center" vertical="center"/>
    </xf>
    <xf numFmtId="0" fontId="2" fillId="0" borderId="10" xfId="0" applyFont="1" applyBorder="1" applyAlignment="1">
      <alignment horizontal="center" vertical="center"/>
    </xf>
    <xf numFmtId="9" fontId="0" fillId="0" borderId="0" xfId="3" applyFont="1"/>
    <xf numFmtId="0" fontId="5" fillId="0" borderId="5" xfId="0" applyFont="1" applyBorder="1" applyAlignment="1">
      <alignment horizontal="center" vertical="center"/>
    </xf>
    <xf numFmtId="0" fontId="8" fillId="0" borderId="1" xfId="0" applyFont="1" applyBorder="1"/>
    <xf numFmtId="2" fontId="3" fillId="0" borderId="0" xfId="41" applyNumberFormat="1" applyAlignment="1">
      <alignment vertical="center"/>
    </xf>
    <xf numFmtId="2" fontId="5" fillId="0" borderId="0" xfId="41" applyNumberFormat="1" applyFont="1" applyAlignment="1">
      <alignment vertical="center"/>
    </xf>
    <xf numFmtId="0" fontId="5" fillId="0" borderId="25" xfId="41" applyFont="1" applyBorder="1" applyAlignment="1">
      <alignment vertical="center"/>
    </xf>
    <xf numFmtId="0" fontId="3" fillId="0" borderId="25" xfId="41" applyBorder="1" applyAlignment="1">
      <alignment vertical="center"/>
    </xf>
    <xf numFmtId="2" fontId="3" fillId="0" borderId="24" xfId="41" applyNumberFormat="1" applyBorder="1" applyAlignment="1">
      <alignment vertical="center"/>
    </xf>
    <xf numFmtId="2" fontId="5" fillId="0" borderId="24" xfId="41" applyNumberFormat="1" applyFont="1" applyBorder="1" applyAlignment="1">
      <alignment vertical="center"/>
    </xf>
    <xf numFmtId="0" fontId="5" fillId="0" borderId="10" xfId="41" applyFont="1" applyBorder="1" applyAlignment="1">
      <alignment vertical="center"/>
    </xf>
    <xf numFmtId="2" fontId="5" fillId="0" borderId="1" xfId="41" applyNumberFormat="1" applyFont="1" applyBorder="1" applyAlignment="1">
      <alignment vertical="center"/>
    </xf>
    <xf numFmtId="0" fontId="3" fillId="0" borderId="1" xfId="41" applyBorder="1" applyAlignment="1">
      <alignment vertical="center"/>
    </xf>
    <xf numFmtId="0" fontId="3" fillId="0" borderId="11" xfId="41" applyBorder="1" applyAlignment="1">
      <alignment vertical="center"/>
    </xf>
    <xf numFmtId="1" fontId="0" fillId="0" borderId="0" xfId="0" applyNumberFormat="1"/>
    <xf numFmtId="2" fontId="37" fillId="0" borderId="0" xfId="3" applyNumberFormat="1" applyFont="1" applyAlignment="1">
      <alignment horizontal="center"/>
    </xf>
    <xf numFmtId="4" fontId="2" fillId="0" borderId="0" xfId="0" applyNumberFormat="1" applyFont="1"/>
    <xf numFmtId="0" fontId="9" fillId="15" borderId="8"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38" fillId="15" borderId="2" xfId="0" applyFont="1" applyFill="1" applyBorder="1" applyAlignment="1">
      <alignment horizontal="center"/>
    </xf>
    <xf numFmtId="0" fontId="0" fillId="0" borderId="12" xfId="0" applyBorder="1"/>
    <xf numFmtId="0" fontId="41" fillId="0" borderId="0" xfId="0" applyFont="1" applyAlignment="1">
      <alignment horizontal="left"/>
    </xf>
    <xf numFmtId="2" fontId="2" fillId="0" borderId="0" xfId="0" applyNumberFormat="1" applyFont="1" applyAlignment="1">
      <alignment horizontal="left"/>
    </xf>
    <xf numFmtId="0" fontId="0" fillId="13" borderId="0" xfId="0" applyFill="1"/>
    <xf numFmtId="0" fontId="2" fillId="13" borderId="0" xfId="0" applyFont="1" applyFill="1" applyAlignment="1">
      <alignment horizontal="center"/>
    </xf>
    <xf numFmtId="0" fontId="2" fillId="13" borderId="0" xfId="0" applyFont="1" applyFill="1"/>
    <xf numFmtId="2" fontId="2" fillId="13" borderId="0" xfId="0" applyNumberFormat="1" applyFont="1" applyFill="1" applyAlignment="1">
      <alignment horizontal="center"/>
    </xf>
    <xf numFmtId="2" fontId="6" fillId="13" borderId="0" xfId="0" applyNumberFormat="1" applyFont="1" applyFill="1" applyAlignment="1">
      <alignment horizontal="center" vertical="center"/>
    </xf>
    <xf numFmtId="0" fontId="8" fillId="13" borderId="0" xfId="0" applyFont="1" applyFill="1"/>
    <xf numFmtId="0" fontId="39" fillId="15" borderId="7" xfId="0" applyFont="1" applyFill="1" applyBorder="1" applyAlignment="1">
      <alignment horizontal="center"/>
    </xf>
    <xf numFmtId="0" fontId="39" fillId="15" borderId="8" xfId="0" applyFont="1" applyFill="1" applyBorder="1" applyAlignment="1">
      <alignment horizontal="center"/>
    </xf>
    <xf numFmtId="0" fontId="39" fillId="15" borderId="9" xfId="0" applyFont="1" applyFill="1" applyBorder="1" applyAlignment="1">
      <alignment horizontal="center"/>
    </xf>
    <xf numFmtId="0" fontId="39" fillId="15" borderId="2" xfId="0" applyFont="1" applyFill="1" applyBorder="1" applyAlignment="1">
      <alignment horizontal="center"/>
    </xf>
    <xf numFmtId="0" fontId="39" fillId="15" borderId="13" xfId="0" applyFont="1" applyFill="1" applyBorder="1" applyAlignment="1">
      <alignment horizontal="center"/>
    </xf>
    <xf numFmtId="166" fontId="39" fillId="15" borderId="6" xfId="0" applyNumberFormat="1" applyFont="1" applyFill="1" applyBorder="1" applyAlignment="1">
      <alignment horizontal="center"/>
    </xf>
    <xf numFmtId="0" fontId="9" fillId="15" borderId="8" xfId="4" applyFont="1" applyFill="1" applyBorder="1" applyAlignment="1">
      <alignment horizontal="center" vertical="center" wrapText="1"/>
    </xf>
    <xf numFmtId="0" fontId="39" fillId="15" borderId="0" xfId="0" applyFont="1" applyFill="1" applyAlignment="1">
      <alignment horizontal="center" vertical="center"/>
    </xf>
    <xf numFmtId="0" fontId="9" fillId="15" borderId="2" xfId="0" applyFont="1" applyFill="1" applyBorder="1" applyAlignment="1">
      <alignment vertical="center"/>
    </xf>
    <xf numFmtId="0" fontId="9" fillId="15" borderId="3" xfId="0" applyFont="1" applyFill="1" applyBorder="1" applyAlignment="1">
      <alignment horizontal="center"/>
    </xf>
    <xf numFmtId="1" fontId="9" fillId="15" borderId="6" xfId="0" applyNumberFormat="1" applyFont="1" applyFill="1" applyBorder="1" applyAlignment="1">
      <alignment horizontal="center" vertical="center"/>
    </xf>
    <xf numFmtId="1" fontId="9" fillId="15" borderId="13" xfId="0" applyNumberFormat="1" applyFont="1" applyFill="1" applyBorder="1" applyAlignment="1">
      <alignment horizontal="center"/>
    </xf>
    <xf numFmtId="2" fontId="9" fillId="15" borderId="1" xfId="4" applyNumberFormat="1" applyFont="1" applyFill="1" applyBorder="1" applyAlignment="1">
      <alignment horizontal="center" vertical="center"/>
    </xf>
    <xf numFmtId="2" fontId="9" fillId="15" borderId="1" xfId="4" applyNumberFormat="1" applyFont="1" applyFill="1" applyBorder="1" applyAlignment="1">
      <alignment horizontal="center" vertical="center" wrapText="1"/>
    </xf>
    <xf numFmtId="0" fontId="9" fillId="15" borderId="8" xfId="4" applyFont="1" applyFill="1" applyBorder="1" applyAlignment="1">
      <alignment vertical="center"/>
    </xf>
    <xf numFmtId="0" fontId="9" fillId="15" borderId="0" xfId="4" applyNumberFormat="1" applyFont="1" applyFill="1" applyBorder="1" applyAlignment="1">
      <alignment horizontal="center" vertical="center"/>
    </xf>
    <xf numFmtId="2" fontId="9" fillId="15" borderId="1" xfId="0" applyNumberFormat="1" applyFont="1" applyFill="1" applyBorder="1" applyAlignment="1">
      <alignment horizontal="center" vertical="center"/>
    </xf>
    <xf numFmtId="0" fontId="3" fillId="17" borderId="0" xfId="41" applyFill="1"/>
    <xf numFmtId="0" fontId="5" fillId="17" borderId="0" xfId="41" applyFont="1" applyFill="1" applyAlignment="1">
      <alignment horizontal="center"/>
    </xf>
    <xf numFmtId="0" fontId="5" fillId="17" borderId="0" xfId="41" applyFont="1" applyFill="1"/>
    <xf numFmtId="2" fontId="5" fillId="17" borderId="0" xfId="41" applyNumberFormat="1" applyFont="1" applyFill="1"/>
    <xf numFmtId="0" fontId="3" fillId="17" borderId="0" xfId="41" applyFill="1" applyAlignment="1">
      <alignment vertical="center"/>
    </xf>
    <xf numFmtId="2" fontId="3" fillId="17" borderId="0" xfId="41" applyNumberFormat="1" applyFill="1"/>
    <xf numFmtId="166" fontId="3" fillId="17" borderId="0" xfId="41" applyNumberFormat="1" applyFill="1"/>
    <xf numFmtId="0" fontId="3" fillId="17" borderId="0" xfId="41" applyFill="1" applyAlignment="1">
      <alignment horizontal="center"/>
    </xf>
    <xf numFmtId="0" fontId="5" fillId="17" borderId="0" xfId="41" applyFont="1" applyFill="1" applyAlignment="1">
      <alignment horizontal="center" vertical="center"/>
    </xf>
    <xf numFmtId="0" fontId="3" fillId="17" borderId="0" xfId="41" applyFill="1" applyAlignment="1">
      <alignment horizontal="center" vertical="center"/>
    </xf>
    <xf numFmtId="166" fontId="3" fillId="17" borderId="0" xfId="41" applyNumberFormat="1" applyFill="1" applyAlignment="1">
      <alignment horizontal="center" vertical="center"/>
    </xf>
    <xf numFmtId="166" fontId="3" fillId="17" borderId="0" xfId="41" applyNumberFormat="1" applyFill="1" applyAlignment="1">
      <alignment horizontal="center"/>
    </xf>
    <xf numFmtId="0" fontId="33" fillId="17" borderId="0" xfId="43" applyFont="1" applyFill="1"/>
    <xf numFmtId="0" fontId="3" fillId="17" borderId="0" xfId="43" applyFill="1"/>
    <xf numFmtId="2" fontId="35" fillId="17" borderId="0" xfId="43" applyNumberFormat="1" applyFont="1" applyFill="1"/>
    <xf numFmtId="2" fontId="3" fillId="17" borderId="0" xfId="43" applyNumberFormat="1" applyFill="1"/>
    <xf numFmtId="0" fontId="33" fillId="17" borderId="0" xfId="43" applyFont="1" applyFill="1" applyAlignment="1">
      <alignment vertical="center"/>
    </xf>
    <xf numFmtId="2" fontId="34" fillId="17" borderId="0" xfId="43" applyNumberFormat="1" applyFont="1" applyFill="1" applyAlignment="1">
      <alignment vertical="center"/>
    </xf>
    <xf numFmtId="166" fontId="3" fillId="17" borderId="0" xfId="43" applyNumberFormat="1" applyFill="1"/>
    <xf numFmtId="10" fontId="34" fillId="17" borderId="0" xfId="51" applyNumberFormat="1" applyFont="1" applyFill="1" applyAlignment="1">
      <alignment vertical="center"/>
    </xf>
    <xf numFmtId="0" fontId="5" fillId="0" borderId="25" xfId="41" applyFont="1" applyBorder="1" applyAlignment="1">
      <alignment horizontal="center" vertical="center" wrapText="1"/>
    </xf>
    <xf numFmtId="0" fontId="5" fillId="0" borderId="24" xfId="41" applyFont="1" applyBorder="1" applyAlignment="1">
      <alignment horizontal="center" vertical="center" wrapText="1"/>
    </xf>
    <xf numFmtId="2" fontId="5" fillId="0" borderId="11" xfId="41" applyNumberFormat="1" applyFont="1" applyBorder="1" applyAlignment="1">
      <alignment horizontal="center" vertical="center"/>
    </xf>
    <xf numFmtId="0" fontId="9" fillId="15" borderId="7" xfId="0" applyFont="1" applyFill="1" applyBorder="1" applyAlignment="1">
      <alignment horizontal="center" vertical="center"/>
    </xf>
    <xf numFmtId="0" fontId="9"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Border="1" applyAlignment="1">
      <alignment horizontal="center"/>
    </xf>
    <xf numFmtId="0" fontId="42" fillId="14" borderId="0" xfId="0" applyFont="1" applyFill="1" applyAlignment="1">
      <alignment horizontal="left" wrapText="1"/>
    </xf>
    <xf numFmtId="9" fontId="5" fillId="0" borderId="0" xfId="41" applyNumberFormat="1" applyFont="1" applyAlignment="1">
      <alignment horizontal="center" vertical="center"/>
    </xf>
    <xf numFmtId="0" fontId="3" fillId="0" borderId="25" xfId="41" applyBorder="1" applyAlignment="1">
      <alignment horizontal="center" vertical="center"/>
    </xf>
    <xf numFmtId="3" fontId="3" fillId="0" borderId="0" xfId="41" applyNumberFormat="1" applyAlignment="1">
      <alignment vertical="center"/>
    </xf>
    <xf numFmtId="3" fontId="3" fillId="0" borderId="24" xfId="41" applyNumberFormat="1" applyBorder="1"/>
    <xf numFmtId="0" fontId="3" fillId="0" borderId="25" xfId="41" applyBorder="1" applyAlignment="1">
      <alignment horizontal="center" vertical="center" wrapText="1"/>
    </xf>
    <xf numFmtId="3" fontId="3" fillId="0" borderId="10" xfId="41" applyNumberFormat="1" applyBorder="1" applyAlignment="1">
      <alignment horizontal="left" vertical="center" wrapText="1"/>
    </xf>
    <xf numFmtId="2" fontId="5" fillId="0" borderId="1" xfId="41" applyNumberFormat="1" applyFont="1" applyBorder="1" applyAlignment="1">
      <alignment horizontal="center" vertical="center"/>
    </xf>
    <xf numFmtId="0" fontId="9" fillId="15" borderId="2"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9" fillId="15" borderId="13" xfId="0"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2" fontId="5" fillId="0" borderId="4" xfId="0" applyNumberFormat="1" applyFont="1" applyBorder="1" applyAlignment="1">
      <alignment horizontal="center" vertical="center"/>
    </xf>
    <xf numFmtId="9" fontId="5" fillId="0" borderId="12" xfId="3" applyFont="1" applyBorder="1" applyAlignment="1">
      <alignment horizontal="center" vertical="center"/>
    </xf>
    <xf numFmtId="9" fontId="5" fillId="0" borderId="4" xfId="3" applyFont="1" applyBorder="1" applyAlignment="1">
      <alignment horizontal="center" vertical="center"/>
    </xf>
    <xf numFmtId="0" fontId="9" fillId="15" borderId="0" xfId="0" applyFont="1" applyFill="1" applyAlignment="1">
      <alignment horizontal="center" vertical="center"/>
    </xf>
    <xf numFmtId="14" fontId="9" fillId="15" borderId="7" xfId="0" applyNumberFormat="1" applyFont="1" applyFill="1" applyBorder="1" applyAlignment="1">
      <alignment horizontal="center" vertic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3" fillId="0" borderId="8" xfId="0" applyNumberFormat="1" applyFont="1" applyBorder="1" applyAlignment="1">
      <alignment horizontal="center" vertical="center" wrapText="1"/>
    </xf>
    <xf numFmtId="1" fontId="7" fillId="3" borderId="8" xfId="0" applyNumberFormat="1" applyFont="1" applyFill="1" applyBorder="1" applyAlignment="1">
      <alignment horizontal="center" vertical="center"/>
    </xf>
    <xf numFmtId="1" fontId="3" fillId="0" borderId="0" xfId="0" applyNumberFormat="1" applyFont="1" applyAlignment="1">
      <alignment horizontal="center" vertical="center" wrapText="1"/>
    </xf>
    <xf numFmtId="1" fontId="2" fillId="0" borderId="24" xfId="0" applyNumberFormat="1" applyFont="1" applyBorder="1" applyAlignment="1">
      <alignment horizontal="center"/>
    </xf>
    <xf numFmtId="1" fontId="3" fillId="0" borderId="1" xfId="0" applyNumberFormat="1" applyFont="1" applyBorder="1" applyAlignment="1">
      <alignment horizontal="center" vertical="center" wrapText="1"/>
    </xf>
    <xf numFmtId="1" fontId="2" fillId="0" borderId="11" xfId="0" applyNumberFormat="1" applyFont="1" applyBorder="1" applyAlignment="1">
      <alignment horizontal="center"/>
    </xf>
    <xf numFmtId="1" fontId="3" fillId="0" borderId="8" xfId="45" applyNumberFormat="1" applyFont="1" applyBorder="1" applyAlignment="1">
      <alignment horizontal="center" vertical="center"/>
    </xf>
    <xf numFmtId="1" fontId="3" fillId="0" borderId="0" xfId="45" applyNumberFormat="1" applyFont="1" applyAlignment="1">
      <alignment horizontal="center" vertical="center"/>
    </xf>
    <xf numFmtId="1" fontId="3" fillId="0" borderId="0" xfId="1" applyNumberFormat="1" applyFont="1" applyFill="1" applyBorder="1" applyAlignment="1">
      <alignment horizontal="center" vertical="center"/>
    </xf>
    <xf numFmtId="1" fontId="3" fillId="0" borderId="0" xfId="45" applyNumberFormat="1" applyFont="1" applyAlignment="1">
      <alignment horizontal="center" vertical="center" wrapText="1"/>
    </xf>
    <xf numFmtId="1" fontId="2" fillId="0" borderId="0" xfId="0" applyNumberFormat="1" applyFont="1" applyAlignment="1">
      <alignment horizontal="center" wrapText="1"/>
    </xf>
    <xf numFmtId="1" fontId="2" fillId="0" borderId="1" xfId="0" applyNumberFormat="1" applyFont="1" applyBorder="1" applyAlignment="1">
      <alignment horizontal="center" wrapText="1"/>
    </xf>
    <xf numFmtId="1" fontId="3" fillId="0" borderId="13" xfId="45" applyNumberFormat="1" applyFont="1" applyBorder="1" applyAlignment="1">
      <alignment horizontal="center" vertical="center" wrapText="1"/>
    </xf>
    <xf numFmtId="0" fontId="47" fillId="0" borderId="0" xfId="0" applyFont="1"/>
    <xf numFmtId="0" fontId="47" fillId="0" borderId="1" xfId="0" applyFont="1" applyBorder="1"/>
    <xf numFmtId="0" fontId="47" fillId="14" borderId="0" xfId="0" applyFont="1" applyFill="1"/>
    <xf numFmtId="0" fontId="47" fillId="18" borderId="0" xfId="0" applyFont="1" applyFill="1"/>
    <xf numFmtId="0" fontId="46" fillId="18" borderId="0" xfId="0" applyFont="1" applyFill="1"/>
    <xf numFmtId="0" fontId="2" fillId="18" borderId="0" xfId="0" applyFont="1" applyFill="1" applyAlignment="1">
      <alignment horizontal="center"/>
    </xf>
    <xf numFmtId="0" fontId="2" fillId="18" borderId="0" xfId="0" applyFont="1" applyFill="1"/>
    <xf numFmtId="0" fontId="7"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Alignment="1">
      <alignment horizontal="center" vertical="center"/>
    </xf>
    <xf numFmtId="1" fontId="46" fillId="18" borderId="0" xfId="0" applyNumberFormat="1" applyFont="1" applyFill="1"/>
    <xf numFmtId="1" fontId="3" fillId="0" borderId="1" xfId="1" applyNumberFormat="1" applyFont="1" applyFill="1" applyBorder="1" applyAlignment="1">
      <alignment horizontal="center" vertical="center"/>
    </xf>
    <xf numFmtId="1" fontId="39" fillId="15" borderId="9" xfId="0" applyNumberFormat="1" applyFont="1" applyFill="1" applyBorder="1" applyAlignment="1">
      <alignment horizontal="center"/>
    </xf>
    <xf numFmtId="1" fontId="5" fillId="0" borderId="11" xfId="41" applyNumberFormat="1" applyFont="1" applyBorder="1" applyAlignment="1">
      <alignment horizontal="center" vertical="center"/>
    </xf>
    <xf numFmtId="167" fontId="3" fillId="0" borderId="0" xfId="41" applyNumberFormat="1" applyAlignment="1">
      <alignment horizontal="center" vertical="center"/>
    </xf>
    <xf numFmtId="9" fontId="3" fillId="0" borderId="24" xfId="41" applyNumberFormat="1" applyBorder="1" applyAlignment="1">
      <alignment horizontal="center" vertical="center"/>
    </xf>
    <xf numFmtId="0" fontId="5" fillId="0" borderId="0" xfId="43" applyFont="1" applyAlignment="1">
      <alignment vertical="center"/>
    </xf>
    <xf numFmtId="0" fontId="9" fillId="15" borderId="2" xfId="43" applyFont="1" applyFill="1" applyBorder="1" applyAlignment="1">
      <alignment horizontal="center"/>
    </xf>
    <xf numFmtId="0" fontId="5" fillId="0" borderId="12" xfId="43" applyFont="1" applyBorder="1" applyAlignment="1">
      <alignment horizontal="center"/>
    </xf>
    <xf numFmtId="0" fontId="5" fillId="0" borderId="4" xfId="43" applyFont="1" applyBorder="1" applyAlignment="1">
      <alignment horizontal="center"/>
    </xf>
    <xf numFmtId="10" fontId="3" fillId="0" borderId="12" xfId="51"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Alignment="1">
      <alignment horizontal="center"/>
    </xf>
    <xf numFmtId="1" fontId="2" fillId="0" borderId="6" xfId="0" applyNumberFormat="1" applyFont="1" applyBorder="1" applyAlignment="1">
      <alignment horizontal="center" vertical="center"/>
    </xf>
    <xf numFmtId="0" fontId="44" fillId="0" borderId="0" xfId="0" applyFont="1"/>
    <xf numFmtId="0" fontId="50" fillId="18" borderId="0" xfId="0" applyFont="1" applyFill="1"/>
    <xf numFmtId="0" fontId="2" fillId="19" borderId="25" xfId="0" applyFont="1" applyFill="1" applyBorder="1"/>
    <xf numFmtId="0" fontId="8"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0" fontId="51"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6"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9" fillId="19" borderId="8" xfId="4" applyFont="1" applyFill="1" applyBorder="1" applyAlignment="1">
      <alignment horizontal="center" vertical="center"/>
    </xf>
    <xf numFmtId="0" fontId="9" fillId="19" borderId="8" xfId="4" applyFont="1" applyFill="1" applyBorder="1" applyAlignment="1">
      <alignment horizontal="center" vertical="center" wrapText="1"/>
    </xf>
    <xf numFmtId="0" fontId="47" fillId="19" borderId="0" xfId="0" applyFont="1" applyFill="1"/>
    <xf numFmtId="0" fontId="39" fillId="19" borderId="0" xfId="0" applyFont="1" applyFill="1" applyAlignment="1">
      <alignment horizontal="center" vertical="center"/>
    </xf>
    <xf numFmtId="1" fontId="2" fillId="19" borderId="0" xfId="0" applyNumberFormat="1" applyFont="1" applyFill="1" applyAlignment="1">
      <alignment horizontal="center" vertical="center"/>
    </xf>
    <xf numFmtId="1" fontId="2" fillId="19" borderId="1" xfId="0" applyNumberFormat="1" applyFont="1" applyFill="1" applyBorder="1" applyAlignment="1">
      <alignment horizontal="center" vertical="center"/>
    </xf>
    <xf numFmtId="1" fontId="3" fillId="19" borderId="24" xfId="41" applyNumberFormat="1" applyFill="1" applyBorder="1" applyAlignment="1">
      <alignment horizontal="center" vertical="center"/>
    </xf>
    <xf numFmtId="0" fontId="51" fillId="19" borderId="0" xfId="0" applyFont="1" applyFill="1"/>
    <xf numFmtId="166" fontId="43" fillId="19" borderId="0" xfId="41" applyNumberFormat="1" applyFont="1" applyFill="1" applyAlignment="1">
      <alignment vertical="center"/>
    </xf>
    <xf numFmtId="1" fontId="37" fillId="0" borderId="0" xfId="3" applyNumberFormat="1" applyFont="1" applyAlignment="1">
      <alignment horizontal="center"/>
    </xf>
    <xf numFmtId="0" fontId="52" fillId="0" borderId="0" xfId="0" applyFont="1" applyAlignment="1">
      <alignment vertical="center"/>
    </xf>
    <xf numFmtId="0" fontId="53" fillId="0" borderId="26" xfId="0" applyFont="1" applyBorder="1" applyAlignment="1">
      <alignment vertical="center"/>
    </xf>
    <xf numFmtId="0" fontId="53" fillId="0" borderId="27" xfId="0" applyFont="1" applyBorder="1" applyAlignment="1">
      <alignment horizontal="right" vertical="center"/>
    </xf>
    <xf numFmtId="0" fontId="53" fillId="0" borderId="28" xfId="0" applyFont="1" applyBorder="1" applyAlignment="1">
      <alignment vertical="center"/>
    </xf>
    <xf numFmtId="0" fontId="53" fillId="0" borderId="29" xfId="0" applyFont="1" applyBorder="1" applyAlignment="1">
      <alignment horizontal="right" vertical="center"/>
    </xf>
    <xf numFmtId="0" fontId="53" fillId="0" borderId="26" xfId="0" applyFont="1" applyBorder="1" applyAlignment="1">
      <alignment vertical="center" wrapText="1"/>
    </xf>
    <xf numFmtId="0" fontId="53" fillId="0" borderId="27" xfId="0" applyFont="1" applyBorder="1" applyAlignment="1">
      <alignment horizontal="right" vertical="center" wrapText="1"/>
    </xf>
    <xf numFmtId="0" fontId="53" fillId="0" borderId="28" xfId="0" applyFont="1" applyBorder="1" applyAlignment="1">
      <alignment vertical="center" wrapText="1"/>
    </xf>
    <xf numFmtId="0" fontId="53" fillId="0" borderId="29" xfId="0" applyFont="1" applyBorder="1" applyAlignment="1">
      <alignment horizontal="right" vertical="center" wrapText="1"/>
    </xf>
    <xf numFmtId="0" fontId="9" fillId="15" borderId="4" xfId="43" applyFont="1" applyFill="1" applyBorder="1" applyAlignment="1">
      <alignment horizontal="center" vertical="center"/>
    </xf>
    <xf numFmtId="0" fontId="9" fillId="15" borderId="12" xfId="0" applyFont="1" applyFill="1" applyBorder="1" applyAlignment="1">
      <alignment horizontal="center" vertical="center"/>
    </xf>
    <xf numFmtId="0" fontId="5" fillId="0" borderId="7" xfId="41" applyFont="1" applyBorder="1" applyAlignment="1">
      <alignment horizontal="center" vertical="center"/>
    </xf>
    <xf numFmtId="9" fontId="3" fillId="0" borderId="8" xfId="41" applyNumberFormat="1" applyBorder="1" applyAlignment="1">
      <alignment horizontal="center" vertical="center"/>
    </xf>
    <xf numFmtId="9" fontId="3" fillId="0" borderId="9" xfId="41" applyNumberFormat="1" applyBorder="1" applyAlignment="1">
      <alignment horizontal="center" vertical="center"/>
    </xf>
    <xf numFmtId="0" fontId="56" fillId="14" borderId="3" xfId="52" applyFont="1" applyFill="1" applyBorder="1" applyAlignment="1">
      <alignment horizontal="left"/>
    </xf>
    <xf numFmtId="0" fontId="56" fillId="14" borderId="6" xfId="52" applyFont="1" applyFill="1" applyBorder="1"/>
    <xf numFmtId="0" fontId="54" fillId="14" borderId="0" xfId="52" applyFont="1" applyFill="1"/>
    <xf numFmtId="0" fontId="56" fillId="14" borderId="0" xfId="52" applyFont="1" applyFill="1" applyAlignment="1">
      <alignment horizontal="left"/>
    </xf>
    <xf numFmtId="0" fontId="56" fillId="14" borderId="11" xfId="52" applyFont="1" applyFill="1" applyBorder="1"/>
    <xf numFmtId="0" fontId="54" fillId="14" borderId="4" xfId="52" applyFont="1" applyFill="1" applyBorder="1"/>
    <xf numFmtId="0" fontId="54" fillId="14" borderId="2" xfId="52" applyFont="1" applyFill="1" applyBorder="1" applyAlignment="1">
      <alignment horizontal="center"/>
    </xf>
    <xf numFmtId="0" fontId="54" fillId="14" borderId="2" xfId="52" applyFont="1" applyFill="1" applyBorder="1"/>
    <xf numFmtId="1" fontId="54" fillId="14" borderId="2" xfId="52" applyNumberFormat="1" applyFont="1" applyFill="1" applyBorder="1" applyAlignment="1">
      <alignment horizontal="center"/>
    </xf>
    <xf numFmtId="9" fontId="54" fillId="14" borderId="2" xfId="52" applyNumberFormat="1" applyFont="1" applyFill="1" applyBorder="1" applyAlignment="1">
      <alignment horizontal="center"/>
    </xf>
    <xf numFmtId="3" fontId="54" fillId="14" borderId="2" xfId="52" applyNumberFormat="1" applyFont="1" applyFill="1" applyBorder="1" applyAlignment="1">
      <alignment horizontal="center"/>
    </xf>
    <xf numFmtId="1" fontId="54" fillId="14" borderId="0" xfId="52" applyNumberFormat="1" applyFont="1" applyFill="1"/>
    <xf numFmtId="0" fontId="54" fillId="20" borderId="2" xfId="52" applyFont="1" applyFill="1" applyBorder="1"/>
    <xf numFmtId="0" fontId="54" fillId="20" borderId="2" xfId="52" quotePrefix="1" applyFont="1" applyFill="1" applyBorder="1" applyAlignment="1">
      <alignment horizontal="center"/>
    </xf>
    <xf numFmtId="0" fontId="54" fillId="20" borderId="2" xfId="52" applyFont="1" applyFill="1" applyBorder="1" applyAlignment="1">
      <alignment horizontal="center"/>
    </xf>
    <xf numFmtId="0" fontId="2" fillId="0" borderId="2" xfId="0" applyFont="1" applyBorder="1"/>
    <xf numFmtId="0" fontId="2" fillId="0" borderId="2" xfId="0" applyFont="1" applyBorder="1" applyAlignment="1">
      <alignment wrapText="1"/>
    </xf>
    <xf numFmtId="2" fontId="2" fillId="0" borderId="2" xfId="0" applyNumberFormat="1" applyFont="1" applyBorder="1"/>
    <xf numFmtId="166" fontId="2" fillId="0" borderId="2" xfId="0" applyNumberFormat="1" applyFont="1" applyBorder="1"/>
    <xf numFmtId="0" fontId="2" fillId="0" borderId="2" xfId="0" applyFont="1" applyBorder="1" applyAlignment="1">
      <alignment horizontal="center" vertical="center"/>
    </xf>
    <xf numFmtId="1" fontId="2" fillId="0" borderId="2" xfId="0" applyNumberFormat="1" applyFont="1" applyBorder="1"/>
    <xf numFmtId="0" fontId="7" fillId="0" borderId="0" xfId="0" applyFont="1" applyAlignment="1">
      <alignment horizontal="center" vertical="center" wrapText="1"/>
    </xf>
    <xf numFmtId="0" fontId="8" fillId="0" borderId="0" xfId="0" applyFont="1" applyAlignment="1">
      <alignment horizontal="center"/>
    </xf>
    <xf numFmtId="3" fontId="8" fillId="0" borderId="0" xfId="0" applyNumberFormat="1" applyFont="1" applyAlignment="1">
      <alignment horizontal="center"/>
    </xf>
    <xf numFmtId="3" fontId="2" fillId="22"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69" applyNumberFormat="1" applyFont="1" applyFill="1" applyBorder="1" applyAlignment="1">
      <alignment horizontal="center"/>
    </xf>
    <xf numFmtId="4" fontId="8" fillId="0" borderId="0" xfId="0" applyNumberFormat="1" applyFont="1" applyAlignment="1">
      <alignment horizontal="center"/>
    </xf>
    <xf numFmtId="9" fontId="2" fillId="0" borderId="0" xfId="0" applyNumberFormat="1" applyFont="1" applyAlignment="1">
      <alignment horizontal="center"/>
    </xf>
    <xf numFmtId="3" fontId="3" fillId="0" borderId="0" xfId="69" applyNumberFormat="1" applyFont="1" applyAlignment="1">
      <alignment horizontal="center" vertical="top"/>
    </xf>
    <xf numFmtId="1" fontId="9" fillId="15" borderId="13" xfId="0" applyNumberFormat="1" applyFont="1" applyFill="1" applyBorder="1" applyAlignment="1">
      <alignment horizontal="center" vertical="center"/>
    </xf>
    <xf numFmtId="1" fontId="39" fillId="15" borderId="2" xfId="0" applyNumberFormat="1" applyFont="1" applyFill="1" applyBorder="1" applyAlignment="1">
      <alignment horizontal="center"/>
    </xf>
    <xf numFmtId="9" fontId="9" fillId="15" borderId="13" xfId="3" applyFont="1" applyFill="1" applyBorder="1" applyAlignment="1">
      <alignment horizontal="center" vertical="center"/>
    </xf>
    <xf numFmtId="1" fontId="9" fillId="15" borderId="3" xfId="0" applyNumberFormat="1" applyFont="1" applyFill="1" applyBorder="1" applyAlignment="1">
      <alignment horizontal="center" vertical="center"/>
    </xf>
    <xf numFmtId="0" fontId="43" fillId="13" borderId="0" xfId="0" applyFont="1" applyFill="1"/>
    <xf numFmtId="0" fontId="2" fillId="0" borderId="2" xfId="0" applyFont="1" applyBorder="1" applyAlignment="1">
      <alignment horizontal="left"/>
    </xf>
    <xf numFmtId="0" fontId="9" fillId="15" borderId="2" xfId="0" applyFont="1" applyFill="1" applyBorder="1" applyAlignment="1">
      <alignment horizontal="center"/>
    </xf>
    <xf numFmtId="0" fontId="9" fillId="15" borderId="2" xfId="0" applyFont="1" applyFill="1" applyBorder="1" applyAlignment="1">
      <alignment horizontal="left"/>
    </xf>
    <xf numFmtId="1" fontId="9" fillId="15" borderId="2" xfId="0" applyNumberFormat="1" applyFont="1" applyFill="1" applyBorder="1" applyAlignment="1">
      <alignment horizontal="center"/>
    </xf>
    <xf numFmtId="1" fontId="3" fillId="0" borderId="8" xfId="0" applyNumberFormat="1" applyFont="1" applyBorder="1" applyAlignment="1">
      <alignment horizontal="center" vertical="center"/>
    </xf>
    <xf numFmtId="1" fontId="3" fillId="0" borderId="8" xfId="1" applyNumberFormat="1" applyFont="1" applyFill="1" applyBorder="1" applyAlignment="1">
      <alignment horizontal="center" vertical="center"/>
    </xf>
    <xf numFmtId="1" fontId="3" fillId="0" borderId="1" xfId="45" applyNumberFormat="1" applyFont="1" applyBorder="1" applyAlignment="1">
      <alignment horizontal="center" vertical="center"/>
    </xf>
    <xf numFmtId="4" fontId="3" fillId="0" borderId="0" xfId="0" applyNumberFormat="1" applyFont="1" applyAlignment="1">
      <alignment horizontal="center" vertical="center"/>
    </xf>
    <xf numFmtId="3" fontId="3" fillId="0" borderId="0" xfId="0" applyNumberFormat="1" applyFont="1" applyAlignment="1" applyProtection="1">
      <alignment horizontal="center" vertical="center"/>
      <protection locked="0"/>
    </xf>
    <xf numFmtId="10" fontId="3" fillId="0" borderId="8" xfId="0" applyNumberFormat="1" applyFont="1" applyBorder="1" applyAlignment="1">
      <alignment horizontal="center"/>
    </xf>
    <xf numFmtId="3" fontId="2" fillId="0" borderId="0" xfId="0" applyNumberFormat="1" applyFont="1"/>
    <xf numFmtId="3" fontId="48" fillId="0" borderId="0" xfId="0" applyNumberFormat="1" applyFont="1" applyAlignment="1">
      <alignment horizontal="center"/>
    </xf>
    <xf numFmtId="0" fontId="48" fillId="0" borderId="0" xfId="0" applyFont="1" applyAlignment="1">
      <alignment horizontal="center"/>
    </xf>
    <xf numFmtId="0" fontId="43" fillId="0" borderId="0" xfId="0" applyFont="1" applyAlignment="1">
      <alignment horizontal="center"/>
    </xf>
    <xf numFmtId="2" fontId="43" fillId="0" borderId="0" xfId="0" applyNumberFormat="1" applyFont="1" applyAlignment="1">
      <alignment horizontal="center" vertical="center"/>
    </xf>
    <xf numFmtId="2" fontId="6" fillId="0" borderId="0" xfId="0" applyNumberFormat="1" applyFont="1" applyAlignment="1">
      <alignment horizontal="center" vertical="center"/>
    </xf>
    <xf numFmtId="2" fontId="8" fillId="0" borderId="0" xfId="0" applyNumberFormat="1" applyFont="1" applyAlignment="1">
      <alignment horizontal="center"/>
    </xf>
    <xf numFmtId="0" fontId="5" fillId="14" borderId="0" xfId="0" applyFont="1" applyFill="1" applyAlignment="1">
      <alignment horizontal="center" vertical="center"/>
    </xf>
    <xf numFmtId="0" fontId="3" fillId="14" borderId="2" xfId="0" applyFont="1" applyFill="1" applyBorder="1" applyAlignment="1">
      <alignment horizontal="center" vertical="center"/>
    </xf>
    <xf numFmtId="0" fontId="3" fillId="14" borderId="2" xfId="0" applyFont="1" applyFill="1" applyBorder="1" applyAlignment="1">
      <alignment vertical="center"/>
    </xf>
    <xf numFmtId="0" fontId="3" fillId="14" borderId="0" xfId="0" applyFont="1" applyFill="1" applyAlignment="1">
      <alignment horizontal="center" vertical="center"/>
    </xf>
    <xf numFmtId="0" fontId="3" fillId="14" borderId="0" xfId="0" applyFont="1" applyFill="1" applyAlignment="1">
      <alignment vertical="center"/>
    </xf>
    <xf numFmtId="172" fontId="3" fillId="14" borderId="0" xfId="0" applyNumberFormat="1" applyFont="1" applyFill="1" applyAlignment="1">
      <alignment vertical="center"/>
    </xf>
    <xf numFmtId="172" fontId="3" fillId="14" borderId="0" xfId="0" applyNumberFormat="1" applyFont="1" applyFill="1" applyAlignment="1">
      <alignment horizontal="right" vertical="center"/>
    </xf>
    <xf numFmtId="0" fontId="3" fillId="14" borderId="0" xfId="0" applyFont="1" applyFill="1" applyAlignment="1">
      <alignment horizontal="left" vertical="center"/>
    </xf>
    <xf numFmtId="0" fontId="3" fillId="14" borderId="0" xfId="0" applyFont="1" applyFill="1" applyAlignment="1">
      <alignment horizontal="right" vertical="center"/>
    </xf>
    <xf numFmtId="0" fontId="3" fillId="14" borderId="2" xfId="0" applyFont="1" applyFill="1" applyBorder="1" applyAlignment="1">
      <alignment horizontal="left" vertical="center"/>
    </xf>
    <xf numFmtId="0" fontId="3" fillId="14" borderId="2" xfId="41" applyFill="1" applyBorder="1" applyAlignment="1">
      <alignment horizontal="center" vertical="center"/>
    </xf>
    <xf numFmtId="0" fontId="43" fillId="14" borderId="2" xfId="0" applyFont="1" applyFill="1" applyBorder="1" applyAlignment="1">
      <alignment horizontal="center" vertical="center"/>
    </xf>
    <xf numFmtId="0" fontId="43" fillId="14" borderId="0" xfId="0" applyFont="1" applyFill="1" applyAlignment="1">
      <alignment horizontal="center" vertical="center"/>
    </xf>
    <xf numFmtId="0" fontId="3" fillId="14" borderId="0" xfId="41" applyFill="1" applyAlignment="1">
      <alignment horizontal="center" vertical="center"/>
    </xf>
    <xf numFmtId="0" fontId="3" fillId="14" borderId="12" xfId="0" applyFont="1" applyFill="1" applyBorder="1" applyAlignment="1">
      <alignment horizontal="center" vertical="center"/>
    </xf>
    <xf numFmtId="0" fontId="3" fillId="14" borderId="12" xfId="0" applyFont="1" applyFill="1" applyBorder="1" applyAlignment="1">
      <alignment vertical="center"/>
    </xf>
    <xf numFmtId="0" fontId="3" fillId="14" borderId="12" xfId="0" applyFont="1" applyFill="1" applyBorder="1" applyAlignment="1">
      <alignment horizontal="left" vertical="center"/>
    </xf>
    <xf numFmtId="0" fontId="5" fillId="14" borderId="2" xfId="0" applyFont="1" applyFill="1" applyBorder="1" applyAlignment="1">
      <alignment horizontal="center" vertical="center"/>
    </xf>
    <xf numFmtId="0" fontId="48" fillId="13" borderId="0" xfId="0" applyFont="1" applyFill="1"/>
    <xf numFmtId="1" fontId="43" fillId="0" borderId="0" xfId="0" applyNumberFormat="1" applyFont="1" applyAlignment="1">
      <alignment horizontal="center"/>
    </xf>
    <xf numFmtId="0" fontId="43" fillId="0" borderId="0" xfId="0" applyFont="1"/>
    <xf numFmtId="3" fontId="43" fillId="0" borderId="2" xfId="0" applyNumberFormat="1" applyFont="1" applyBorder="1" applyAlignment="1">
      <alignment horizontal="center"/>
    </xf>
    <xf numFmtId="173" fontId="3" fillId="14" borderId="2" xfId="0" applyNumberFormat="1" applyFont="1" applyFill="1" applyBorder="1" applyAlignment="1">
      <alignment vertical="center"/>
    </xf>
    <xf numFmtId="0" fontId="3" fillId="14" borderId="0" xfId="0" applyFont="1" applyFill="1" applyAlignment="1">
      <alignment horizontal="center"/>
    </xf>
    <xf numFmtId="0" fontId="5" fillId="14" borderId="0" xfId="0" applyFont="1" applyFill="1" applyAlignment="1">
      <alignment horizontal="left"/>
    </xf>
    <xf numFmtId="0" fontId="3" fillId="14" borderId="0" xfId="0" applyFont="1" applyFill="1"/>
    <xf numFmtId="0" fontId="3" fillId="14" borderId="0" xfId="0" applyFont="1" applyFill="1" applyAlignment="1">
      <alignment horizontal="right"/>
    </xf>
    <xf numFmtId="0" fontId="3" fillId="14" borderId="0" xfId="0" applyFont="1" applyFill="1" applyAlignment="1">
      <alignment horizontal="left"/>
    </xf>
    <xf numFmtId="171" fontId="3" fillId="14" borderId="5" xfId="0" applyNumberFormat="1" applyFont="1" applyFill="1" applyBorder="1" applyAlignment="1">
      <alignment horizontal="center"/>
    </xf>
    <xf numFmtId="0" fontId="3" fillId="14" borderId="2" xfId="0" applyFont="1" applyFill="1" applyBorder="1" applyAlignment="1">
      <alignment horizontal="center"/>
    </xf>
    <xf numFmtId="0" fontId="3" fillId="14" borderId="2" xfId="0" applyFont="1" applyFill="1" applyBorder="1"/>
    <xf numFmtId="172" fontId="3" fillId="14" borderId="0" xfId="0" applyNumberFormat="1" applyFont="1" applyFill="1" applyAlignment="1">
      <alignment horizontal="center"/>
    </xf>
    <xf numFmtId="172" fontId="3" fillId="14" borderId="2" xfId="0" applyNumberFormat="1" applyFont="1" applyFill="1" applyBorder="1" applyAlignment="1">
      <alignment horizontal="center"/>
    </xf>
    <xf numFmtId="0" fontId="3" fillId="14" borderId="2" xfId="0" applyFont="1" applyFill="1" applyBorder="1" applyAlignment="1">
      <alignment horizontal="left"/>
    </xf>
    <xf numFmtId="10" fontId="3" fillId="14" borderId="0" xfId="0" applyNumberFormat="1" applyFont="1" applyFill="1" applyAlignment="1">
      <alignment horizontal="center"/>
    </xf>
    <xf numFmtId="166" fontId="3" fillId="14" borderId="0" xfId="0" applyNumberFormat="1" applyFont="1" applyFill="1" applyAlignment="1">
      <alignment horizontal="center"/>
    </xf>
    <xf numFmtId="172" fontId="3" fillId="14" borderId="0" xfId="0" applyNumberFormat="1" applyFont="1" applyFill="1"/>
    <xf numFmtId="0" fontId="5" fillId="14" borderId="2" xfId="0" applyFont="1" applyFill="1" applyBorder="1"/>
    <xf numFmtId="172" fontId="5" fillId="14" borderId="2" xfId="0" applyNumberFormat="1" applyFont="1" applyFill="1" applyBorder="1" applyAlignment="1">
      <alignment horizontal="center"/>
    </xf>
    <xf numFmtId="0" fontId="5" fillId="14" borderId="0" xfId="0" applyFont="1" applyFill="1"/>
    <xf numFmtId="2" fontId="3" fillId="14" borderId="0" xfId="0" applyNumberFormat="1" applyFont="1" applyFill="1" applyAlignment="1">
      <alignment horizontal="center"/>
    </xf>
    <xf numFmtId="175" fontId="3" fillId="14" borderId="0" xfId="0" applyNumberFormat="1" applyFont="1" applyFill="1"/>
    <xf numFmtId="175" fontId="3" fillId="14" borderId="0" xfId="0" applyNumberFormat="1" applyFont="1" applyFill="1" applyAlignment="1">
      <alignment horizontal="center"/>
    </xf>
    <xf numFmtId="166" fontId="3" fillId="14" borderId="0" xfId="0" applyNumberFormat="1" applyFont="1" applyFill="1"/>
    <xf numFmtId="176" fontId="5" fillId="14" borderId="0" xfId="0" applyNumberFormat="1" applyFont="1" applyFill="1" applyAlignment="1">
      <alignment horizontal="center"/>
    </xf>
    <xf numFmtId="172" fontId="5" fillId="14" borderId="0" xfId="0" applyNumberFormat="1" applyFont="1" applyFill="1" applyAlignment="1">
      <alignment horizontal="center"/>
    </xf>
    <xf numFmtId="0" fontId="3" fillId="14" borderId="0" xfId="0" applyFont="1" applyFill="1" applyAlignment="1">
      <alignment horizontal="fill"/>
    </xf>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center" vertical="center"/>
    </xf>
    <xf numFmtId="0" fontId="3" fillId="0" borderId="0" xfId="0" applyFont="1"/>
    <xf numFmtId="0" fontId="3" fillId="0" borderId="6" xfId="0" applyFont="1" applyBorder="1"/>
    <xf numFmtId="0" fontId="3" fillId="0" borderId="5" xfId="0" applyFont="1" applyBorder="1" applyAlignment="1">
      <alignment horizontal="center"/>
    </xf>
    <xf numFmtId="172" fontId="3" fillId="0" borderId="0" xfId="0" applyNumberFormat="1" applyFont="1" applyAlignment="1">
      <alignment horizontal="center"/>
    </xf>
    <xf numFmtId="167" fontId="3" fillId="14" borderId="0" xfId="0" applyNumberFormat="1" applyFont="1" applyFill="1" applyAlignment="1">
      <alignment horizont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2" fontId="3" fillId="0" borderId="5" xfId="0" applyNumberFormat="1" applyFont="1" applyBorder="1" applyAlignment="1">
      <alignment horizontal="center" vertical="center"/>
    </xf>
    <xf numFmtId="166" fontId="3" fillId="0" borderId="5" xfId="0" applyNumberFormat="1" applyFont="1" applyBorder="1" applyAlignment="1">
      <alignment horizontal="center" vertical="center"/>
    </xf>
    <xf numFmtId="0" fontId="46" fillId="0" borderId="0" xfId="0" applyFont="1"/>
    <xf numFmtId="0" fontId="5" fillId="0" borderId="2" xfId="0" applyFont="1" applyBorder="1"/>
    <xf numFmtId="171" fontId="3" fillId="14" borderId="0" xfId="0" applyNumberFormat="1" applyFont="1" applyFill="1" applyAlignment="1">
      <alignment horizontal="center"/>
    </xf>
    <xf numFmtId="171" fontId="3" fillId="19" borderId="2" xfId="0" applyNumberFormat="1" applyFont="1" applyFill="1" applyBorder="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5" xfId="0" applyFont="1" applyBorder="1" applyAlignment="1">
      <alignment horizontal="left"/>
    </xf>
    <xf numFmtId="0" fontId="48" fillId="0" borderId="2" xfId="0" applyFont="1" applyBorder="1" applyAlignment="1">
      <alignment horizontal="center"/>
    </xf>
    <xf numFmtId="0" fontId="48" fillId="0" borderId="6" xfId="0" applyFont="1" applyBorder="1"/>
    <xf numFmtId="0" fontId="48" fillId="0" borderId="2" xfId="0" applyFont="1" applyBorder="1"/>
    <xf numFmtId="2" fontId="3" fillId="0" borderId="3" xfId="0" applyNumberFormat="1" applyFont="1" applyBorder="1" applyAlignment="1">
      <alignment horizontal="center"/>
    </xf>
    <xf numFmtId="1" fontId="3" fillId="0" borderId="3" xfId="0" applyNumberFormat="1" applyFont="1" applyBorder="1" applyAlignment="1">
      <alignment horizontal="center"/>
    </xf>
    <xf numFmtId="2" fontId="48" fillId="0" borderId="3" xfId="0" applyNumberFormat="1" applyFont="1" applyBorder="1" applyAlignment="1">
      <alignment horizontal="center"/>
    </xf>
    <xf numFmtId="0" fontId="48" fillId="0" borderId="0" xfId="0" applyFont="1"/>
    <xf numFmtId="0" fontId="3"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171" fontId="3" fillId="0" borderId="2" xfId="0" applyNumberFormat="1" applyFont="1" applyBorder="1" applyAlignment="1">
      <alignment horizontal="center" vertical="center"/>
    </xf>
    <xf numFmtId="172" fontId="3" fillId="0" borderId="0" xfId="0" applyNumberFormat="1" applyFont="1" applyAlignment="1">
      <alignment horizontal="center" vertical="center"/>
    </xf>
    <xf numFmtId="2" fontId="3" fillId="0" borderId="0" xfId="0" applyNumberFormat="1" applyFont="1" applyAlignment="1">
      <alignment horizontal="center" vertical="center"/>
    </xf>
    <xf numFmtId="172" fontId="3" fillId="0" borderId="0" xfId="0" applyNumberFormat="1" applyFont="1" applyAlignment="1">
      <alignment vertical="center"/>
    </xf>
    <xf numFmtId="0" fontId="3" fillId="0" borderId="0" xfId="0" applyFont="1" applyAlignment="1">
      <alignment horizontal="center" vertical="center"/>
    </xf>
    <xf numFmtId="0" fontId="3" fillId="0" borderId="2" xfId="0" applyFont="1" applyBorder="1" applyAlignment="1">
      <alignment horizontal="left" vertical="center"/>
    </xf>
    <xf numFmtId="0" fontId="5" fillId="0" borderId="2" xfId="0" applyFont="1" applyBorder="1" applyAlignment="1">
      <alignment horizontal="center" vertical="center"/>
    </xf>
    <xf numFmtId="0" fontId="3" fillId="0" borderId="5" xfId="0" applyFont="1" applyBorder="1" applyAlignment="1">
      <alignment horizontal="left" vertical="center"/>
    </xf>
    <xf numFmtId="171" fontId="3" fillId="0" borderId="5" xfId="0" applyNumberFormat="1" applyFont="1" applyBorder="1" applyAlignment="1">
      <alignment horizontal="center" vertical="center"/>
    </xf>
    <xf numFmtId="171" fontId="3" fillId="0" borderId="12" xfId="0" applyNumberFormat="1" applyFont="1" applyBorder="1" applyAlignment="1">
      <alignment horizontal="center" vertical="center"/>
    </xf>
    <xf numFmtId="0" fontId="3" fillId="0" borderId="4" xfId="0" applyFont="1" applyBorder="1" applyAlignment="1">
      <alignment horizontal="left" vertical="center"/>
    </xf>
    <xf numFmtId="171" fontId="3" fillId="0" borderId="4" xfId="0" applyNumberFormat="1" applyFont="1" applyBorder="1" applyAlignment="1">
      <alignment horizontal="center" vertical="center"/>
    </xf>
    <xf numFmtId="166" fontId="3" fillId="0" borderId="2" xfId="0" applyNumberFormat="1" applyFont="1" applyBorder="1" applyAlignment="1">
      <alignment horizontal="center" vertical="center"/>
    </xf>
    <xf numFmtId="1" fontId="3" fillId="0" borderId="2" xfId="0" applyNumberFormat="1" applyFont="1" applyBorder="1" applyAlignment="1">
      <alignment horizontal="center" vertical="center"/>
    </xf>
    <xf numFmtId="0" fontId="3" fillId="0" borderId="5" xfId="0" applyFont="1" applyBorder="1" applyAlignment="1">
      <alignment vertical="center"/>
    </xf>
    <xf numFmtId="0" fontId="5" fillId="0" borderId="2" xfId="0" applyFont="1" applyBorder="1" applyAlignment="1">
      <alignment horizontal="left" vertical="center"/>
    </xf>
    <xf numFmtId="0" fontId="3" fillId="0" borderId="2" xfId="59" applyFont="1" applyBorder="1" applyAlignment="1">
      <alignment horizontal="center" vertical="center"/>
    </xf>
    <xf numFmtId="0" fontId="39" fillId="15" borderId="2" xfId="4" applyFont="1" applyFill="1" applyBorder="1" applyAlignment="1">
      <alignment vertical="center"/>
    </xf>
    <xf numFmtId="0" fontId="9" fillId="15" borderId="2" xfId="4" applyNumberFormat="1" applyFont="1" applyFill="1" applyBorder="1" applyAlignment="1">
      <alignment horizontal="center" vertical="center"/>
    </xf>
    <xf numFmtId="9" fontId="9" fillId="15" borderId="2" xfId="3" applyFont="1" applyFill="1" applyBorder="1" applyAlignment="1">
      <alignment vertical="center"/>
    </xf>
    <xf numFmtId="2" fontId="9" fillId="15" borderId="2" xfId="4" applyNumberFormat="1" applyFont="1" applyFill="1" applyBorder="1" applyAlignment="1">
      <alignment horizontal="center" vertical="center"/>
    </xf>
    <xf numFmtId="2" fontId="9" fillId="15" borderId="2" xfId="4" applyNumberFormat="1" applyFont="1" applyFill="1" applyBorder="1" applyAlignment="1">
      <alignment horizontal="center" vertical="center" wrapText="1"/>
    </xf>
    <xf numFmtId="2" fontId="9" fillId="0" borderId="2" xfId="4" applyNumberFormat="1" applyFont="1" applyFill="1" applyBorder="1" applyAlignment="1">
      <alignment horizontal="center" vertical="center"/>
    </xf>
    <xf numFmtId="2" fontId="9" fillId="0" borderId="2" xfId="4" applyNumberFormat="1" applyFont="1" applyFill="1" applyBorder="1" applyAlignment="1">
      <alignment horizontal="center" vertical="center" wrapText="1"/>
    </xf>
    <xf numFmtId="0" fontId="8" fillId="0" borderId="2" xfId="0" applyFont="1" applyBorder="1" applyAlignment="1">
      <alignment horizontal="left" vertical="center"/>
    </xf>
    <xf numFmtId="1" fontId="8" fillId="0" borderId="2" xfId="0" applyNumberFormat="1" applyFont="1" applyBorder="1" applyAlignment="1">
      <alignment horizontal="center" vertical="center"/>
    </xf>
    <xf numFmtId="3" fontId="6" fillId="0" borderId="2" xfId="0" applyNumberFormat="1" applyFont="1" applyBorder="1" applyAlignment="1">
      <alignment horizontal="center" vertical="center"/>
    </xf>
    <xf numFmtId="2" fontId="48" fillId="0" borderId="2" xfId="0" applyNumberFormat="1" applyFont="1" applyBorder="1" applyAlignment="1">
      <alignment horizontal="left" vertical="center"/>
    </xf>
    <xf numFmtId="10" fontId="7" fillId="0" borderId="2" xfId="3" applyNumberFormat="1" applyFont="1" applyFill="1" applyBorder="1" applyAlignment="1">
      <alignment horizontal="center" vertical="center"/>
    </xf>
    <xf numFmtId="2" fontId="7" fillId="0" borderId="2" xfId="0" applyNumberFormat="1" applyFont="1" applyBorder="1" applyAlignment="1">
      <alignment horizontal="center" vertical="center"/>
    </xf>
    <xf numFmtId="2" fontId="7" fillId="0" borderId="2" xfId="3" applyNumberFormat="1" applyFont="1" applyFill="1" applyBorder="1" applyAlignment="1">
      <alignment horizontal="center" vertical="center"/>
    </xf>
    <xf numFmtId="1" fontId="9" fillId="15" borderId="2" xfId="0" applyNumberFormat="1" applyFont="1" applyFill="1" applyBorder="1" applyAlignment="1">
      <alignment horizontal="center" vertical="center"/>
    </xf>
    <xf numFmtId="3" fontId="9" fillId="15" borderId="2" xfId="0" applyNumberFormat="1" applyFont="1" applyFill="1" applyBorder="1" applyAlignment="1">
      <alignment horizontal="center" vertical="center"/>
    </xf>
    <xf numFmtId="2" fontId="6" fillId="0" borderId="2" xfId="0" applyNumberFormat="1" applyFont="1" applyBorder="1" applyAlignment="1">
      <alignment horizontal="center" vertical="center"/>
    </xf>
    <xf numFmtId="2" fontId="43" fillId="0" borderId="2" xfId="0" applyNumberFormat="1" applyFont="1" applyBorder="1" applyAlignment="1">
      <alignment horizontal="center"/>
    </xf>
    <xf numFmtId="1" fontId="43" fillId="0" borderId="2" xfId="0" applyNumberFormat="1" applyFont="1" applyBorder="1" applyAlignment="1">
      <alignment horizontal="center"/>
    </xf>
    <xf numFmtId="0" fontId="43" fillId="0" borderId="2" xfId="0" applyFont="1" applyBorder="1" applyAlignment="1">
      <alignment horizontal="center" vertical="center"/>
    </xf>
    <xf numFmtId="0" fontId="8" fillId="0" borderId="2" xfId="0" applyFont="1" applyBorder="1" applyAlignment="1">
      <alignment horizontal="center" vertical="center"/>
    </xf>
    <xf numFmtId="0" fontId="48" fillId="0" borderId="2" xfId="0" applyFont="1" applyBorder="1" applyAlignment="1">
      <alignment horizontal="center" vertical="center"/>
    </xf>
    <xf numFmtId="3" fontId="48" fillId="0" borderId="2" xfId="0" applyNumberFormat="1" applyFont="1" applyBorder="1" applyAlignment="1">
      <alignment horizontal="center" vertical="center"/>
    </xf>
    <xf numFmtId="0" fontId="2" fillId="0" borderId="2" xfId="0" quotePrefix="1" applyFont="1" applyBorder="1" applyAlignment="1">
      <alignment horizontal="center" vertical="center"/>
    </xf>
    <xf numFmtId="3" fontId="7" fillId="0" borderId="2" xfId="0" applyNumberFormat="1" applyFont="1" applyBorder="1" applyAlignment="1">
      <alignment horizontal="center" vertical="center"/>
    </xf>
    <xf numFmtId="2" fontId="7" fillId="0" borderId="2" xfId="5" applyNumberFormat="1" applyFont="1" applyFill="1" applyBorder="1" applyAlignment="1">
      <alignment horizontal="center" vertical="center"/>
    </xf>
    <xf numFmtId="167" fontId="7" fillId="0" borderId="2" xfId="3" applyNumberFormat="1" applyFont="1" applyFill="1" applyBorder="1" applyAlignment="1">
      <alignment horizontal="center" vertical="center"/>
    </xf>
    <xf numFmtId="2" fontId="8" fillId="0" borderId="2" xfId="0" applyNumberFormat="1" applyFont="1" applyBorder="1" applyAlignment="1">
      <alignment horizontal="center" vertical="center"/>
    </xf>
    <xf numFmtId="2" fontId="8" fillId="0" borderId="2" xfId="0" applyNumberFormat="1" applyFont="1" applyBorder="1" applyAlignment="1">
      <alignment horizontal="center"/>
    </xf>
    <xf numFmtId="9" fontId="43" fillId="0" borderId="2" xfId="3" applyFont="1" applyFill="1" applyBorder="1" applyAlignment="1">
      <alignment horizontal="center"/>
    </xf>
    <xf numFmtId="9" fontId="43" fillId="0" borderId="0" xfId="3" applyFont="1" applyFill="1" applyBorder="1" applyAlignment="1">
      <alignment horizontal="center"/>
    </xf>
    <xf numFmtId="0" fontId="39" fillId="15" borderId="2" xfId="67" applyFont="1" applyFill="1" applyBorder="1" applyAlignment="1">
      <alignment horizontal="center" vertical="top"/>
    </xf>
    <xf numFmtId="0" fontId="9" fillId="15" borderId="2" xfId="67" applyFont="1" applyFill="1" applyBorder="1" applyAlignment="1">
      <alignment horizontal="center" vertical="top"/>
    </xf>
    <xf numFmtId="0" fontId="3" fillId="14" borderId="2" xfId="67" applyFont="1" applyFill="1" applyBorder="1" applyAlignment="1">
      <alignment horizontal="center" vertical="top"/>
    </xf>
    <xf numFmtId="167" fontId="3" fillId="14" borderId="2" xfId="67" applyNumberFormat="1" applyFont="1" applyFill="1" applyBorder="1" applyAlignment="1">
      <alignment horizontal="center" vertical="top"/>
    </xf>
    <xf numFmtId="10" fontId="5" fillId="14" borderId="2" xfId="68" applyNumberFormat="1" applyFont="1" applyFill="1" applyBorder="1" applyAlignment="1" applyProtection="1">
      <alignment horizontal="center" vertical="top"/>
    </xf>
    <xf numFmtId="0" fontId="3" fillId="0" borderId="3" xfId="62" applyFont="1" applyBorder="1" applyAlignment="1">
      <alignment horizontal="center" vertical="top"/>
    </xf>
    <xf numFmtId="0" fontId="5" fillId="0" borderId="13" xfId="62" applyFont="1" applyBorder="1" applyAlignment="1">
      <alignment horizontal="left" vertical="top"/>
    </xf>
    <xf numFmtId="0" fontId="8" fillId="0" borderId="2" xfId="0" applyFont="1" applyBorder="1" applyAlignment="1">
      <alignment horizontal="center"/>
    </xf>
    <xf numFmtId="0" fontId="5" fillId="0" borderId="13" xfId="62" applyFont="1" applyBorder="1" applyAlignment="1">
      <alignment horizontal="center" vertical="top"/>
    </xf>
    <xf numFmtId="0" fontId="5" fillId="0" borderId="0" xfId="63" applyFont="1" applyAlignment="1">
      <alignment horizontal="left" vertical="top"/>
    </xf>
    <xf numFmtId="0" fontId="3" fillId="0" borderId="0" xfId="63" applyFont="1" applyAlignment="1">
      <alignment vertical="top"/>
    </xf>
    <xf numFmtId="0" fontId="2" fillId="0" borderId="3" xfId="0" applyFont="1" applyBorder="1"/>
    <xf numFmtId="1" fontId="2" fillId="0" borderId="6" xfId="0" applyNumberFormat="1" applyFont="1" applyBorder="1" applyAlignment="1">
      <alignment horizontal="center"/>
    </xf>
    <xf numFmtId="166" fontId="3" fillId="0" borderId="2" xfId="64" applyNumberFormat="1" applyFont="1" applyBorder="1" applyAlignment="1">
      <alignment horizontal="center" vertical="top"/>
    </xf>
    <xf numFmtId="0" fontId="3" fillId="0" borderId="3" xfId="64" applyFont="1" applyBorder="1" applyAlignment="1">
      <alignment horizontal="left" vertical="top"/>
    </xf>
    <xf numFmtId="3" fontId="3" fillId="0" borderId="2" xfId="0" applyNumberFormat="1" applyFont="1" applyBorder="1" applyAlignment="1">
      <alignment horizontal="center"/>
    </xf>
    <xf numFmtId="3" fontId="2" fillId="0" borderId="2" xfId="0" applyNumberFormat="1" applyFont="1" applyBorder="1" applyAlignment="1">
      <alignment horizontal="center"/>
    </xf>
    <xf numFmtId="0" fontId="3" fillId="0" borderId="2" xfId="64" quotePrefix="1" applyFont="1" applyBorder="1" applyAlignment="1">
      <alignment horizontal="left" vertical="top"/>
    </xf>
    <xf numFmtId="3" fontId="2" fillId="0" borderId="6" xfId="0" applyNumberFormat="1" applyFont="1" applyBorder="1" applyAlignment="1">
      <alignment horizontal="center"/>
    </xf>
    <xf numFmtId="0" fontId="5" fillId="0" borderId="2" xfId="64" quotePrefix="1" applyFont="1" applyBorder="1" applyAlignment="1">
      <alignment horizontal="left" vertical="top"/>
    </xf>
    <xf numFmtId="0" fontId="5" fillId="0" borderId="3" xfId="64" quotePrefix="1" applyFont="1" applyBorder="1" applyAlignment="1">
      <alignment horizontal="left" vertical="top"/>
    </xf>
    <xf numFmtId="0" fontId="5" fillId="0" borderId="3" xfId="64" applyFont="1" applyBorder="1" applyAlignment="1">
      <alignment horizontal="left" vertical="top"/>
    </xf>
    <xf numFmtId="0" fontId="2" fillId="0" borderId="6" xfId="0" applyFont="1" applyBorder="1" applyAlignment="1">
      <alignment horizontal="center"/>
    </xf>
    <xf numFmtId="166" fontId="2" fillId="0" borderId="6" xfId="0" applyNumberFormat="1" applyFont="1" applyBorder="1" applyAlignment="1">
      <alignment horizontal="center"/>
    </xf>
    <xf numFmtId="1" fontId="2" fillId="0" borderId="0" xfId="0" applyNumberFormat="1" applyFont="1"/>
    <xf numFmtId="0" fontId="3" fillId="14" borderId="0" xfId="52" applyFont="1" applyFill="1"/>
    <xf numFmtId="1" fontId="43" fillId="14" borderId="2" xfId="52" applyNumberFormat="1" applyFont="1" applyFill="1" applyBorder="1" applyAlignment="1">
      <alignment horizontal="center"/>
    </xf>
    <xf numFmtId="3" fontId="43" fillId="14" borderId="2" xfId="52" applyNumberFormat="1" applyFont="1" applyFill="1" applyBorder="1" applyAlignment="1">
      <alignment horizontal="center"/>
    </xf>
    <xf numFmtId="0" fontId="43" fillId="0" borderId="2" xfId="52" applyFont="1" applyBorder="1" applyAlignment="1">
      <alignment horizontal="center"/>
    </xf>
    <xf numFmtId="0" fontId="48" fillId="0" borderId="9" xfId="65" applyFont="1" applyBorder="1" applyAlignment="1">
      <alignment horizontal="right" vertical="top"/>
    </xf>
    <xf numFmtId="0" fontId="48" fillId="0" borderId="11" xfId="65" applyFont="1" applyBorder="1" applyAlignment="1">
      <alignment vertical="top"/>
    </xf>
    <xf numFmtId="3" fontId="43" fillId="0" borderId="0" xfId="65" applyNumberFormat="1" applyFont="1" applyAlignment="1">
      <alignment vertical="top"/>
    </xf>
    <xf numFmtId="3" fontId="43" fillId="0" borderId="24" xfId="65" applyNumberFormat="1" applyFont="1" applyBorder="1" applyAlignment="1">
      <alignment vertical="top"/>
    </xf>
    <xf numFmtId="3" fontId="43" fillId="0" borderId="0" xfId="65" applyNumberFormat="1" applyFont="1" applyAlignment="1">
      <alignment horizontal="right" vertical="top"/>
    </xf>
    <xf numFmtId="3" fontId="48" fillId="0" borderId="0" xfId="65" applyNumberFormat="1" applyFont="1" applyAlignment="1">
      <alignment vertical="top"/>
    </xf>
    <xf numFmtId="1" fontId="43" fillId="0" borderId="0" xfId="65" applyNumberFormat="1" applyFont="1" applyAlignment="1">
      <alignment vertical="top"/>
    </xf>
    <xf numFmtId="3" fontId="48" fillId="0" borderId="1" xfId="65" applyNumberFormat="1" applyFont="1" applyBorder="1" applyAlignment="1">
      <alignment vertical="top"/>
    </xf>
    <xf numFmtId="0" fontId="3" fillId="0" borderId="2" xfId="0" applyFont="1" applyBorder="1" applyAlignment="1">
      <alignment horizontal="left"/>
    </xf>
    <xf numFmtId="171" fontId="3" fillId="0" borderId="2" xfId="0" applyNumberFormat="1" applyFont="1" applyBorder="1" applyAlignment="1">
      <alignment horizontal="center"/>
    </xf>
    <xf numFmtId="0" fontId="5" fillId="0" borderId="2" xfId="0" applyFont="1" applyBorder="1" applyAlignment="1">
      <alignment horizontal="center"/>
    </xf>
    <xf numFmtId="171" fontId="3" fillId="14" borderId="2" xfId="0" applyNumberFormat="1" applyFont="1" applyFill="1" applyBorder="1" applyAlignment="1">
      <alignment horizontal="center"/>
    </xf>
    <xf numFmtId="3" fontId="3" fillId="14" borderId="2" xfId="0" applyNumberFormat="1" applyFont="1" applyFill="1" applyBorder="1" applyAlignment="1">
      <alignment horizontal="center"/>
    </xf>
    <xf numFmtId="167" fontId="3" fillId="14" borderId="2" xfId="0" applyNumberFormat="1" applyFont="1" applyFill="1" applyBorder="1" applyAlignment="1">
      <alignment horizontal="center"/>
    </xf>
    <xf numFmtId="172" fontId="3" fillId="0" borderId="2" xfId="0" applyNumberFormat="1" applyFont="1" applyBorder="1" applyAlignment="1">
      <alignment horizontal="center"/>
    </xf>
    <xf numFmtId="173" fontId="3" fillId="0" borderId="2" xfId="0" applyNumberFormat="1" applyFont="1" applyBorder="1" applyAlignment="1">
      <alignment horizontal="center"/>
    </xf>
    <xf numFmtId="173" fontId="3" fillId="14" borderId="2" xfId="0" applyNumberFormat="1" applyFont="1" applyFill="1" applyBorder="1" applyAlignment="1">
      <alignment horizontal="center"/>
    </xf>
    <xf numFmtId="174" fontId="3" fillId="14" borderId="2" xfId="0" applyNumberFormat="1" applyFont="1" applyFill="1" applyBorder="1" applyAlignment="1">
      <alignment horizontal="center"/>
    </xf>
    <xf numFmtId="0" fontId="5" fillId="0" borderId="2" xfId="0" applyFont="1" applyBorder="1" applyAlignment="1">
      <alignment vertical="center"/>
    </xf>
    <xf numFmtId="1" fontId="5" fillId="0" borderId="2" xfId="0" applyNumberFormat="1" applyFont="1" applyBorder="1" applyAlignment="1">
      <alignment horizontal="center" vertical="center"/>
    </xf>
    <xf numFmtId="0" fontId="5" fillId="14" borderId="2" xfId="0" applyFont="1" applyFill="1" applyBorder="1" applyAlignment="1">
      <alignment vertical="center"/>
    </xf>
    <xf numFmtId="172" fontId="3" fillId="14" borderId="2" xfId="0" applyNumberFormat="1" applyFont="1" applyFill="1" applyBorder="1" applyAlignment="1">
      <alignment vertical="center"/>
    </xf>
    <xf numFmtId="172" fontId="3" fillId="14" borderId="2" xfId="0" applyNumberFormat="1" applyFont="1" applyFill="1" applyBorder="1" applyAlignment="1">
      <alignment horizontal="right" vertical="center"/>
    </xf>
    <xf numFmtId="173" fontId="5" fillId="14" borderId="2" xfId="0" applyNumberFormat="1" applyFont="1" applyFill="1" applyBorder="1" applyAlignment="1">
      <alignment vertical="center"/>
    </xf>
    <xf numFmtId="0" fontId="5" fillId="14" borderId="0" xfId="41" applyFont="1" applyFill="1" applyAlignment="1">
      <alignment horizontal="fill" vertical="center"/>
    </xf>
    <xf numFmtId="0" fontId="5" fillId="14" borderId="0" xfId="41" applyFont="1" applyFill="1" applyAlignment="1">
      <alignment horizontal="center" vertical="center"/>
    </xf>
    <xf numFmtId="166" fontId="3" fillId="14" borderId="12" xfId="0" quotePrefix="1" applyNumberFormat="1" applyFont="1" applyFill="1" applyBorder="1" applyAlignment="1">
      <alignment horizontal="center" vertical="center"/>
    </xf>
    <xf numFmtId="166" fontId="3" fillId="14" borderId="12" xfId="0" applyNumberFormat="1" applyFont="1" applyFill="1" applyBorder="1" applyAlignment="1">
      <alignment horizontal="center" vertical="center"/>
    </xf>
    <xf numFmtId="166" fontId="5" fillId="14" borderId="2" xfId="0" applyNumberFormat="1" applyFont="1" applyFill="1" applyBorder="1" applyAlignment="1">
      <alignment horizontal="center" vertical="center"/>
    </xf>
    <xf numFmtId="2" fontId="3" fillId="14" borderId="0" xfId="0" applyNumberFormat="1" applyFont="1" applyFill="1" applyAlignment="1">
      <alignment vertical="center"/>
    </xf>
    <xf numFmtId="166" fontId="3" fillId="14" borderId="0" xfId="0" applyNumberFormat="1" applyFont="1" applyFill="1" applyAlignment="1">
      <alignment vertical="center"/>
    </xf>
    <xf numFmtId="0" fontId="3" fillId="14" borderId="12" xfId="0" applyFont="1" applyFill="1" applyBorder="1" applyAlignment="1">
      <alignment horizontal="left" vertical="center" wrapText="1"/>
    </xf>
    <xf numFmtId="0" fontId="5" fillId="14" borderId="2" xfId="0" applyFont="1" applyFill="1" applyBorder="1" applyAlignment="1">
      <alignment horizontal="left" vertical="center"/>
    </xf>
    <xf numFmtId="2" fontId="5" fillId="14" borderId="2" xfId="0" applyNumberFormat="1" applyFont="1" applyFill="1" applyBorder="1" applyAlignment="1">
      <alignment horizontal="center" vertical="center"/>
    </xf>
    <xf numFmtId="0" fontId="5" fillId="0" borderId="2" xfId="41" applyFont="1" applyBorder="1" applyAlignment="1">
      <alignment horizontal="center" vertical="center"/>
    </xf>
    <xf numFmtId="166" fontId="3" fillId="0" borderId="5" xfId="0" quotePrefix="1" applyNumberFormat="1" applyFont="1" applyBorder="1" applyAlignment="1">
      <alignment horizontal="center" vertical="center"/>
    </xf>
    <xf numFmtId="166" fontId="5" fillId="0" borderId="2" xfId="0" quotePrefix="1" applyNumberFormat="1" applyFont="1" applyBorder="1" applyAlignment="1">
      <alignment horizontal="center" vertical="center"/>
    </xf>
    <xf numFmtId="0" fontId="5" fillId="0" borderId="0" xfId="0" applyFont="1" applyAlignment="1">
      <alignment vertical="center"/>
    </xf>
    <xf numFmtId="0" fontId="3" fillId="0" borderId="0" xfId="0" quotePrefix="1" applyFont="1" applyAlignment="1">
      <alignment vertical="center"/>
    </xf>
    <xf numFmtId="2" fontId="3" fillId="0" borderId="0" xfId="0" quotePrefix="1" applyNumberFormat="1" applyFont="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6" xfId="0" applyFont="1" applyBorder="1" applyAlignment="1">
      <alignment vertical="center"/>
    </xf>
    <xf numFmtId="0" fontId="5" fillId="0" borderId="0" xfId="0" applyFont="1" applyAlignment="1">
      <alignment horizontal="center" vertical="center"/>
    </xf>
    <xf numFmtId="0" fontId="5" fillId="0" borderId="4" xfId="0" applyFont="1" applyBorder="1" applyAlignment="1">
      <alignment vertical="center"/>
    </xf>
    <xf numFmtId="0" fontId="5" fillId="0" borderId="4" xfId="0" applyFont="1" applyBorder="1" applyAlignment="1">
      <alignment horizontal="center" vertical="center"/>
    </xf>
    <xf numFmtId="0" fontId="5" fillId="0" borderId="4" xfId="41" applyFont="1" applyBorder="1" applyAlignment="1">
      <alignment horizontal="center" vertical="center"/>
    </xf>
    <xf numFmtId="0" fontId="43" fillId="14" borderId="0" xfId="0" applyFont="1" applyFill="1" applyAlignment="1">
      <alignment vertical="center"/>
    </xf>
    <xf numFmtId="0" fontId="5" fillId="14" borderId="2" xfId="0" applyFont="1" applyFill="1" applyBorder="1" applyAlignment="1">
      <alignment horizontal="left"/>
    </xf>
    <xf numFmtId="2" fontId="2" fillId="21" borderId="2" xfId="0" applyNumberFormat="1" applyFont="1" applyFill="1" applyBorder="1"/>
    <xf numFmtId="171" fontId="3" fillId="14" borderId="0" xfId="0" applyNumberFormat="1" applyFont="1" applyFill="1"/>
    <xf numFmtId="0" fontId="7" fillId="13" borderId="0" xfId="0" applyFont="1" applyFill="1" applyAlignment="1">
      <alignment horizontal="left" vertical="top" wrapText="1"/>
    </xf>
    <xf numFmtId="0" fontId="9" fillId="15" borderId="3" xfId="0" applyFont="1" applyFill="1" applyBorder="1" applyAlignment="1">
      <alignment horizontal="center" wrapText="1"/>
    </xf>
    <xf numFmtId="0" fontId="9" fillId="15" borderId="3" xfId="0" applyFont="1" applyFill="1" applyBorder="1" applyAlignment="1">
      <alignment horizontal="center" vertical="center"/>
    </xf>
    <xf numFmtId="1" fontId="5" fillId="0" borderId="0" xfId="0" applyNumberFormat="1" applyFont="1" applyAlignment="1">
      <alignment horizontal="center" vertical="center"/>
    </xf>
    <xf numFmtId="167" fontId="48" fillId="0" borderId="0" xfId="0" applyNumberFormat="1" applyFont="1" applyAlignment="1">
      <alignment horizontal="center"/>
    </xf>
    <xf numFmtId="167" fontId="48" fillId="0" borderId="2" xfId="0" applyNumberFormat="1" applyFont="1" applyBorder="1" applyAlignment="1">
      <alignment horizontal="center"/>
    </xf>
    <xf numFmtId="171" fontId="3" fillId="14" borderId="2" xfId="0" applyNumberFormat="1" applyFont="1" applyFill="1" applyBorder="1"/>
    <xf numFmtId="171" fontId="3" fillId="0" borderId="0" xfId="0" applyNumberFormat="1" applyFont="1" applyAlignment="1">
      <alignment horizontal="center"/>
    </xf>
    <xf numFmtId="0" fontId="3" fillId="0" borderId="25" xfId="0" applyFont="1" applyBorder="1" applyAlignment="1">
      <alignment horizontal="center" vertical="center"/>
    </xf>
    <xf numFmtId="0" fontId="9" fillId="15" borderId="2" xfId="0" applyFont="1" applyFill="1" applyBorder="1" applyAlignment="1">
      <alignment horizontal="center" wrapText="1"/>
    </xf>
    <xf numFmtId="0" fontId="0" fillId="13" borderId="2" xfId="0" applyFill="1" applyBorder="1"/>
    <xf numFmtId="0" fontId="5" fillId="0" borderId="2" xfId="0" applyFont="1" applyBorder="1" applyAlignment="1">
      <alignment horizontal="center" vertical="center" wrapText="1"/>
    </xf>
    <xf numFmtId="9" fontId="5" fillId="0" borderId="2" xfId="0" applyNumberFormat="1" applyFont="1" applyBorder="1" applyAlignment="1">
      <alignment horizontal="center" wrapText="1"/>
    </xf>
    <xf numFmtId="0" fontId="5" fillId="0" borderId="2" xfId="0" applyFont="1" applyBorder="1" applyAlignment="1">
      <alignment horizontal="center" wrapText="1"/>
    </xf>
    <xf numFmtId="0" fontId="3" fillId="18" borderId="2" xfId="0" applyFont="1" applyFill="1" applyBorder="1" applyAlignment="1">
      <alignment horizontal="center" wrapText="1"/>
    </xf>
    <xf numFmtId="0" fontId="3" fillId="18" borderId="2" xfId="0" applyFont="1" applyFill="1" applyBorder="1" applyAlignment="1">
      <alignment horizontal="center" vertical="center"/>
    </xf>
    <xf numFmtId="2" fontId="3" fillId="18" borderId="2" xfId="0" applyNumberFormat="1" applyFont="1" applyFill="1" applyBorder="1" applyAlignment="1">
      <alignment horizontal="center"/>
    </xf>
    <xf numFmtId="2" fontId="3" fillId="0" borderId="2" xfId="0" applyNumberFormat="1" applyFont="1" applyBorder="1" applyAlignment="1">
      <alignment horizontal="center"/>
    </xf>
    <xf numFmtId="1" fontId="3" fillId="18" borderId="2" xfId="0" applyNumberFormat="1" applyFont="1" applyFill="1" applyBorder="1" applyAlignment="1">
      <alignment horizontal="center" vertical="center"/>
    </xf>
    <xf numFmtId="2" fontId="3" fillId="18" borderId="2" xfId="0" applyNumberFormat="1" applyFont="1" applyFill="1" applyBorder="1" applyAlignment="1">
      <alignment horizontal="center" wrapText="1"/>
    </xf>
    <xf numFmtId="0" fontId="3" fillId="0" borderId="2" xfId="0" applyFont="1" applyBorder="1" applyAlignment="1">
      <alignment horizontal="center" wrapText="1"/>
    </xf>
    <xf numFmtId="2" fontId="9" fillId="15" borderId="2" xfId="0" applyNumberFormat="1" applyFont="1" applyFill="1" applyBorder="1" applyAlignment="1">
      <alignment horizontal="center"/>
    </xf>
    <xf numFmtId="166" fontId="0" fillId="0" borderId="2" xfId="0" applyNumberFormat="1" applyBorder="1"/>
    <xf numFmtId="0" fontId="3" fillId="18" borderId="2" xfId="0" applyFont="1" applyFill="1" applyBorder="1" applyAlignment="1">
      <alignment horizontal="center" vertical="center" wrapText="1"/>
    </xf>
    <xf numFmtId="0" fontId="7" fillId="0" borderId="2" xfId="0" applyFont="1" applyBorder="1" applyAlignment="1">
      <alignment horizontal="center" vertical="center"/>
    </xf>
    <xf numFmtId="1" fontId="7" fillId="0" borderId="2" xfId="0" applyNumberFormat="1" applyFont="1" applyBorder="1" applyAlignment="1">
      <alignment horizontal="center" vertical="center"/>
    </xf>
    <xf numFmtId="2" fontId="3" fillId="18" borderId="2" xfId="0" applyNumberFormat="1" applyFont="1" applyFill="1" applyBorder="1" applyAlignment="1">
      <alignment horizontal="center" vertical="center"/>
    </xf>
    <xf numFmtId="2" fontId="3" fillId="14" borderId="2" xfId="0" applyNumberFormat="1" applyFont="1" applyFill="1" applyBorder="1" applyAlignment="1">
      <alignment horizontal="center"/>
    </xf>
    <xf numFmtId="167" fontId="3" fillId="0" borderId="2" xfId="3" applyNumberFormat="1" applyFont="1" applyFill="1" applyBorder="1" applyAlignment="1">
      <alignment horizontal="center" vertical="center" wrapText="1"/>
    </xf>
    <xf numFmtId="2" fontId="3" fillId="0" borderId="2" xfId="0" applyNumberFormat="1" applyFont="1" applyBorder="1" applyAlignment="1">
      <alignment horizontal="center" vertical="center"/>
    </xf>
    <xf numFmtId="0" fontId="3" fillId="0" borderId="2" xfId="0" applyFont="1" applyBorder="1" applyAlignment="1">
      <alignment horizontal="center" vertical="top" wrapText="1"/>
    </xf>
    <xf numFmtId="2" fontId="3" fillId="0" borderId="2" xfId="0" applyNumberFormat="1" applyFont="1" applyBorder="1" applyAlignment="1">
      <alignment horizontal="center" vertical="top"/>
    </xf>
    <xf numFmtId="0" fontId="0" fillId="13" borderId="3" xfId="0" applyFill="1" applyBorder="1"/>
    <xf numFmtId="9" fontId="5" fillId="0" borderId="3" xfId="0" applyNumberFormat="1" applyFont="1" applyBorder="1" applyAlignment="1">
      <alignment horizontal="center" wrapText="1"/>
    </xf>
    <xf numFmtId="0" fontId="5" fillId="0" borderId="3" xfId="0" applyFont="1" applyBorder="1" applyAlignment="1">
      <alignment horizontal="center" wrapText="1"/>
    </xf>
    <xf numFmtId="2" fontId="3" fillId="18" borderId="3" xfId="0" applyNumberFormat="1" applyFont="1" applyFill="1" applyBorder="1" applyAlignment="1">
      <alignment horizontal="center"/>
    </xf>
    <xf numFmtId="2" fontId="3" fillId="18" borderId="3" xfId="0" applyNumberFormat="1" applyFont="1" applyFill="1" applyBorder="1" applyAlignment="1">
      <alignment horizontal="center" wrapText="1"/>
    </xf>
    <xf numFmtId="2" fontId="3" fillId="14" borderId="3" xfId="0" applyNumberFormat="1" applyFont="1" applyFill="1" applyBorder="1" applyAlignment="1">
      <alignment horizontal="center"/>
    </xf>
    <xf numFmtId="2" fontId="3" fillId="0" borderId="3" xfId="0" applyNumberFormat="1" applyFont="1" applyBorder="1" applyAlignment="1">
      <alignment horizontal="center" vertical="center"/>
    </xf>
    <xf numFmtId="2" fontId="3" fillId="0" borderId="3" xfId="0" applyNumberFormat="1" applyFont="1" applyBorder="1" applyAlignment="1">
      <alignment horizontal="center" vertical="top"/>
    </xf>
    <xf numFmtId="2" fontId="9" fillId="15" borderId="3" xfId="0" applyNumberFormat="1" applyFont="1" applyFill="1" applyBorder="1" applyAlignment="1">
      <alignment horizontal="center"/>
    </xf>
    <xf numFmtId="0" fontId="0" fillId="0" borderId="3" xfId="0" applyBorder="1"/>
    <xf numFmtId="0" fontId="5" fillId="0" borderId="3" xfId="0" applyFont="1" applyBorder="1" applyAlignment="1">
      <alignment horizontal="center" vertical="center" wrapText="1"/>
    </xf>
    <xf numFmtId="0" fontId="0" fillId="14" borderId="0" xfId="0" applyFill="1"/>
    <xf numFmtId="0" fontId="44" fillId="14" borderId="0" xfId="0" applyFont="1" applyFill="1"/>
    <xf numFmtId="0" fontId="54" fillId="14" borderId="0" xfId="0" applyFont="1" applyFill="1"/>
    <xf numFmtId="1" fontId="54" fillId="14" borderId="0" xfId="0" applyNumberFormat="1" applyFont="1" applyFill="1"/>
    <xf numFmtId="2" fontId="3" fillId="18" borderId="3" xfId="0" applyNumberFormat="1" applyFont="1" applyFill="1" applyBorder="1" applyAlignment="1">
      <alignment horizontal="center" vertical="center"/>
    </xf>
    <xf numFmtId="9" fontId="9" fillId="15" borderId="2" xfId="3" applyFont="1" applyFill="1" applyBorder="1" applyAlignment="1">
      <alignment horizontal="center" vertical="center"/>
    </xf>
    <xf numFmtId="1" fontId="3" fillId="0" borderId="2" xfId="0" applyNumberFormat="1" applyFont="1" applyBorder="1" applyAlignment="1">
      <alignment horizontal="center"/>
    </xf>
    <xf numFmtId="3" fontId="3" fillId="0" borderId="2" xfId="0" applyNumberFormat="1" applyFont="1" applyBorder="1" applyAlignment="1">
      <alignment horizontal="center" vertical="center"/>
    </xf>
    <xf numFmtId="0" fontId="3" fillId="0" borderId="2" xfId="0" quotePrefix="1" applyFont="1" applyBorder="1" applyAlignment="1">
      <alignment horizontal="center" vertical="center"/>
    </xf>
    <xf numFmtId="0" fontId="3" fillId="0" borderId="3" xfId="0" applyFont="1" applyBorder="1" applyAlignment="1">
      <alignment horizontal="center" vertical="center"/>
    </xf>
    <xf numFmtId="9" fontId="3" fillId="0" borderId="2" xfId="3" applyFont="1" applyFill="1" applyBorder="1" applyAlignment="1">
      <alignment horizontal="center"/>
    </xf>
    <xf numFmtId="0" fontId="5" fillId="14" borderId="3" xfId="52" applyFont="1" applyFill="1" applyBorder="1" applyAlignment="1">
      <alignment horizontal="left"/>
    </xf>
    <xf numFmtId="0" fontId="3" fillId="14" borderId="0" xfId="52" applyFont="1" applyFill="1" applyAlignment="1">
      <alignment horizontal="left"/>
    </xf>
    <xf numFmtId="0" fontId="5" fillId="14" borderId="11" xfId="52" applyFont="1" applyFill="1" applyBorder="1"/>
    <xf numFmtId="0" fontId="3" fillId="14" borderId="4" xfId="52" applyFont="1" applyFill="1" applyBorder="1"/>
    <xf numFmtId="0" fontId="3" fillId="14" borderId="2" xfId="52" applyFont="1" applyFill="1" applyBorder="1" applyAlignment="1">
      <alignment horizontal="center"/>
    </xf>
    <xf numFmtId="0" fontId="3" fillId="14" borderId="2" xfId="52" applyFont="1" applyFill="1" applyBorder="1"/>
    <xf numFmtId="1" fontId="3" fillId="14" borderId="2" xfId="52" applyNumberFormat="1" applyFont="1" applyFill="1" applyBorder="1" applyAlignment="1">
      <alignment horizontal="center"/>
    </xf>
    <xf numFmtId="9" fontId="3" fillId="14" borderId="2" xfId="52" applyNumberFormat="1" applyFont="1" applyFill="1" applyBorder="1" applyAlignment="1">
      <alignment horizontal="center"/>
    </xf>
    <xf numFmtId="3" fontId="3" fillId="14" borderId="2" xfId="52" applyNumberFormat="1" applyFont="1" applyFill="1" applyBorder="1" applyAlignment="1">
      <alignment horizontal="center"/>
    </xf>
    <xf numFmtId="1" fontId="3" fillId="14" borderId="0" xfId="52" applyNumberFormat="1" applyFont="1" applyFill="1"/>
    <xf numFmtId="0" fontId="3" fillId="0" borderId="2" xfId="52" applyFont="1" applyBorder="1"/>
    <xf numFmtId="0" fontId="3" fillId="0" borderId="2" xfId="52" quotePrefix="1" applyFont="1" applyBorder="1" applyAlignment="1">
      <alignment horizontal="center"/>
    </xf>
    <xf numFmtId="0" fontId="3" fillId="0" borderId="2" xfId="52" applyFont="1" applyBorder="1" applyAlignment="1">
      <alignment horizontal="center"/>
    </xf>
    <xf numFmtId="0" fontId="3" fillId="0" borderId="2" xfId="65" applyFont="1" applyBorder="1" applyAlignment="1">
      <alignment horizontal="center" vertical="top"/>
    </xf>
    <xf numFmtId="0" fontId="5" fillId="0" borderId="2" xfId="65" applyFont="1" applyBorder="1" applyAlignment="1">
      <alignment horizontal="left" vertical="top"/>
    </xf>
    <xf numFmtId="0" fontId="5" fillId="0" borderId="2" xfId="65" applyFont="1" applyBorder="1" applyAlignment="1">
      <alignment horizontal="right" vertical="top"/>
    </xf>
    <xf numFmtId="0" fontId="5" fillId="0" borderId="2" xfId="65" applyFont="1" applyBorder="1" applyAlignment="1">
      <alignment vertical="top"/>
    </xf>
    <xf numFmtId="166" fontId="3" fillId="0" borderId="2" xfId="65" applyNumberFormat="1" applyFont="1" applyBorder="1" applyAlignment="1">
      <alignment horizontal="center" vertical="top"/>
    </xf>
    <xf numFmtId="0" fontId="3" fillId="0" borderId="2" xfId="65" applyFont="1" applyBorder="1" applyAlignment="1">
      <alignment horizontal="left" vertical="top"/>
    </xf>
    <xf numFmtId="3" fontId="3" fillId="0" borderId="2" xfId="65" applyNumberFormat="1" applyFont="1" applyBorder="1" applyAlignment="1">
      <alignment vertical="top"/>
    </xf>
    <xf numFmtId="0" fontId="3" fillId="0" borderId="2" xfId="65" quotePrefix="1" applyFont="1" applyBorder="1" applyAlignment="1">
      <alignment horizontal="left" vertical="top"/>
    </xf>
    <xf numFmtId="3" fontId="3" fillId="0" borderId="2" xfId="65" applyNumberFormat="1" applyFont="1" applyBorder="1" applyAlignment="1">
      <alignment horizontal="right" vertical="top"/>
    </xf>
    <xf numFmtId="170" fontId="3" fillId="0" borderId="2" xfId="65" applyNumberFormat="1" applyFont="1" applyBorder="1" applyAlignment="1">
      <alignment vertical="top"/>
    </xf>
    <xf numFmtId="3" fontId="5" fillId="0" borderId="2" xfId="65" applyNumberFormat="1" applyFont="1" applyBorder="1" applyAlignment="1">
      <alignment vertical="top"/>
    </xf>
    <xf numFmtId="1" fontId="3" fillId="0" borderId="2" xfId="65" applyNumberFormat="1" applyFont="1" applyBorder="1" applyAlignment="1">
      <alignment vertical="top"/>
    </xf>
    <xf numFmtId="0" fontId="59" fillId="0" borderId="2" xfId="0" applyFont="1" applyBorder="1"/>
    <xf numFmtId="3" fontId="5" fillId="0" borderId="0" xfId="0" applyNumberFormat="1" applyFont="1" applyAlignment="1">
      <alignment horizontal="center"/>
    </xf>
    <xf numFmtId="0" fontId="5" fillId="0" borderId="0" xfId="0" applyFont="1" applyAlignment="1">
      <alignment horizontal="center"/>
    </xf>
    <xf numFmtId="3" fontId="5" fillId="0" borderId="2" xfId="0" applyNumberFormat="1" applyFont="1" applyBorder="1" applyAlignment="1">
      <alignment horizontal="center"/>
    </xf>
    <xf numFmtId="3" fontId="5" fillId="0" borderId="2" xfId="0" applyNumberFormat="1" applyFont="1" applyBorder="1" applyAlignment="1">
      <alignment horizontal="left"/>
    </xf>
    <xf numFmtId="0" fontId="3" fillId="13" borderId="2" xfId="0" applyFont="1" applyFill="1" applyBorder="1" applyAlignment="1">
      <alignment horizontal="center"/>
    </xf>
    <xf numFmtId="3" fontId="3" fillId="0" borderId="2" xfId="0" applyNumberFormat="1" applyFont="1" applyBorder="1" applyAlignment="1">
      <alignment horizontal="left"/>
    </xf>
    <xf numFmtId="171" fontId="5" fillId="0" borderId="2" xfId="0" applyNumberFormat="1" applyFont="1" applyBorder="1" applyAlignment="1">
      <alignment horizontal="center"/>
    </xf>
    <xf numFmtId="166" fontId="2" fillId="14" borderId="2" xfId="0" applyNumberFormat="1" applyFont="1" applyFill="1" applyBorder="1" applyAlignment="1">
      <alignment horizontal="center"/>
    </xf>
    <xf numFmtId="171" fontId="8" fillId="14" borderId="0" xfId="0" applyNumberFormat="1" applyFont="1" applyFill="1" applyAlignment="1">
      <alignment horizontal="center"/>
    </xf>
    <xf numFmtId="0" fontId="5" fillId="0" borderId="0" xfId="0" applyFont="1"/>
    <xf numFmtId="1" fontId="5" fillId="0" borderId="2" xfId="0" applyNumberFormat="1" applyFont="1" applyBorder="1" applyAlignment="1">
      <alignment horizontal="center"/>
    </xf>
    <xf numFmtId="9" fontId="3" fillId="0" borderId="2" xfId="0" applyNumberFormat="1" applyFont="1" applyBorder="1"/>
    <xf numFmtId="1" fontId="3" fillId="0" borderId="2" xfId="0" applyNumberFormat="1" applyFont="1" applyBorder="1"/>
    <xf numFmtId="1" fontId="5" fillId="0" borderId="2" xfId="0" applyNumberFormat="1" applyFont="1" applyBorder="1"/>
    <xf numFmtId="3" fontId="3" fillId="0" borderId="0" xfId="0" applyNumberFormat="1" applyFont="1" applyAlignment="1">
      <alignment horizontal="center"/>
    </xf>
    <xf numFmtId="9" fontId="3" fillId="0" borderId="2" xfId="0" applyNumberFormat="1" applyFont="1" applyBorder="1" applyAlignment="1">
      <alignment horizontal="center"/>
    </xf>
    <xf numFmtId="9" fontId="3" fillId="14" borderId="2" xfId="0" applyNumberFormat="1" applyFont="1" applyFill="1" applyBorder="1" applyAlignment="1">
      <alignment horizontal="center"/>
    </xf>
    <xf numFmtId="3" fontId="5" fillId="14" borderId="2" xfId="0" applyNumberFormat="1" applyFont="1" applyFill="1" applyBorder="1" applyAlignment="1">
      <alignment horizontal="center"/>
    </xf>
    <xf numFmtId="9" fontId="5" fillId="14" borderId="2" xfId="0" applyNumberFormat="1" applyFont="1" applyFill="1" applyBorder="1" applyAlignment="1">
      <alignment horizontal="center" vertical="center"/>
    </xf>
    <xf numFmtId="1" fontId="2" fillId="18" borderId="0" xfId="0" applyNumberFormat="1" applyFont="1" applyFill="1" applyAlignment="1">
      <alignment horizontal="center"/>
    </xf>
    <xf numFmtId="4" fontId="3" fillId="14" borderId="0" xfId="0" applyNumberFormat="1" applyFont="1" applyFill="1" applyAlignment="1">
      <alignment horizontal="center" vertical="center"/>
    </xf>
    <xf numFmtId="0" fontId="2" fillId="14" borderId="0" xfId="0" applyFont="1" applyFill="1"/>
    <xf numFmtId="1" fontId="2" fillId="0" borderId="2" xfId="0" applyNumberFormat="1" applyFont="1" applyBorder="1" applyAlignment="1">
      <alignment horizontal="center" vertical="center"/>
    </xf>
    <xf numFmtId="14" fontId="9" fillId="15" borderId="9" xfId="0" applyNumberFormat="1" applyFont="1" applyFill="1" applyBorder="1" applyAlignment="1">
      <alignment horizontal="center" vertical="center"/>
    </xf>
    <xf numFmtId="14" fontId="9" fillId="15" borderId="2" xfId="0" applyNumberFormat="1" applyFont="1" applyFill="1" applyBorder="1" applyAlignment="1">
      <alignment horizontal="center" vertical="center"/>
    </xf>
    <xf numFmtId="0" fontId="2" fillId="0" borderId="2" xfId="0" applyFont="1" applyBorder="1" applyAlignment="1">
      <alignment horizontal="center" vertical="top"/>
    </xf>
    <xf numFmtId="1" fontId="3" fillId="0" borderId="2"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49" fillId="14" borderId="2" xfId="0" applyFont="1" applyFill="1" applyBorder="1" applyAlignment="1">
      <alignment horizontal="center"/>
    </xf>
    <xf numFmtId="1" fontId="3" fillId="0" borderId="2" xfId="45" applyNumberFormat="1" applyFont="1" applyBorder="1" applyAlignment="1">
      <alignment horizontal="center" vertical="center"/>
    </xf>
    <xf numFmtId="0" fontId="49" fillId="0" borderId="2" xfId="0" applyFont="1" applyBorder="1" applyAlignment="1">
      <alignment horizontal="center"/>
    </xf>
    <xf numFmtId="0" fontId="49" fillId="0" borderId="2" xfId="0" applyFont="1" applyBorder="1" applyAlignment="1">
      <alignment horizontal="center" vertical="center"/>
    </xf>
    <xf numFmtId="1" fontId="3" fillId="0" borderId="2" xfId="45" applyNumberFormat="1" applyFont="1" applyBorder="1" applyAlignment="1">
      <alignment horizontal="center" vertical="center" wrapText="1"/>
    </xf>
    <xf numFmtId="1" fontId="2" fillId="0" borderId="2" xfId="0" applyNumberFormat="1" applyFont="1" applyBorder="1" applyAlignment="1">
      <alignment horizontal="center" wrapText="1"/>
    </xf>
    <xf numFmtId="2" fontId="3" fillId="0" borderId="2" xfId="0" applyNumberFormat="1" applyFont="1" applyBorder="1" applyAlignment="1">
      <alignment horizontal="center" vertical="center" wrapText="1"/>
    </xf>
    <xf numFmtId="1" fontId="3" fillId="14" borderId="2" xfId="0" applyNumberFormat="1" applyFont="1" applyFill="1" applyBorder="1" applyAlignment="1">
      <alignment horizontal="center" vertical="center"/>
    </xf>
    <xf numFmtId="1" fontId="7" fillId="3" borderId="2" xfId="0" applyNumberFormat="1" applyFont="1" applyFill="1" applyBorder="1" applyAlignment="1">
      <alignment horizontal="center" vertical="center"/>
    </xf>
    <xf numFmtId="0" fontId="2" fillId="14" borderId="2" xfId="0" applyFont="1" applyFill="1" applyBorder="1"/>
    <xf numFmtId="9" fontId="3" fillId="14" borderId="2" xfId="0" applyNumberFormat="1" applyFont="1" applyFill="1" applyBorder="1"/>
    <xf numFmtId="0" fontId="60" fillId="0" borderId="2" xfId="0" applyFont="1" applyBorder="1"/>
    <xf numFmtId="167" fontId="2" fillId="0" borderId="2" xfId="0" applyNumberFormat="1" applyFont="1" applyBorder="1" applyAlignment="1">
      <alignment horizontal="center" vertical="center"/>
    </xf>
    <xf numFmtId="167" fontId="2" fillId="0" borderId="0" xfId="0" applyNumberFormat="1" applyFont="1" applyAlignment="1">
      <alignment horizontal="center" vertical="center"/>
    </xf>
    <xf numFmtId="2" fontId="2" fillId="0" borderId="2" xfId="0" applyNumberFormat="1" applyFont="1" applyBorder="1" applyAlignment="1">
      <alignment horizontal="center" vertical="center"/>
    </xf>
    <xf numFmtId="9" fontId="2" fillId="0" borderId="2" xfId="3" applyFont="1" applyBorder="1" applyAlignment="1">
      <alignment horizontal="center"/>
    </xf>
    <xf numFmtId="166" fontId="3" fillId="0" borderId="2" xfId="0" applyNumberFormat="1" applyFont="1" applyBorder="1" applyAlignment="1">
      <alignment horizontal="center"/>
    </xf>
    <xf numFmtId="166" fontId="43" fillId="0" borderId="2" xfId="0" applyNumberFormat="1" applyFont="1" applyBorder="1" applyAlignment="1">
      <alignment horizontal="center"/>
    </xf>
    <xf numFmtId="2" fontId="43" fillId="0" borderId="0" xfId="5" applyNumberFormat="1" applyFont="1" applyFill="1" applyBorder="1" applyAlignment="1">
      <alignment horizontal="center"/>
    </xf>
    <xf numFmtId="9" fontId="2" fillId="0" borderId="0" xfId="3" applyFont="1"/>
    <xf numFmtId="0" fontId="43" fillId="0" borderId="0" xfId="65" applyFont="1"/>
    <xf numFmtId="0" fontId="3" fillId="0" borderId="0" xfId="65" applyFont="1" applyAlignment="1">
      <alignment horizontal="center" vertical="top"/>
    </xf>
    <xf numFmtId="0" fontId="3" fillId="14" borderId="2" xfId="65" applyFont="1" applyFill="1" applyBorder="1" applyAlignment="1">
      <alignment horizontal="left" vertical="top"/>
    </xf>
    <xf numFmtId="3" fontId="3" fillId="14" borderId="2" xfId="65" applyNumberFormat="1" applyFont="1" applyFill="1" applyBorder="1" applyAlignment="1">
      <alignment vertical="top"/>
    </xf>
    <xf numFmtId="3" fontId="3" fillId="19" borderId="2" xfId="65" applyNumberFormat="1" applyFont="1" applyFill="1" applyBorder="1" applyAlignment="1">
      <alignment vertical="top"/>
    </xf>
    <xf numFmtId="0" fontId="3" fillId="0" borderId="0" xfId="65" applyFont="1" applyAlignment="1">
      <alignment vertical="top"/>
    </xf>
    <xf numFmtId="3" fontId="43" fillId="19" borderId="2" xfId="65" applyNumberFormat="1" applyFont="1" applyFill="1" applyBorder="1" applyAlignment="1">
      <alignment vertical="top"/>
    </xf>
    <xf numFmtId="2" fontId="6" fillId="0" borderId="0" xfId="0" applyNumberFormat="1" applyFont="1" applyAlignment="1">
      <alignment horizontal="center" vertical="center" wrapText="1"/>
    </xf>
    <xf numFmtId="167" fontId="8" fillId="14" borderId="2" xfId="0" applyNumberFormat="1" applyFont="1" applyFill="1" applyBorder="1" applyAlignment="1" applyProtection="1">
      <alignment horizontal="center"/>
      <protection locked="0"/>
    </xf>
    <xf numFmtId="166" fontId="8" fillId="14" borderId="2" xfId="0" applyNumberFormat="1" applyFont="1" applyFill="1" applyBorder="1" applyAlignment="1" applyProtection="1">
      <alignment horizontal="center"/>
      <protection locked="0"/>
    </xf>
    <xf numFmtId="2" fontId="7" fillId="0" borderId="0" xfId="0" applyNumberFormat="1" applyFont="1" applyAlignment="1">
      <alignment horizontal="center" vertical="center" wrapText="1"/>
    </xf>
    <xf numFmtId="0" fontId="8" fillId="14" borderId="0" xfId="0" applyFont="1" applyFill="1"/>
    <xf numFmtId="0" fontId="6" fillId="14" borderId="2" xfId="0" applyFont="1" applyFill="1" applyBorder="1" applyAlignment="1">
      <alignment vertical="center"/>
    </xf>
    <xf numFmtId="0" fontId="2" fillId="14" borderId="0" xfId="0" applyFont="1" applyFill="1" applyAlignment="1">
      <alignment vertical="center"/>
    </xf>
    <xf numFmtId="0" fontId="3" fillId="14" borderId="4" xfId="0" applyFont="1" applyFill="1" applyBorder="1" applyAlignment="1">
      <alignment vertical="center"/>
    </xf>
    <xf numFmtId="3" fontId="3" fillId="14" borderId="4" xfId="0" applyNumberFormat="1" applyFont="1" applyFill="1" applyBorder="1" applyAlignment="1">
      <alignment horizontal="center" vertical="center"/>
    </xf>
    <xf numFmtId="10" fontId="3" fillId="14" borderId="11" xfId="0" applyNumberFormat="1" applyFont="1" applyFill="1" applyBorder="1" applyAlignment="1">
      <alignment horizontal="center" vertical="center" wrapText="1"/>
    </xf>
    <xf numFmtId="9" fontId="3" fillId="14" borderId="11" xfId="0" applyNumberFormat="1" applyFont="1" applyFill="1" applyBorder="1" applyAlignment="1">
      <alignment horizontal="center" vertical="center" wrapText="1"/>
    </xf>
    <xf numFmtId="0" fontId="7" fillId="14" borderId="2" xfId="0" applyFont="1" applyFill="1" applyBorder="1" applyAlignment="1">
      <alignment vertical="center"/>
    </xf>
    <xf numFmtId="3" fontId="3" fillId="14" borderId="2" xfId="0" applyNumberFormat="1" applyFont="1" applyFill="1" applyBorder="1" applyAlignment="1">
      <alignment horizontal="center" vertical="center"/>
    </xf>
    <xf numFmtId="0" fontId="7" fillId="14" borderId="0" xfId="0" applyFont="1" applyFill="1" applyAlignment="1">
      <alignment vertical="center"/>
    </xf>
    <xf numFmtId="3" fontId="3" fillId="14" borderId="0" xfId="0" applyNumberFormat="1" applyFont="1" applyFill="1" applyAlignment="1">
      <alignment horizontal="center" vertical="center"/>
    </xf>
    <xf numFmtId="0" fontId="8" fillId="14" borderId="2" xfId="0" applyFont="1" applyFill="1" applyBorder="1" applyAlignment="1">
      <alignment horizontal="center" vertical="center"/>
    </xf>
    <xf numFmtId="0" fontId="2" fillId="14" borderId="0" xfId="0" applyFont="1" applyFill="1" applyAlignment="1">
      <alignment horizontal="center" vertical="center"/>
    </xf>
    <xf numFmtId="0" fontId="2" fillId="14" borderId="12" xfId="0" applyFont="1" applyFill="1" applyBorder="1" applyAlignment="1">
      <alignment vertical="center"/>
    </xf>
    <xf numFmtId="1" fontId="2" fillId="14" borderId="12" xfId="0" applyNumberFormat="1" applyFont="1" applyFill="1" applyBorder="1" applyAlignment="1">
      <alignment horizontal="center" vertical="center"/>
    </xf>
    <xf numFmtId="0" fontId="2" fillId="14" borderId="12" xfId="0" applyFont="1" applyFill="1" applyBorder="1" applyAlignment="1">
      <alignment horizontal="center" vertical="center"/>
    </xf>
    <xf numFmtId="0" fontId="2" fillId="14" borderId="4" xfId="0" applyFont="1" applyFill="1" applyBorder="1" applyAlignment="1">
      <alignment horizontal="center" vertical="center"/>
    </xf>
    <xf numFmtId="0" fontId="8" fillId="14" borderId="2" xfId="0" applyFont="1" applyFill="1" applyBorder="1" applyAlignment="1">
      <alignment vertical="center"/>
    </xf>
    <xf numFmtId="3" fontId="8" fillId="14" borderId="2" xfId="0" applyNumberFormat="1" applyFont="1" applyFill="1" applyBorder="1" applyAlignment="1">
      <alignment horizontal="center" vertical="center"/>
    </xf>
    <xf numFmtId="0" fontId="2" fillId="14" borderId="5" xfId="0" applyFont="1" applyFill="1" applyBorder="1" applyAlignment="1">
      <alignment horizontal="center" vertical="center"/>
    </xf>
    <xf numFmtId="3" fontId="2" fillId="14" borderId="5" xfId="0" applyNumberFormat="1" applyFont="1" applyFill="1" applyBorder="1" applyAlignment="1">
      <alignment horizontal="center" vertical="center"/>
    </xf>
    <xf numFmtId="0" fontId="8" fillId="14" borderId="4" xfId="0" applyFont="1" applyFill="1" applyBorder="1" applyAlignment="1">
      <alignment horizontal="center" vertical="center"/>
    </xf>
    <xf numFmtId="166" fontId="5" fillId="0" borderId="2" xfId="0" applyNumberFormat="1" applyFont="1" applyBorder="1" applyAlignment="1">
      <alignment horizontal="center" vertical="center"/>
    </xf>
    <xf numFmtId="0" fontId="8" fillId="0" borderId="0" xfId="0" applyFont="1"/>
    <xf numFmtId="0" fontId="3" fillId="0" borderId="2" xfId="0" applyFont="1" applyBorder="1" applyAlignment="1">
      <alignment vertical="center"/>
    </xf>
    <xf numFmtId="171" fontId="2" fillId="0" borderId="0" xfId="0" applyNumberFormat="1" applyFont="1"/>
    <xf numFmtId="166" fontId="59" fillId="0" borderId="2" xfId="0" applyNumberFormat="1" applyFont="1" applyBorder="1"/>
    <xf numFmtId="10" fontId="5" fillId="14" borderId="2" xfId="0" applyNumberFormat="1" applyFont="1" applyFill="1" applyBorder="1" applyAlignment="1">
      <alignment horizontal="center"/>
    </xf>
    <xf numFmtId="10" fontId="5" fillId="14" borderId="2" xfId="3" applyNumberFormat="1" applyFont="1" applyFill="1" applyBorder="1" applyAlignment="1">
      <alignment horizontal="center"/>
    </xf>
    <xf numFmtId="1" fontId="5" fillId="0" borderId="0" xfId="0" applyNumberFormat="1" applyFont="1" applyAlignment="1">
      <alignment horizontal="center"/>
    </xf>
    <xf numFmtId="9" fontId="3" fillId="14" borderId="2" xfId="0" applyNumberFormat="1" applyFont="1" applyFill="1" applyBorder="1" applyAlignment="1">
      <alignment vertical="center"/>
    </xf>
    <xf numFmtId="2" fontId="3" fillId="14" borderId="2" xfId="0" applyNumberFormat="1" applyFont="1" applyFill="1" applyBorder="1" applyAlignment="1">
      <alignment horizontal="center" vertical="center"/>
    </xf>
    <xf numFmtId="2" fontId="0" fillId="13" borderId="0" xfId="0" applyNumberFormat="1" applyFill="1"/>
    <xf numFmtId="1" fontId="0" fillId="13" borderId="0" xfId="0" applyNumberFormat="1" applyFill="1"/>
    <xf numFmtId="0" fontId="5" fillId="13" borderId="2" xfId="0" applyFont="1" applyFill="1" applyBorder="1"/>
    <xf numFmtId="0" fontId="2" fillId="0" borderId="2" xfId="0" applyFont="1" applyBorder="1" applyAlignment="1">
      <alignment vertical="center"/>
    </xf>
    <xf numFmtId="0" fontId="2" fillId="0" borderId="29" xfId="0" applyFont="1" applyBorder="1" applyAlignment="1">
      <alignment horizontal="center" vertical="center"/>
    </xf>
    <xf numFmtId="3" fontId="3" fillId="0" borderId="2" xfId="0" applyNumberFormat="1" applyFont="1" applyBorder="1"/>
    <xf numFmtId="0" fontId="2" fillId="0" borderId="29" xfId="0" applyFont="1" applyBorder="1" applyAlignment="1">
      <alignment vertical="center"/>
    </xf>
    <xf numFmtId="0" fontId="2" fillId="0" borderId="29" xfId="0" applyFont="1" applyBorder="1" applyAlignment="1">
      <alignment horizontal="left" vertical="center"/>
    </xf>
    <xf numFmtId="1" fontId="8" fillId="0" borderId="0" xfId="0" applyNumberFormat="1" applyFont="1" applyAlignment="1">
      <alignment horizontal="center"/>
    </xf>
    <xf numFmtId="0" fontId="61" fillId="18" borderId="0" xfId="0" applyFont="1" applyFill="1"/>
    <xf numFmtId="1" fontId="2" fillId="13" borderId="0" xfId="0" applyNumberFormat="1" applyFont="1" applyFill="1"/>
    <xf numFmtId="3" fontId="2" fillId="18" borderId="0" xfId="0" applyNumberFormat="1" applyFont="1" applyFill="1" applyAlignment="1">
      <alignment horizontal="center"/>
    </xf>
    <xf numFmtId="9" fontId="2" fillId="18" borderId="0" xfId="3" applyFont="1" applyFill="1" applyAlignment="1">
      <alignment horizontal="center"/>
    </xf>
    <xf numFmtId="9" fontId="47" fillId="18" borderId="0" xfId="3" applyFont="1" applyFill="1"/>
    <xf numFmtId="9" fontId="61" fillId="18" borderId="0" xfId="3" applyFont="1" applyFill="1"/>
    <xf numFmtId="0" fontId="0" fillId="0" borderId="2" xfId="0" applyBorder="1" applyAlignment="1">
      <alignment horizontal="center" vertical="center" wrapText="1"/>
    </xf>
    <xf numFmtId="0" fontId="38" fillId="15" borderId="2" xfId="0" applyFont="1" applyFill="1" applyBorder="1" applyAlignment="1">
      <alignment horizontal="center"/>
    </xf>
    <xf numFmtId="0" fontId="40" fillId="16" borderId="2" xfId="0" applyFont="1" applyFill="1" applyBorder="1" applyAlignment="1">
      <alignment horizontal="center" wrapText="1"/>
    </xf>
    <xf numFmtId="0" fontId="40" fillId="16" borderId="2" xfId="0" applyFont="1" applyFill="1" applyBorder="1" applyAlignment="1">
      <alignment horizontal="center" vertical="center" wrapText="1"/>
    </xf>
    <xf numFmtId="0" fontId="4" fillId="15" borderId="2" xfId="0" applyFont="1" applyFill="1" applyBorder="1" applyAlignment="1">
      <alignment horizontal="center"/>
    </xf>
    <xf numFmtId="0" fontId="45" fillId="15" borderId="2" xfId="0" applyFont="1" applyFill="1" applyBorder="1" applyAlignment="1">
      <alignment horizontal="center"/>
    </xf>
    <xf numFmtId="0" fontId="45" fillId="15" borderId="0" xfId="0" applyFont="1" applyFill="1" applyAlignment="1">
      <alignment horizontal="center" vertical="center"/>
    </xf>
    <xf numFmtId="0" fontId="9" fillId="15" borderId="10" xfId="0" applyFont="1" applyFill="1" applyBorder="1" applyAlignment="1">
      <alignment horizontal="center" vertical="center"/>
    </xf>
    <xf numFmtId="0" fontId="9" fillId="15" borderId="1" xfId="0" applyFont="1" applyFill="1" applyBorder="1" applyAlignment="1">
      <alignment horizontal="center" vertical="center"/>
    </xf>
    <xf numFmtId="0" fontId="2" fillId="0" borderId="2" xfId="0" applyFont="1" applyBorder="1" applyAlignment="1">
      <alignment horizontal="center" vertical="center"/>
    </xf>
    <xf numFmtId="0" fontId="8" fillId="0" borderId="2" xfId="0" applyFont="1" applyBorder="1" applyAlignment="1">
      <alignment horizontal="center" vertical="center"/>
    </xf>
    <xf numFmtId="0" fontId="45" fillId="15" borderId="1" xfId="0" applyFont="1" applyFill="1" applyBorder="1" applyAlignment="1">
      <alignment horizontal="center"/>
    </xf>
    <xf numFmtId="0" fontId="3" fillId="0" borderId="2" xfId="0" applyFont="1" applyBorder="1" applyAlignment="1">
      <alignment horizontal="center" vertical="center"/>
    </xf>
    <xf numFmtId="0" fontId="9" fillId="15" borderId="2" xfId="0" applyFont="1" applyFill="1" applyBorder="1" applyAlignment="1">
      <alignment horizontal="center" vertical="center" wrapText="1"/>
    </xf>
    <xf numFmtId="0" fontId="9" fillId="15" borderId="2" xfId="0" applyFont="1" applyFill="1" applyBorder="1" applyAlignment="1">
      <alignment horizontal="center" wrapText="1"/>
    </xf>
    <xf numFmtId="0" fontId="3" fillId="0" borderId="3" xfId="0" applyFont="1" applyBorder="1" applyAlignment="1">
      <alignment horizontal="center"/>
    </xf>
    <xf numFmtId="0" fontId="3" fillId="0" borderId="13" xfId="0" applyFont="1" applyBorder="1" applyAlignment="1">
      <alignment horizontal="center"/>
    </xf>
    <xf numFmtId="0" fontId="3" fillId="0" borderId="6" xfId="0" applyFont="1" applyBorder="1" applyAlignment="1">
      <alignment horizontal="center"/>
    </xf>
    <xf numFmtId="0" fontId="7" fillId="13" borderId="0" xfId="0" applyFont="1" applyFill="1" applyAlignment="1">
      <alignment horizontal="left" vertical="top" wrapText="1"/>
    </xf>
    <xf numFmtId="0" fontId="58" fillId="14" borderId="2" xfId="0" applyFont="1" applyFill="1" applyBorder="1" applyAlignment="1">
      <alignment horizontal="center" vertical="center"/>
    </xf>
    <xf numFmtId="3" fontId="3" fillId="0" borderId="25" xfId="41" applyNumberFormat="1" applyBorder="1" applyAlignment="1">
      <alignment horizontal="left" vertical="center" wrapText="1"/>
    </xf>
    <xf numFmtId="0" fontId="45" fillId="15" borderId="13" xfId="0" applyFont="1" applyFill="1" applyBorder="1" applyAlignment="1">
      <alignment horizontal="center" vertical="center"/>
    </xf>
    <xf numFmtId="0" fontId="9" fillId="15" borderId="3" xfId="0" applyFont="1" applyFill="1" applyBorder="1" applyAlignment="1">
      <alignment horizontal="center" vertical="center"/>
    </xf>
    <xf numFmtId="0" fontId="9" fillId="15" borderId="13" xfId="0" applyFont="1" applyFill="1" applyBorder="1" applyAlignment="1">
      <alignment horizontal="center" vertical="center"/>
    </xf>
    <xf numFmtId="0" fontId="9" fillId="15" borderId="6" xfId="0" applyFont="1" applyFill="1" applyBorder="1" applyAlignment="1">
      <alignment horizontal="center" vertical="center"/>
    </xf>
    <xf numFmtId="0" fontId="9" fillId="15" borderId="25" xfId="41" applyFont="1" applyFill="1" applyBorder="1" applyAlignment="1">
      <alignment horizontal="center" vertical="center"/>
    </xf>
    <xf numFmtId="0" fontId="9" fillId="15" borderId="0" xfId="41" applyFont="1" applyFill="1" applyAlignment="1">
      <alignment horizontal="center" vertical="center"/>
    </xf>
    <xf numFmtId="0" fontId="9" fillId="15" borderId="24" xfId="41" applyFont="1" applyFill="1" applyBorder="1" applyAlignment="1">
      <alignment horizontal="center" vertical="center"/>
    </xf>
    <xf numFmtId="0" fontId="45" fillId="15" borderId="8" xfId="0" applyFont="1" applyFill="1" applyBorder="1" applyAlignment="1">
      <alignment horizontal="center"/>
    </xf>
    <xf numFmtId="0" fontId="9" fillId="15" borderId="1" xfId="41" applyFont="1" applyFill="1" applyBorder="1" applyAlignment="1">
      <alignment horizontal="left"/>
    </xf>
    <xf numFmtId="0" fontId="9" fillId="15" borderId="7" xfId="41" applyFont="1" applyFill="1" applyBorder="1" applyAlignment="1">
      <alignment horizontal="center" vertical="center" wrapText="1"/>
    </xf>
    <xf numFmtId="0" fontId="9" fillId="15" borderId="8" xfId="41" applyFont="1" applyFill="1" applyBorder="1" applyAlignment="1">
      <alignment horizontal="center" vertical="center" wrapText="1"/>
    </xf>
    <xf numFmtId="0" fontId="9" fillId="15" borderId="7" xfId="41" applyFont="1" applyFill="1" applyBorder="1" applyAlignment="1">
      <alignment horizontal="center" vertical="center"/>
    </xf>
    <xf numFmtId="0" fontId="9" fillId="15" borderId="8" xfId="41" applyFont="1" applyFill="1" applyBorder="1" applyAlignment="1">
      <alignment horizontal="center" vertical="center"/>
    </xf>
    <xf numFmtId="0" fontId="9" fillId="15" borderId="9" xfId="41" applyFont="1" applyFill="1" applyBorder="1" applyAlignment="1">
      <alignment horizontal="center" vertical="center"/>
    </xf>
    <xf numFmtId="0" fontId="8" fillId="0" borderId="7"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horizontal="center" vertical="center"/>
    </xf>
    <xf numFmtId="0" fontId="39" fillId="15" borderId="7" xfId="0" applyFont="1" applyFill="1" applyBorder="1" applyAlignment="1">
      <alignment horizontal="center" vertical="center"/>
    </xf>
    <xf numFmtId="0" fontId="39" fillId="15" borderId="8"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36" fillId="0" borderId="25" xfId="41" applyFont="1" applyBorder="1" applyAlignment="1">
      <alignment horizontal="right" vertical="center"/>
    </xf>
    <xf numFmtId="0" fontId="36" fillId="0" borderId="0" xfId="41" applyFont="1" applyAlignment="1">
      <alignment horizontal="right" vertical="center"/>
    </xf>
    <xf numFmtId="0" fontId="36" fillId="0" borderId="24" xfId="41" applyFont="1" applyBorder="1" applyAlignment="1">
      <alignment horizontal="right" vertical="center"/>
    </xf>
    <xf numFmtId="0" fontId="9" fillId="15" borderId="7" xfId="43" applyFont="1" applyFill="1" applyBorder="1" applyAlignment="1">
      <alignment horizontal="center" vertical="center"/>
    </xf>
    <xf numFmtId="0" fontId="9" fillId="15" borderId="9" xfId="43" applyFont="1" applyFill="1" applyBorder="1" applyAlignment="1">
      <alignment horizontal="center" vertical="center"/>
    </xf>
    <xf numFmtId="0" fontId="36" fillId="0" borderId="25" xfId="43" applyFont="1" applyBorder="1" applyAlignment="1">
      <alignment horizontal="right" vertical="center"/>
    </xf>
    <xf numFmtId="0" fontId="36" fillId="0" borderId="24" xfId="43" applyFont="1" applyBorder="1" applyAlignment="1">
      <alignment horizontal="right" vertical="center"/>
    </xf>
    <xf numFmtId="0" fontId="9" fillId="15" borderId="5" xfId="0" applyFont="1" applyFill="1" applyBorder="1" applyAlignment="1">
      <alignment horizontal="center" vertical="center"/>
    </xf>
    <xf numFmtId="0" fontId="9" fillId="15" borderId="25" xfId="43" applyFont="1" applyFill="1" applyBorder="1" applyAlignment="1">
      <alignment horizontal="center" vertical="center"/>
    </xf>
    <xf numFmtId="0" fontId="9" fillId="15" borderId="0" xfId="43" applyFont="1" applyFill="1" applyAlignment="1">
      <alignment horizontal="center" vertical="center"/>
    </xf>
    <xf numFmtId="0" fontId="36" fillId="14" borderId="7" xfId="43" applyFont="1" applyFill="1" applyBorder="1" applyAlignment="1">
      <alignment horizontal="right" vertical="center"/>
    </xf>
    <xf numFmtId="0" fontId="36" fillId="14" borderId="8" xfId="43" applyFont="1" applyFill="1" applyBorder="1" applyAlignment="1">
      <alignment horizontal="right" vertical="center"/>
    </xf>
    <xf numFmtId="0" fontId="36" fillId="14" borderId="9" xfId="43" applyFont="1" applyFill="1" applyBorder="1" applyAlignment="1">
      <alignment horizontal="right" vertical="center"/>
    </xf>
    <xf numFmtId="0" fontId="3" fillId="0" borderId="25" xfId="41" applyBorder="1" applyAlignment="1">
      <alignment horizontal="center" vertical="center"/>
    </xf>
    <xf numFmtId="0" fontId="3" fillId="0" borderId="0" xfId="41" applyAlignment="1">
      <alignment horizontal="center" vertical="center"/>
    </xf>
    <xf numFmtId="0" fontId="3" fillId="0" borderId="24" xfId="41" applyBorder="1" applyAlignment="1">
      <alignment horizontal="center" vertical="center"/>
    </xf>
    <xf numFmtId="2" fontId="6" fillId="0" borderId="0" xfId="0" applyNumberFormat="1" applyFont="1" applyAlignment="1">
      <alignment horizontal="center" vertical="center" wrapText="1"/>
    </xf>
    <xf numFmtId="2" fontId="9" fillId="15" borderId="0" xfId="4" applyNumberFormat="1" applyFont="1" applyFill="1" applyBorder="1" applyAlignment="1">
      <alignment horizontal="center" vertical="center"/>
    </xf>
    <xf numFmtId="0" fontId="9" fillId="15" borderId="2" xfId="0" applyFont="1" applyFill="1" applyBorder="1" applyAlignment="1">
      <alignment horizontal="center" vertical="center"/>
    </xf>
    <xf numFmtId="0" fontId="8" fillId="0" borderId="2" xfId="4" applyFont="1" applyFill="1" applyBorder="1" applyAlignment="1">
      <alignment horizontal="center" vertical="center"/>
    </xf>
    <xf numFmtId="0" fontId="9" fillId="15" borderId="7" xfId="4"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3" fillId="14" borderId="2" xfId="61" quotePrefix="1" applyFont="1" applyFill="1" applyBorder="1" applyAlignment="1">
      <alignment horizontal="center" vertical="top"/>
    </xf>
    <xf numFmtId="0" fontId="8" fillId="0" borderId="3" xfId="0" applyFont="1" applyBorder="1" applyAlignment="1">
      <alignment horizontal="center"/>
    </xf>
    <xf numFmtId="0" fontId="8" fillId="0" borderId="6" xfId="0" applyFont="1" applyBorder="1" applyAlignment="1">
      <alignment horizontal="center"/>
    </xf>
    <xf numFmtId="0" fontId="5" fillId="14" borderId="2" xfId="65" quotePrefix="1" applyFont="1" applyFill="1" applyBorder="1" applyAlignment="1">
      <alignment horizontal="center" vertical="top"/>
    </xf>
    <xf numFmtId="0" fontId="9" fillId="15" borderId="1" xfId="0" applyFont="1" applyFill="1" applyBorder="1" applyAlignment="1">
      <alignment horizontal="center"/>
    </xf>
    <xf numFmtId="0" fontId="58" fillId="0" borderId="2" xfId="0" applyFont="1" applyBorder="1" applyAlignment="1">
      <alignment horizontal="center" vertical="center"/>
    </xf>
    <xf numFmtId="0" fontId="60" fillId="0" borderId="2" xfId="0" applyFont="1" applyBorder="1" applyAlignment="1">
      <alignment horizontal="center"/>
    </xf>
  </cellXfs>
  <cellStyles count="71">
    <cellStyle name="Accent1" xfId="4" builtinId="29"/>
    <cellStyle name="Bad 2" xfId="8" xr:uid="{00000000-0005-0000-0000-000001000000}"/>
    <cellStyle name="Calculation 2" xfId="9" xr:uid="{00000000-0005-0000-0000-000002000000}"/>
    <cellStyle name="Check Cell 2" xfId="10" xr:uid="{00000000-0005-0000-0000-000003000000}"/>
    <cellStyle name="Comma" xfId="1" builtinId="3"/>
    <cellStyle name="Comma 2" xfId="5" xr:uid="{00000000-0005-0000-0000-000005000000}"/>
    <cellStyle name="Comma 2 2" xfId="11" xr:uid="{00000000-0005-0000-0000-000006000000}"/>
    <cellStyle name="Comma 2 3" xfId="42" xr:uid="{00000000-0005-0000-0000-000007000000}"/>
    <cellStyle name="Comma 3" xfId="54" xr:uid="{00000000-0005-0000-0000-000008000000}"/>
    <cellStyle name="Explanatory Text 2" xfId="12" xr:uid="{00000000-0005-0000-0000-000009000000}"/>
    <cellStyle name="Good 2" xfId="13" xr:uid="{00000000-0005-0000-0000-00000A000000}"/>
    <cellStyle name="Heading 1 2" xfId="14" xr:uid="{00000000-0005-0000-0000-00000B000000}"/>
    <cellStyle name="Heading 2 2" xfId="15" xr:uid="{00000000-0005-0000-0000-00000C000000}"/>
    <cellStyle name="Heading 3 2" xfId="16" xr:uid="{00000000-0005-0000-0000-00000D000000}"/>
    <cellStyle name="Heading 4 2" xfId="17" xr:uid="{00000000-0005-0000-0000-00000E000000}"/>
    <cellStyle name="Hyperlink 2" xfId="18" xr:uid="{00000000-0005-0000-0000-000010000000}"/>
    <cellStyle name="Input 2" xfId="19" xr:uid="{00000000-0005-0000-0000-000011000000}"/>
    <cellStyle name="Linked Cell 2" xfId="20" xr:uid="{00000000-0005-0000-0000-000012000000}"/>
    <cellStyle name="Neutral 2" xfId="21" xr:uid="{00000000-0005-0000-0000-000013000000}"/>
    <cellStyle name="Normal" xfId="0" builtinId="0"/>
    <cellStyle name="Normal 10" xfId="2" xr:uid="{00000000-0005-0000-0000-000015000000}"/>
    <cellStyle name="Normal 12" xfId="69" xr:uid="{00000000-0005-0000-0000-000016000000}"/>
    <cellStyle name="Normal 19" xfId="59" xr:uid="{00000000-0005-0000-0000-000017000000}"/>
    <cellStyle name="Normal 2" xfId="6" xr:uid="{00000000-0005-0000-0000-000018000000}"/>
    <cellStyle name="Normal 2 2" xfId="41" xr:uid="{00000000-0005-0000-0000-000019000000}"/>
    <cellStyle name="Normal 2 3" xfId="44" xr:uid="{00000000-0005-0000-0000-00001A000000}"/>
    <cellStyle name="Normal 2 4" xfId="47" xr:uid="{00000000-0005-0000-0000-00001B000000}"/>
    <cellStyle name="Normal 2 5" xfId="49" xr:uid="{00000000-0005-0000-0000-00001C000000}"/>
    <cellStyle name="Normal 21" xfId="60" xr:uid="{00000000-0005-0000-0000-00001D000000}"/>
    <cellStyle name="Normal 22" xfId="55" xr:uid="{00000000-0005-0000-0000-00001E000000}"/>
    <cellStyle name="Normal 23" xfId="61" xr:uid="{00000000-0005-0000-0000-00001F000000}"/>
    <cellStyle name="Normal 24" xfId="56" xr:uid="{00000000-0005-0000-0000-000020000000}"/>
    <cellStyle name="Normal 25" xfId="63" xr:uid="{00000000-0005-0000-0000-000021000000}"/>
    <cellStyle name="Normal 26" xfId="62" xr:uid="{00000000-0005-0000-0000-000022000000}"/>
    <cellStyle name="Normal 27" xfId="64" xr:uid="{00000000-0005-0000-0000-000023000000}"/>
    <cellStyle name="Normal 28" xfId="52" xr:uid="{00000000-0005-0000-0000-000024000000}"/>
    <cellStyle name="Normal 29" xfId="65" xr:uid="{00000000-0005-0000-0000-000025000000}"/>
    <cellStyle name="Normal 3" xfId="22" xr:uid="{00000000-0005-0000-0000-000026000000}"/>
    <cellStyle name="Normal 3 2" xfId="45" xr:uid="{00000000-0005-0000-0000-000027000000}"/>
    <cellStyle name="Normal 3 3" xfId="48" xr:uid="{00000000-0005-0000-0000-000028000000}"/>
    <cellStyle name="Normal 30" xfId="66" xr:uid="{00000000-0005-0000-0000-000029000000}"/>
    <cellStyle name="Normal 31" xfId="67" xr:uid="{00000000-0005-0000-0000-00002A000000}"/>
    <cellStyle name="Normal 32" xfId="53" xr:uid="{00000000-0005-0000-0000-00002B000000}"/>
    <cellStyle name="Normal 33" xfId="70" xr:uid="{00000000-0005-0000-0000-00002C000000}"/>
    <cellStyle name="Normal 34" xfId="58" xr:uid="{00000000-0005-0000-0000-00002D000000}"/>
    <cellStyle name="Normal 35" xfId="57" xr:uid="{00000000-0005-0000-0000-00002E000000}"/>
    <cellStyle name="Normal 4" xfId="7" xr:uid="{00000000-0005-0000-0000-00002F000000}"/>
    <cellStyle name="Normal 5 2" xfId="43" xr:uid="{00000000-0005-0000-0000-000030000000}"/>
    <cellStyle name="Normal 6 2" xfId="50" xr:uid="{00000000-0005-0000-0000-000031000000}"/>
    <cellStyle name="Note 2" xfId="23" xr:uid="{00000000-0005-0000-0000-000032000000}"/>
    <cellStyle name="Output 2" xfId="24" xr:uid="{00000000-0005-0000-0000-000033000000}"/>
    <cellStyle name="Percent" xfId="3" builtinId="5"/>
    <cellStyle name="Percent 13" xfId="68" xr:uid="{00000000-0005-0000-0000-000035000000}"/>
    <cellStyle name="Percent 2" xfId="26" xr:uid="{00000000-0005-0000-0000-000036000000}"/>
    <cellStyle name="Percent 2 2" xfId="46" xr:uid="{00000000-0005-0000-0000-000037000000}"/>
    <cellStyle name="Percent 3" xfId="25" xr:uid="{00000000-0005-0000-0000-000038000000}"/>
    <cellStyle name="Percent 4" xfId="51" xr:uid="{00000000-0005-0000-0000-000039000000}"/>
    <cellStyle name="Smart Bold" xfId="27" xr:uid="{00000000-0005-0000-0000-00003A000000}"/>
    <cellStyle name="Smart Forecast" xfId="28" xr:uid="{00000000-0005-0000-0000-00003B000000}"/>
    <cellStyle name="Smart General" xfId="29" xr:uid="{00000000-0005-0000-0000-00003C000000}"/>
    <cellStyle name="Smart Highlight" xfId="30" xr:uid="{00000000-0005-0000-0000-00003D000000}"/>
    <cellStyle name="Smart Percent" xfId="31" xr:uid="{00000000-0005-0000-0000-00003E000000}"/>
    <cellStyle name="Smart Source" xfId="32" xr:uid="{00000000-0005-0000-0000-00003F000000}"/>
    <cellStyle name="Smart Subtitle 1" xfId="33" xr:uid="{00000000-0005-0000-0000-000040000000}"/>
    <cellStyle name="Smart Subtitle 2" xfId="34" xr:uid="{00000000-0005-0000-0000-000041000000}"/>
    <cellStyle name="Smart Subtitle 3" xfId="35" xr:uid="{00000000-0005-0000-0000-000042000000}"/>
    <cellStyle name="Smart Subtotal" xfId="36" xr:uid="{00000000-0005-0000-0000-000043000000}"/>
    <cellStyle name="Smart Title" xfId="37" xr:uid="{00000000-0005-0000-0000-000044000000}"/>
    <cellStyle name="Smart Total" xfId="38" xr:uid="{00000000-0005-0000-0000-000045000000}"/>
    <cellStyle name="Title 2" xfId="39" xr:uid="{00000000-0005-0000-0000-000046000000}"/>
    <cellStyle name="Total 2" xfId="40" xr:uid="{00000000-0005-0000-0000-000047000000}"/>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19</xdr:col>
      <xdr:colOff>518584</xdr:colOff>
      <xdr:row>31</xdr:row>
      <xdr:rowOff>0</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1" y="1"/>
          <a:ext cx="12181416" cy="5905499"/>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Erection and foundation at 10% of plant machinery</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 Maintenance and repairs, Plant Overhead and Administrative Costs, therefore, to avoid double counting, those have been considered in the WNA operating cost.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25% of</a:t>
          </a:r>
          <a:r>
            <a:rPr lang="en-IN" sz="1000" i="1" baseline="0">
              <a:solidFill>
                <a:schemeClr val="dk1"/>
              </a:solidFill>
              <a:effectLst/>
              <a:latin typeface="Arial" panose="020B0604020202020204" pitchFamily="34" charset="0"/>
              <a:ea typeface="+mn-ea"/>
              <a:cs typeface="Arial" panose="020B0604020202020204" pitchFamily="34" charset="0"/>
            </a:rPr>
            <a:t> Salaries and Wages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0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0</xdr:col>
      <xdr:colOff>76200</xdr:colOff>
      <xdr:row>40</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39</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hardik.malhotra\Desktop\Final%20Kribhco\TEFR-%20WNA+AN%20Shahajahanpur%20Location%2030%20Oct%2022.xlsx" TargetMode="External"/><Relationship Id="rId1" Type="http://schemas.openxmlformats.org/officeDocument/2006/relationships/externalLinkPath" Target="TEFR-%20WNA+AN%20Shahajahanpur%20Location%2030%20Oct%20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P/Downloads/Model-KRIBHCO-3Feb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Materials Requirement "/>
      <sheetName val="Basis"/>
      <sheetName val="Norms"/>
      <sheetName val="Capex"/>
      <sheetName val="Opex"/>
      <sheetName val="Depreciation"/>
      <sheetName val="ITC-GST"/>
      <sheetName val="Working Capital"/>
      <sheetName val="Reference Values"/>
      <sheetName val="Interest Cal."/>
      <sheetName val="Profitability"/>
      <sheetName val=" Breakeven Point"/>
      <sheetName val="DSCR"/>
      <sheetName val="Cashflow "/>
      <sheetName val="IRR"/>
      <sheetName val="Balance Sheet"/>
      <sheetName val="Sensitivity Analysis"/>
    </sheetNames>
    <sheetDataSet>
      <sheetData sheetId="0" refreshError="1"/>
      <sheetData sheetId="1" refreshError="1"/>
      <sheetData sheetId="2" refreshError="1"/>
      <sheetData sheetId="3">
        <row r="11">
          <cell r="B11">
            <v>585.79175000000009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Tech"/>
      <sheetName val="CAPEX"/>
      <sheetName val="In-Qty"/>
      <sheetName val="In-Price"/>
      <sheetName val="Out-Qty"/>
      <sheetName val="Out-Price"/>
      <sheetName val="Dep"/>
      <sheetName val="GST"/>
      <sheetName val="WC"/>
      <sheetName val="Tax"/>
      <sheetName val="Loans"/>
      <sheetName val="P&amp;L"/>
      <sheetName val="IRR"/>
      <sheetName val="COP"/>
    </sheetNames>
    <sheetDataSet>
      <sheetData sheetId="0">
        <row r="104">
          <cell r="D104">
            <v>30</v>
          </cell>
        </row>
        <row r="105">
          <cell r="D105">
            <v>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4"/>
  <sheetViews>
    <sheetView showGridLines="0" topLeftCell="G1" workbookViewId="0">
      <selection activeCell="O8" sqref="O8"/>
    </sheetView>
  </sheetViews>
  <sheetFormatPr defaultColWidth="9.140625" defaultRowHeight="15" x14ac:dyDescent="0.25"/>
  <cols>
    <col min="2" max="2" width="29.5703125" customWidth="1"/>
    <col min="3" max="3" width="17" customWidth="1"/>
    <col min="4" max="4" width="18.28515625" bestFit="1" customWidth="1"/>
    <col min="5" max="5" width="16.42578125" bestFit="1" customWidth="1"/>
    <col min="6" max="6" width="37.5703125" bestFit="1" customWidth="1"/>
    <col min="7" max="7" width="30.28515625" customWidth="1"/>
    <col min="8" max="8" width="30" customWidth="1"/>
    <col min="9" max="9" width="35.5703125" bestFit="1" customWidth="1"/>
    <col min="10" max="10" width="27.42578125" bestFit="1" customWidth="1"/>
  </cols>
  <sheetData>
    <row r="1" spans="2:15" x14ac:dyDescent="0.25">
      <c r="B1" s="88" t="s">
        <v>197</v>
      </c>
      <c r="C1" s="88" t="s">
        <v>123</v>
      </c>
      <c r="D1" s="88" t="s">
        <v>196</v>
      </c>
      <c r="E1" s="88" t="s">
        <v>195</v>
      </c>
      <c r="F1" s="88" t="s">
        <v>194</v>
      </c>
      <c r="H1">
        <f>G6*0.001</f>
        <v>175</v>
      </c>
    </row>
    <row r="2" spans="2:15" x14ac:dyDescent="0.25">
      <c r="B2" s="693" t="s">
        <v>134</v>
      </c>
      <c r="C2" s="693"/>
      <c r="D2" s="693"/>
      <c r="E2" s="693"/>
      <c r="F2" s="693"/>
      <c r="H2" s="83" t="s">
        <v>134</v>
      </c>
      <c r="I2" s="83" t="s">
        <v>193</v>
      </c>
      <c r="J2">
        <v>216</v>
      </c>
      <c r="K2">
        <v>274</v>
      </c>
    </row>
    <row r="3" spans="2:15" x14ac:dyDescent="0.25">
      <c r="B3" s="81" t="s">
        <v>136</v>
      </c>
      <c r="C3" s="81" t="s">
        <v>46</v>
      </c>
      <c r="D3" s="81" t="s">
        <v>192</v>
      </c>
      <c r="E3" s="81" t="s">
        <v>179</v>
      </c>
      <c r="F3" s="81" t="s">
        <v>183</v>
      </c>
      <c r="H3" s="81" t="s">
        <v>191</v>
      </c>
      <c r="I3" s="81" t="s">
        <v>190</v>
      </c>
      <c r="K3">
        <f>J2/K2</f>
        <v>0.78832116788321172</v>
      </c>
      <c r="L3" s="77">
        <f>K3*300</f>
        <v>236.49635036496352</v>
      </c>
    </row>
    <row r="4" spans="2:15" x14ac:dyDescent="0.25">
      <c r="B4" s="693" t="s">
        <v>189</v>
      </c>
      <c r="C4" s="693"/>
      <c r="D4" s="693"/>
      <c r="E4" s="693"/>
      <c r="F4" s="693"/>
      <c r="H4" s="81" t="s">
        <v>166</v>
      </c>
      <c r="I4" s="81" t="s">
        <v>188</v>
      </c>
      <c r="J4">
        <v>148</v>
      </c>
      <c r="K4">
        <v>550</v>
      </c>
    </row>
    <row r="5" spans="2:15" x14ac:dyDescent="0.25">
      <c r="B5" s="81" t="s">
        <v>187</v>
      </c>
      <c r="C5" s="81" t="s">
        <v>46</v>
      </c>
      <c r="D5" s="81" t="s">
        <v>186</v>
      </c>
      <c r="E5" s="81" t="s">
        <v>179</v>
      </c>
      <c r="F5" s="81" t="s">
        <v>178</v>
      </c>
      <c r="H5" s="87" t="s">
        <v>185</v>
      </c>
      <c r="I5" s="86" t="s">
        <v>168</v>
      </c>
      <c r="J5">
        <v>59</v>
      </c>
      <c r="K5">
        <v>274</v>
      </c>
    </row>
    <row r="6" spans="2:15" x14ac:dyDescent="0.25">
      <c r="B6" s="81" t="s">
        <v>136</v>
      </c>
      <c r="C6" s="81" t="s">
        <v>46</v>
      </c>
      <c r="D6" s="81" t="s">
        <v>184</v>
      </c>
      <c r="E6" s="81" t="s">
        <v>179</v>
      </c>
      <c r="F6" s="81" t="s">
        <v>183</v>
      </c>
      <c r="G6">
        <v>175000</v>
      </c>
      <c r="H6">
        <f>529*330</f>
        <v>174570</v>
      </c>
      <c r="I6">
        <f>150*330</f>
        <v>49500</v>
      </c>
      <c r="K6">
        <f>J5/K5</f>
        <v>0.21532846715328466</v>
      </c>
      <c r="L6" s="77">
        <f>K6*300</f>
        <v>64.598540145985396</v>
      </c>
    </row>
    <row r="7" spans="2:15" x14ac:dyDescent="0.25">
      <c r="B7" s="693" t="s">
        <v>182</v>
      </c>
      <c r="C7" s="693"/>
      <c r="D7" s="693"/>
      <c r="E7" s="693"/>
      <c r="F7" s="693"/>
      <c r="H7">
        <f>100*330</f>
        <v>33000</v>
      </c>
      <c r="I7">
        <f>I6-G6</f>
        <v>-125500</v>
      </c>
      <c r="N7">
        <f>600/170</f>
        <v>3.5294117647058822</v>
      </c>
      <c r="O7">
        <f>N7*100</f>
        <v>352.94117647058823</v>
      </c>
    </row>
    <row r="8" spans="2:15" x14ac:dyDescent="0.25">
      <c r="B8" s="85" t="s">
        <v>181</v>
      </c>
      <c r="C8" s="81" t="s">
        <v>46</v>
      </c>
      <c r="D8" s="81" t="s">
        <v>180</v>
      </c>
      <c r="E8" s="81" t="s">
        <v>179</v>
      </c>
      <c r="F8" s="81" t="s">
        <v>178</v>
      </c>
      <c r="H8" s="83" t="s">
        <v>177</v>
      </c>
      <c r="I8" s="83" t="s">
        <v>176</v>
      </c>
      <c r="J8" s="83" t="s">
        <v>175</v>
      </c>
    </row>
    <row r="9" spans="2:15" x14ac:dyDescent="0.25">
      <c r="B9" s="81" t="s">
        <v>174</v>
      </c>
      <c r="C9" s="81" t="s">
        <v>46</v>
      </c>
      <c r="D9" s="81" t="s">
        <v>173</v>
      </c>
      <c r="E9" s="81" t="s">
        <v>172</v>
      </c>
      <c r="F9" s="81" t="s">
        <v>171</v>
      </c>
      <c r="H9" s="81" t="s">
        <v>170</v>
      </c>
      <c r="I9" s="81" t="s">
        <v>169</v>
      </c>
      <c r="J9" s="81" t="s">
        <v>168</v>
      </c>
      <c r="L9">
        <f>100000/330</f>
        <v>303.030303030303</v>
      </c>
    </row>
    <row r="10" spans="2:15" ht="34.5" customHeight="1" x14ac:dyDescent="0.25">
      <c r="B10" s="691" t="s">
        <v>167</v>
      </c>
      <c r="C10" s="691"/>
      <c r="D10" s="691"/>
      <c r="E10" s="691"/>
      <c r="F10" s="691"/>
      <c r="G10">
        <f>300*330</f>
        <v>99000</v>
      </c>
      <c r="H10" s="81" t="s">
        <v>200</v>
      </c>
      <c r="I10" s="81" t="s">
        <v>201</v>
      </c>
      <c r="J10" s="81" t="s">
        <v>202</v>
      </c>
      <c r="K10" s="89"/>
    </row>
    <row r="11" spans="2:15" ht="57" customHeight="1" x14ac:dyDescent="0.25">
      <c r="B11" s="84" t="s">
        <v>165</v>
      </c>
      <c r="C11" s="689" t="s">
        <v>164</v>
      </c>
      <c r="D11" s="689"/>
      <c r="E11" s="689"/>
      <c r="F11" s="689"/>
      <c r="H11" s="692" t="s">
        <v>163</v>
      </c>
      <c r="I11" s="692"/>
      <c r="J11" s="692"/>
    </row>
    <row r="12" spans="2:15" ht="31.5" customHeight="1" x14ac:dyDescent="0.25">
      <c r="B12" s="84" t="s">
        <v>162</v>
      </c>
      <c r="C12" s="689" t="s">
        <v>161</v>
      </c>
      <c r="D12" s="689"/>
      <c r="E12" s="689"/>
      <c r="F12" s="689"/>
      <c r="H12" s="81" t="s">
        <v>160</v>
      </c>
      <c r="I12" s="81" t="s">
        <v>159</v>
      </c>
      <c r="J12" s="81" t="s">
        <v>158</v>
      </c>
    </row>
    <row r="13" spans="2:15" x14ac:dyDescent="0.25">
      <c r="J13" s="77"/>
    </row>
    <row r="14" spans="2:15" x14ac:dyDescent="0.25">
      <c r="E14" s="28">
        <v>1361769867</v>
      </c>
      <c r="F14">
        <f>E14/10^7</f>
        <v>136.17698669999999</v>
      </c>
      <c r="H14" s="83" t="s">
        <v>157</v>
      </c>
      <c r="I14" s="83" t="s">
        <v>156</v>
      </c>
      <c r="J14" s="83" t="s">
        <v>155</v>
      </c>
    </row>
    <row r="15" spans="2:15" x14ac:dyDescent="0.25">
      <c r="B15" s="690" t="s">
        <v>154</v>
      </c>
      <c r="C15" s="690"/>
      <c r="F15">
        <f>14.02*10^5</f>
        <v>1402000</v>
      </c>
      <c r="H15" s="81" t="s">
        <v>153</v>
      </c>
      <c r="I15" s="81" t="s">
        <v>152</v>
      </c>
      <c r="J15" s="81" t="s">
        <v>151</v>
      </c>
    </row>
    <row r="16" spans="2:15" x14ac:dyDescent="0.25">
      <c r="B16" s="81" t="s">
        <v>150</v>
      </c>
      <c r="C16" s="82">
        <v>0.28399999999999997</v>
      </c>
      <c r="E16">
        <f>F14/33</f>
        <v>4.1265753545454542</v>
      </c>
      <c r="F16" s="28">
        <f>E16*175</f>
        <v>722.15068704545445</v>
      </c>
    </row>
    <row r="17" spans="1:67" x14ac:dyDescent="0.25">
      <c r="B17" s="81" t="s">
        <v>149</v>
      </c>
      <c r="C17" s="81" t="s">
        <v>148</v>
      </c>
      <c r="E17" s="28">
        <v>945654735</v>
      </c>
    </row>
    <row r="18" spans="1:67" x14ac:dyDescent="0.25">
      <c r="B18" s="81" t="s">
        <v>147</v>
      </c>
      <c r="C18" s="81" t="s">
        <v>146</v>
      </c>
      <c r="E18" s="64">
        <f>E17/E14</f>
        <v>0.69443065081421718</v>
      </c>
    </row>
    <row r="19" spans="1:67" x14ac:dyDescent="0.25">
      <c r="B19" s="81" t="s">
        <v>145</v>
      </c>
      <c r="C19" s="81" t="s">
        <v>144</v>
      </c>
    </row>
    <row r="20" spans="1:67" x14ac:dyDescent="0.25">
      <c r="B20" s="81" t="s">
        <v>143</v>
      </c>
      <c r="C20" s="81" t="s">
        <v>142</v>
      </c>
    </row>
    <row r="21" spans="1:67" x14ac:dyDescent="0.25">
      <c r="B21" s="81" t="s">
        <v>40</v>
      </c>
      <c r="C21" s="81" t="s">
        <v>141</v>
      </c>
      <c r="E21" t="s">
        <v>208</v>
      </c>
      <c r="F21" t="s">
        <v>209</v>
      </c>
      <c r="G21" t="s">
        <v>210</v>
      </c>
      <c r="H21" t="s">
        <v>211</v>
      </c>
      <c r="I21" t="s">
        <v>237</v>
      </c>
    </row>
    <row r="22" spans="1:67" s="1" customFormat="1" ht="12.75" x14ac:dyDescent="0.2">
      <c r="A22" s="29"/>
      <c r="D22" s="1">
        <f>F23*100000</f>
        <v>27.999999999999996</v>
      </c>
      <c r="E22" s="79">
        <v>88626.4</v>
      </c>
      <c r="F22" s="29" t="s">
        <v>247</v>
      </c>
      <c r="G22" s="78">
        <f>F23*E22</f>
        <v>24.815391999999996</v>
      </c>
      <c r="H22" s="230">
        <f>G22*76</f>
        <v>1885.9697919999996</v>
      </c>
      <c r="I22" s="78">
        <f>H22*100000</f>
        <v>188596979.19999996</v>
      </c>
      <c r="J22" s="78">
        <f>I22/10^7</f>
        <v>18.859697919999995</v>
      </c>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row>
    <row r="23" spans="1:67" s="1" customFormat="1" ht="12.75" x14ac:dyDescent="0.2">
      <c r="E23" s="1">
        <v>28</v>
      </c>
      <c r="F23" s="29">
        <f>E23/100000</f>
        <v>2.7999999999999998E-4</v>
      </c>
      <c r="G23" s="29"/>
      <c r="H23" s="29"/>
      <c r="I23" s="91">
        <f>I22/10^7</f>
        <v>18.859697919999995</v>
      </c>
      <c r="J23" s="29"/>
      <c r="K23" s="29"/>
      <c r="L23" s="29"/>
      <c r="M23" s="29"/>
      <c r="N23" s="29"/>
      <c r="O23" s="29"/>
      <c r="P23" s="29"/>
      <c r="Q23" s="29"/>
      <c r="R23" s="29"/>
      <c r="S23" s="29"/>
      <c r="T23" s="29"/>
      <c r="U23" s="29"/>
      <c r="V23" s="30"/>
      <c r="BO23" s="13"/>
    </row>
    <row r="27" spans="1:67" ht="15.75" x14ac:dyDescent="0.25">
      <c r="A27" s="231" t="s">
        <v>269</v>
      </c>
      <c r="D27" s="231" t="s">
        <v>272</v>
      </c>
      <c r="F27">
        <f>0.28/1000</f>
        <v>2.8000000000000003E-4</v>
      </c>
    </row>
    <row r="28" spans="1:67" ht="16.5" thickBot="1" x14ac:dyDescent="0.3">
      <c r="A28" s="231" t="s">
        <v>270</v>
      </c>
      <c r="D28" s="231" t="s">
        <v>273</v>
      </c>
    </row>
    <row r="29" spans="1:67" ht="15.75" thickBot="1" x14ac:dyDescent="0.3">
      <c r="A29" s="232" t="s">
        <v>213</v>
      </c>
      <c r="B29" s="233">
        <v>28412</v>
      </c>
      <c r="D29" s="236" t="s">
        <v>213</v>
      </c>
      <c r="E29" s="237">
        <v>25699</v>
      </c>
    </row>
    <row r="30" spans="1:67" ht="15.75" thickBot="1" x14ac:dyDescent="0.3">
      <c r="A30" s="234" t="s">
        <v>214</v>
      </c>
      <c r="B30" s="235">
        <v>29925</v>
      </c>
      <c r="D30" s="238" t="s">
        <v>214</v>
      </c>
      <c r="E30" s="239">
        <v>26033</v>
      </c>
    </row>
    <row r="31" spans="1:67" ht="15.75" thickBot="1" x14ac:dyDescent="0.3">
      <c r="A31" s="234" t="s">
        <v>215</v>
      </c>
      <c r="B31" s="235">
        <v>29764</v>
      </c>
      <c r="D31" s="238" t="s">
        <v>215</v>
      </c>
      <c r="E31" s="239">
        <v>28157</v>
      </c>
    </row>
    <row r="32" spans="1:67" ht="15.75" thickBot="1" x14ac:dyDescent="0.3">
      <c r="A32" s="234" t="s">
        <v>216</v>
      </c>
      <c r="B32" s="235">
        <v>28868</v>
      </c>
      <c r="D32" s="238" t="s">
        <v>216</v>
      </c>
      <c r="E32" s="239">
        <v>26258</v>
      </c>
    </row>
    <row r="33" spans="1:5" ht="15.75" thickBot="1" x14ac:dyDescent="0.3">
      <c r="A33" s="234" t="s">
        <v>271</v>
      </c>
      <c r="B33" s="235">
        <v>49740</v>
      </c>
      <c r="D33" s="238" t="s">
        <v>271</v>
      </c>
      <c r="E33" s="239">
        <v>43871</v>
      </c>
    </row>
    <row r="34" spans="1:5" x14ac:dyDescent="0.25">
      <c r="B34" s="77">
        <f>AVERAGE(B29:B32)</f>
        <v>29242.25</v>
      </c>
      <c r="E34" s="77">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S13"/>
  <sheetViews>
    <sheetView showGridLines="0" workbookViewId="0">
      <selection activeCell="J12" sqref="J12"/>
    </sheetView>
  </sheetViews>
  <sheetFormatPr defaultRowHeight="15" x14ac:dyDescent="0.25"/>
  <cols>
    <col min="2" max="2" width="18.140625" bestFit="1" customWidth="1"/>
    <col min="3" max="3" width="19" bestFit="1" customWidth="1"/>
  </cols>
  <sheetData>
    <row r="2" spans="1:19" x14ac:dyDescent="0.25">
      <c r="A2" s="245" t="s">
        <v>287</v>
      </c>
      <c r="B2" s="246"/>
      <c r="C2" s="247"/>
      <c r="D2" s="247"/>
      <c r="E2" s="247"/>
      <c r="F2" s="247"/>
      <c r="G2" s="247"/>
      <c r="H2" s="247"/>
      <c r="I2" s="247"/>
      <c r="J2" s="247"/>
      <c r="K2" s="247"/>
      <c r="L2" s="247"/>
      <c r="M2" s="247"/>
      <c r="N2" s="247"/>
      <c r="O2" s="247"/>
      <c r="P2" s="247"/>
      <c r="Q2" s="247"/>
      <c r="R2" s="247"/>
    </row>
    <row r="3" spans="1:19" x14ac:dyDescent="0.25">
      <c r="A3" s="248"/>
      <c r="B3" s="249"/>
      <c r="C3" s="247"/>
      <c r="D3" s="247"/>
      <c r="E3" s="247"/>
      <c r="F3" s="247"/>
      <c r="G3" s="247"/>
      <c r="H3" s="247"/>
      <c r="I3" s="247"/>
      <c r="J3" s="247"/>
      <c r="K3" s="247"/>
      <c r="L3" s="247"/>
      <c r="M3" s="247"/>
      <c r="N3" s="247"/>
      <c r="O3" s="247"/>
      <c r="P3" s="247"/>
      <c r="Q3" s="247"/>
      <c r="R3" s="247"/>
    </row>
    <row r="4" spans="1:19" x14ac:dyDescent="0.25">
      <c r="A4" s="247"/>
      <c r="B4" s="250" t="s">
        <v>288</v>
      </c>
      <c r="C4" s="251">
        <v>1</v>
      </c>
      <c r="D4" s="247"/>
      <c r="E4" s="247"/>
      <c r="F4" s="247"/>
      <c r="G4" s="247"/>
      <c r="H4" s="247">
        <f>31*42</f>
        <v>1302</v>
      </c>
      <c r="I4" s="247"/>
      <c r="J4" s="247"/>
      <c r="K4" s="247"/>
      <c r="L4" s="247"/>
      <c r="M4" s="247"/>
      <c r="N4" s="247"/>
      <c r="O4" s="247"/>
      <c r="P4" s="247"/>
      <c r="Q4" s="247"/>
      <c r="R4" s="247"/>
    </row>
    <row r="5" spans="1:19" x14ac:dyDescent="0.25">
      <c r="A5" s="247"/>
      <c r="B5" s="252" t="s">
        <v>289</v>
      </c>
      <c r="C5" s="253">
        <v>8</v>
      </c>
      <c r="D5" s="247"/>
      <c r="E5" s="247"/>
      <c r="F5" s="247"/>
      <c r="G5" s="247"/>
      <c r="H5" s="247"/>
      <c r="I5" s="247"/>
      <c r="J5" s="247"/>
      <c r="K5" s="247"/>
      <c r="L5" s="247"/>
      <c r="M5" s="247"/>
      <c r="N5" s="247"/>
      <c r="O5" s="247"/>
      <c r="P5" s="247"/>
      <c r="Q5" s="247"/>
      <c r="R5" s="247"/>
    </row>
    <row r="6" spans="1:19" x14ac:dyDescent="0.25">
      <c r="A6" s="247"/>
      <c r="B6" s="252" t="s">
        <v>280</v>
      </c>
      <c r="C6" s="254">
        <v>0.11</v>
      </c>
      <c r="D6" s="247"/>
      <c r="E6" s="247"/>
      <c r="F6" s="247"/>
      <c r="G6" s="247"/>
      <c r="H6" s="247"/>
      <c r="I6" s="247"/>
      <c r="J6" s="247"/>
      <c r="K6" s="247"/>
      <c r="L6" s="247"/>
      <c r="M6" s="247"/>
      <c r="N6" s="247"/>
      <c r="O6" s="247"/>
      <c r="P6" s="247"/>
      <c r="Q6" s="247"/>
      <c r="R6" s="247"/>
    </row>
    <row r="7" spans="1:19" x14ac:dyDescent="0.25">
      <c r="A7" s="247"/>
      <c r="B7" s="252" t="s">
        <v>290</v>
      </c>
      <c r="C7" s="255" t="e">
        <f>Norms!#REF!</f>
        <v>#REF!</v>
      </c>
      <c r="D7" s="256"/>
      <c r="E7" s="247"/>
      <c r="F7" s="247"/>
      <c r="G7" s="247"/>
      <c r="H7" s="247"/>
      <c r="I7" s="247"/>
      <c r="J7" s="247"/>
      <c r="K7" s="247"/>
      <c r="L7" s="247"/>
      <c r="M7" s="247"/>
      <c r="N7" s="247"/>
      <c r="O7" s="247"/>
      <c r="P7" s="247"/>
      <c r="Q7" s="247"/>
      <c r="R7" s="247"/>
    </row>
    <row r="8" spans="1:19" x14ac:dyDescent="0.25">
      <c r="A8" s="247"/>
      <c r="B8" s="252" t="s">
        <v>291</v>
      </c>
      <c r="C8" s="255" t="e">
        <f>C7/C5</f>
        <v>#REF!</v>
      </c>
      <c r="D8" s="247"/>
      <c r="E8" s="247"/>
      <c r="F8" s="247"/>
      <c r="G8" s="247"/>
      <c r="H8" s="247"/>
      <c r="I8" s="247"/>
      <c r="J8" s="247"/>
      <c r="K8" s="247"/>
      <c r="L8" s="247"/>
      <c r="M8" s="247"/>
      <c r="N8" s="247"/>
      <c r="O8" s="247"/>
      <c r="P8" s="247"/>
      <c r="Q8" s="247"/>
      <c r="R8" s="247"/>
    </row>
    <row r="9" spans="1:19" x14ac:dyDescent="0.25">
      <c r="A9" s="247"/>
      <c r="B9" s="247"/>
      <c r="C9" s="247"/>
      <c r="D9" s="247"/>
      <c r="E9" s="247"/>
      <c r="F9" s="247"/>
      <c r="G9" s="247"/>
      <c r="H9" s="247"/>
      <c r="I9" s="247"/>
      <c r="J9" s="247"/>
      <c r="K9" s="247"/>
      <c r="L9" s="247"/>
      <c r="M9" s="247"/>
      <c r="N9" s="247"/>
      <c r="O9" s="247"/>
      <c r="P9" s="247"/>
      <c r="Q9" s="247"/>
      <c r="R9" s="247"/>
    </row>
    <row r="10" spans="1:19" x14ac:dyDescent="0.25">
      <c r="A10" s="257"/>
      <c r="B10" s="257"/>
      <c r="C10" s="258" t="s">
        <v>292</v>
      </c>
      <c r="D10" s="259">
        <v>-1</v>
      </c>
      <c r="E10" s="259">
        <v>1</v>
      </c>
      <c r="F10" s="259">
        <v>2</v>
      </c>
      <c r="G10" s="259">
        <v>3</v>
      </c>
      <c r="H10" s="259">
        <v>4</v>
      </c>
      <c r="I10" s="259">
        <v>5</v>
      </c>
      <c r="J10" s="259">
        <v>6</v>
      </c>
      <c r="K10" s="259">
        <v>7</v>
      </c>
      <c r="L10" s="259">
        <v>8</v>
      </c>
      <c r="M10" s="259">
        <v>9</v>
      </c>
      <c r="N10" s="259">
        <v>10</v>
      </c>
      <c r="O10" s="259">
        <v>11</v>
      </c>
      <c r="P10" s="259">
        <v>12</v>
      </c>
      <c r="Q10" s="259">
        <v>13</v>
      </c>
      <c r="R10" s="259">
        <v>14</v>
      </c>
      <c r="S10" s="259">
        <v>15</v>
      </c>
    </row>
    <row r="11" spans="1:19" x14ac:dyDescent="0.25">
      <c r="A11" s="252"/>
      <c r="B11" s="252" t="s">
        <v>293</v>
      </c>
      <c r="C11" s="251"/>
      <c r="D11" s="251"/>
      <c r="E11" s="253" t="e">
        <f>IF(E10&lt;=$C$5,$C$8,0)</f>
        <v>#REF!</v>
      </c>
      <c r="F11" s="253" t="e">
        <f t="shared" ref="F11:S11" si="0">IF(F10&lt;=$C$5,$C$8,0)</f>
        <v>#REF!</v>
      </c>
      <c r="G11" s="253" t="e">
        <f t="shared" si="0"/>
        <v>#REF!</v>
      </c>
      <c r="H11" s="253" t="e">
        <f t="shared" si="0"/>
        <v>#REF!</v>
      </c>
      <c r="I11" s="253" t="e">
        <f t="shared" si="0"/>
        <v>#REF!</v>
      </c>
      <c r="J11" s="253" t="e">
        <f t="shared" si="0"/>
        <v>#REF!</v>
      </c>
      <c r="K11" s="253" t="e">
        <f t="shared" si="0"/>
        <v>#REF!</v>
      </c>
      <c r="L11" s="253" t="e">
        <f t="shared" si="0"/>
        <v>#REF!</v>
      </c>
      <c r="M11" s="253">
        <f t="shared" si="0"/>
        <v>0</v>
      </c>
      <c r="N11" s="253">
        <f t="shared" si="0"/>
        <v>0</v>
      </c>
      <c r="O11" s="253">
        <f t="shared" si="0"/>
        <v>0</v>
      </c>
      <c r="P11" s="253">
        <f t="shared" si="0"/>
        <v>0</v>
      </c>
      <c r="Q11" s="253">
        <f t="shared" si="0"/>
        <v>0</v>
      </c>
      <c r="R11" s="253">
        <f t="shared" si="0"/>
        <v>0</v>
      </c>
      <c r="S11" s="253">
        <f t="shared" si="0"/>
        <v>0</v>
      </c>
    </row>
    <row r="12" spans="1:19" x14ac:dyDescent="0.25">
      <c r="A12" s="252"/>
      <c r="B12" s="252" t="s">
        <v>294</v>
      </c>
      <c r="C12" s="255">
        <v>0</v>
      </c>
      <c r="D12" s="255" t="e">
        <f>Norms!#REF!</f>
        <v>#REF!</v>
      </c>
      <c r="E12" s="255" t="e">
        <f>C7</f>
        <v>#REF!</v>
      </c>
      <c r="F12" s="255" t="e">
        <f>E12-E11</f>
        <v>#REF!</v>
      </c>
      <c r="G12" s="255" t="e">
        <f t="shared" ref="G12:S12" si="1">F12-F11</f>
        <v>#REF!</v>
      </c>
      <c r="H12" s="255" t="e">
        <f t="shared" si="1"/>
        <v>#REF!</v>
      </c>
      <c r="I12" s="255" t="e">
        <f>H12-H11</f>
        <v>#REF!</v>
      </c>
      <c r="J12" s="255" t="e">
        <f t="shared" si="1"/>
        <v>#REF!</v>
      </c>
      <c r="K12" s="255" t="e">
        <f>J12-J11</f>
        <v>#REF!</v>
      </c>
      <c r="L12" s="255" t="e">
        <f t="shared" si="1"/>
        <v>#REF!</v>
      </c>
      <c r="M12" s="255" t="e">
        <f t="shared" si="1"/>
        <v>#REF!</v>
      </c>
      <c r="N12" s="255" t="e">
        <f t="shared" si="1"/>
        <v>#REF!</v>
      </c>
      <c r="O12" s="255" t="e">
        <f t="shared" si="1"/>
        <v>#REF!</v>
      </c>
      <c r="P12" s="255" t="e">
        <f t="shared" si="1"/>
        <v>#REF!</v>
      </c>
      <c r="Q12" s="255" t="e">
        <f t="shared" si="1"/>
        <v>#REF!</v>
      </c>
      <c r="R12" s="255" t="e">
        <f t="shared" si="1"/>
        <v>#REF!</v>
      </c>
      <c r="S12" s="255" t="e">
        <f t="shared" si="1"/>
        <v>#REF!</v>
      </c>
    </row>
    <row r="13" spans="1:19" x14ac:dyDescent="0.25">
      <c r="A13" s="252"/>
      <c r="B13" s="252" t="s">
        <v>280</v>
      </c>
      <c r="C13" s="253">
        <v>0</v>
      </c>
      <c r="D13" s="253" t="e">
        <f>D12*$C$6</f>
        <v>#REF!</v>
      </c>
      <c r="E13" s="253" t="e">
        <f t="shared" ref="E13:S13" si="2">E12*$C$6</f>
        <v>#REF!</v>
      </c>
      <c r="F13" s="253" t="e">
        <f t="shared" si="2"/>
        <v>#REF!</v>
      </c>
      <c r="G13" s="253" t="e">
        <f t="shared" si="2"/>
        <v>#REF!</v>
      </c>
      <c r="H13" s="253" t="e">
        <f t="shared" si="2"/>
        <v>#REF!</v>
      </c>
      <c r="I13" s="253" t="e">
        <f t="shared" si="2"/>
        <v>#REF!</v>
      </c>
      <c r="J13" s="253" t="e">
        <f t="shared" si="2"/>
        <v>#REF!</v>
      </c>
      <c r="K13" s="253" t="e">
        <f t="shared" si="2"/>
        <v>#REF!</v>
      </c>
      <c r="L13" s="253" t="e">
        <f t="shared" si="2"/>
        <v>#REF!</v>
      </c>
      <c r="M13" s="253" t="e">
        <f t="shared" si="2"/>
        <v>#REF!</v>
      </c>
      <c r="N13" s="253" t="e">
        <f t="shared" si="2"/>
        <v>#REF!</v>
      </c>
      <c r="O13" s="253" t="e">
        <f t="shared" si="2"/>
        <v>#REF!</v>
      </c>
      <c r="P13" s="253" t="e">
        <f t="shared" si="2"/>
        <v>#REF!</v>
      </c>
      <c r="Q13" s="253" t="e">
        <f t="shared" si="2"/>
        <v>#REF!</v>
      </c>
      <c r="R13" s="253" t="e">
        <f t="shared" si="2"/>
        <v>#REF!</v>
      </c>
      <c r="S13" s="253" t="e">
        <f t="shared" si="2"/>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8"/>
  <sheetViews>
    <sheetView showGridLines="0" zoomScaleNormal="100" zoomScaleSheetLayoutView="100" workbookViewId="0">
      <selection activeCell="B35" sqref="B35"/>
    </sheetView>
  </sheetViews>
  <sheetFormatPr defaultRowHeight="21" customHeight="1" x14ac:dyDescent="0.2"/>
  <cols>
    <col min="1" max="1" width="33" style="122" customWidth="1"/>
    <col min="2" max="2" width="63.7109375" style="122" bestFit="1" customWidth="1"/>
    <col min="3" max="11" width="10.7109375" style="122" customWidth="1"/>
    <col min="12" max="256" width="9.140625" style="122"/>
    <col min="257" max="257" width="35.7109375" style="122" customWidth="1"/>
    <col min="258" max="267" width="10.7109375" style="122" customWidth="1"/>
    <col min="268" max="512" width="9.140625" style="122"/>
    <col min="513" max="513" width="35.7109375" style="122" customWidth="1"/>
    <col min="514" max="523" width="10.7109375" style="122" customWidth="1"/>
    <col min="524" max="768" width="9.140625" style="122"/>
    <col min="769" max="769" width="35.7109375" style="122" customWidth="1"/>
    <col min="770" max="779" width="10.7109375" style="122" customWidth="1"/>
    <col min="780" max="1024" width="9.140625" style="122"/>
    <col min="1025" max="1025" width="35.7109375" style="122" customWidth="1"/>
    <col min="1026" max="1035" width="10.7109375" style="122" customWidth="1"/>
    <col min="1036" max="1280" width="9.140625" style="122"/>
    <col min="1281" max="1281" width="35.7109375" style="122" customWidth="1"/>
    <col min="1282" max="1291" width="10.7109375" style="122" customWidth="1"/>
    <col min="1292" max="1536" width="9.140625" style="122"/>
    <col min="1537" max="1537" width="35.7109375" style="122" customWidth="1"/>
    <col min="1538" max="1547" width="10.7109375" style="122" customWidth="1"/>
    <col min="1548" max="1792" width="9.140625" style="122"/>
    <col min="1793" max="1793" width="35.7109375" style="122" customWidth="1"/>
    <col min="1794" max="1803" width="10.7109375" style="122" customWidth="1"/>
    <col min="1804" max="2048" width="9.140625" style="122"/>
    <col min="2049" max="2049" width="35.7109375" style="122" customWidth="1"/>
    <col min="2050" max="2059" width="10.7109375" style="122" customWidth="1"/>
    <col min="2060" max="2304" width="9.140625" style="122"/>
    <col min="2305" max="2305" width="35.7109375" style="122" customWidth="1"/>
    <col min="2306" max="2315" width="10.7109375" style="122" customWidth="1"/>
    <col min="2316" max="2560" width="9.140625" style="122"/>
    <col min="2561" max="2561" width="35.7109375" style="122" customWidth="1"/>
    <col min="2562" max="2571" width="10.7109375" style="122" customWidth="1"/>
    <col min="2572" max="2816" width="9.140625" style="122"/>
    <col min="2817" max="2817" width="35.7109375" style="122" customWidth="1"/>
    <col min="2818" max="2827" width="10.7109375" style="122" customWidth="1"/>
    <col min="2828" max="3072" width="9.140625" style="122"/>
    <col min="3073" max="3073" width="35.7109375" style="122" customWidth="1"/>
    <col min="3074" max="3083" width="10.7109375" style="122" customWidth="1"/>
    <col min="3084" max="3328" width="9.140625" style="122"/>
    <col min="3329" max="3329" width="35.7109375" style="122" customWidth="1"/>
    <col min="3330" max="3339" width="10.7109375" style="122" customWidth="1"/>
    <col min="3340" max="3584" width="9.140625" style="122"/>
    <col min="3585" max="3585" width="35.7109375" style="122" customWidth="1"/>
    <col min="3586" max="3595" width="10.7109375" style="122" customWidth="1"/>
    <col min="3596" max="3840" width="9.140625" style="122"/>
    <col min="3841" max="3841" width="35.7109375" style="122" customWidth="1"/>
    <col min="3842" max="3851" width="10.7109375" style="122" customWidth="1"/>
    <col min="3852" max="4096" width="9.140625" style="122"/>
    <col min="4097" max="4097" width="35.7109375" style="122" customWidth="1"/>
    <col min="4098" max="4107" width="10.7109375" style="122" customWidth="1"/>
    <col min="4108" max="4352" width="9.140625" style="122"/>
    <col min="4353" max="4353" width="35.7109375" style="122" customWidth="1"/>
    <col min="4354" max="4363" width="10.7109375" style="122" customWidth="1"/>
    <col min="4364" max="4608" width="9.140625" style="122"/>
    <col min="4609" max="4609" width="35.7109375" style="122" customWidth="1"/>
    <col min="4610" max="4619" width="10.7109375" style="122" customWidth="1"/>
    <col min="4620" max="4864" width="9.140625" style="122"/>
    <col min="4865" max="4865" width="35.7109375" style="122" customWidth="1"/>
    <col min="4866" max="4875" width="10.7109375" style="122" customWidth="1"/>
    <col min="4876" max="5120" width="9.140625" style="122"/>
    <col min="5121" max="5121" width="35.7109375" style="122" customWidth="1"/>
    <col min="5122" max="5131" width="10.7109375" style="122" customWidth="1"/>
    <col min="5132" max="5376" width="9.140625" style="122"/>
    <col min="5377" max="5377" width="35.7109375" style="122" customWidth="1"/>
    <col min="5378" max="5387" width="10.7109375" style="122" customWidth="1"/>
    <col min="5388" max="5632" width="9.140625" style="122"/>
    <col min="5633" max="5633" width="35.7109375" style="122" customWidth="1"/>
    <col min="5634" max="5643" width="10.7109375" style="122" customWidth="1"/>
    <col min="5644" max="5888" width="9.140625" style="122"/>
    <col min="5889" max="5889" width="35.7109375" style="122" customWidth="1"/>
    <col min="5890" max="5899" width="10.7109375" style="122" customWidth="1"/>
    <col min="5900" max="6144" width="9.140625" style="122"/>
    <col min="6145" max="6145" width="35.7109375" style="122" customWidth="1"/>
    <col min="6146" max="6155" width="10.7109375" style="122" customWidth="1"/>
    <col min="6156" max="6400" width="9.140625" style="122"/>
    <col min="6401" max="6401" width="35.7109375" style="122" customWidth="1"/>
    <col min="6402" max="6411" width="10.7109375" style="122" customWidth="1"/>
    <col min="6412" max="6656" width="9.140625" style="122"/>
    <col min="6657" max="6657" width="35.7109375" style="122" customWidth="1"/>
    <col min="6658" max="6667" width="10.7109375" style="122" customWidth="1"/>
    <col min="6668" max="6912" width="9.140625" style="122"/>
    <col min="6913" max="6913" width="35.7109375" style="122" customWidth="1"/>
    <col min="6914" max="6923" width="10.7109375" style="122" customWidth="1"/>
    <col min="6924" max="7168" width="9.140625" style="122"/>
    <col min="7169" max="7169" width="35.7109375" style="122" customWidth="1"/>
    <col min="7170" max="7179" width="10.7109375" style="122" customWidth="1"/>
    <col min="7180" max="7424" width="9.140625" style="122"/>
    <col min="7425" max="7425" width="35.7109375" style="122" customWidth="1"/>
    <col min="7426" max="7435" width="10.7109375" style="122" customWidth="1"/>
    <col min="7436" max="7680" width="9.140625" style="122"/>
    <col min="7681" max="7681" width="35.7109375" style="122" customWidth="1"/>
    <col min="7682" max="7691" width="10.7109375" style="122" customWidth="1"/>
    <col min="7692" max="7936" width="9.140625" style="122"/>
    <col min="7937" max="7937" width="35.7109375" style="122" customWidth="1"/>
    <col min="7938" max="7947" width="10.7109375" style="122" customWidth="1"/>
    <col min="7948" max="8192" width="9.140625" style="122"/>
    <col min="8193" max="8193" width="35.7109375" style="122" customWidth="1"/>
    <col min="8194" max="8203" width="10.7109375" style="122" customWidth="1"/>
    <col min="8204" max="8448" width="9.140625" style="122"/>
    <col min="8449" max="8449" width="35.7109375" style="122" customWidth="1"/>
    <col min="8450" max="8459" width="10.7109375" style="122" customWidth="1"/>
    <col min="8460" max="8704" width="9.140625" style="122"/>
    <col min="8705" max="8705" width="35.7109375" style="122" customWidth="1"/>
    <col min="8706" max="8715" width="10.7109375" style="122" customWidth="1"/>
    <col min="8716" max="8960" width="9.140625" style="122"/>
    <col min="8961" max="8961" width="35.7109375" style="122" customWidth="1"/>
    <col min="8962" max="8971" width="10.7109375" style="122" customWidth="1"/>
    <col min="8972" max="9216" width="9.140625" style="122"/>
    <col min="9217" max="9217" width="35.7109375" style="122" customWidth="1"/>
    <col min="9218" max="9227" width="10.7109375" style="122" customWidth="1"/>
    <col min="9228" max="9472" width="9.140625" style="122"/>
    <col min="9473" max="9473" width="35.7109375" style="122" customWidth="1"/>
    <col min="9474" max="9483" width="10.7109375" style="122" customWidth="1"/>
    <col min="9484" max="9728" width="9.140625" style="122"/>
    <col min="9729" max="9729" width="35.7109375" style="122" customWidth="1"/>
    <col min="9730" max="9739" width="10.7109375" style="122" customWidth="1"/>
    <col min="9740" max="9984" width="9.140625" style="122"/>
    <col min="9985" max="9985" width="35.7109375" style="122" customWidth="1"/>
    <col min="9986" max="9995" width="10.7109375" style="122" customWidth="1"/>
    <col min="9996" max="10240" width="9.140625" style="122"/>
    <col min="10241" max="10241" width="35.7109375" style="122" customWidth="1"/>
    <col min="10242" max="10251" width="10.7109375" style="122" customWidth="1"/>
    <col min="10252" max="10496" width="9.140625" style="122"/>
    <col min="10497" max="10497" width="35.7109375" style="122" customWidth="1"/>
    <col min="10498" max="10507" width="10.7109375" style="122" customWidth="1"/>
    <col min="10508" max="10752" width="9.140625" style="122"/>
    <col min="10753" max="10753" width="35.7109375" style="122" customWidth="1"/>
    <col min="10754" max="10763" width="10.7109375" style="122" customWidth="1"/>
    <col min="10764" max="11008" width="9.140625" style="122"/>
    <col min="11009" max="11009" width="35.7109375" style="122" customWidth="1"/>
    <col min="11010" max="11019" width="10.7109375" style="122" customWidth="1"/>
    <col min="11020" max="11264" width="9.140625" style="122"/>
    <col min="11265" max="11265" width="35.7109375" style="122" customWidth="1"/>
    <col min="11266" max="11275" width="10.7109375" style="122" customWidth="1"/>
    <col min="11276" max="11520" width="9.140625" style="122"/>
    <col min="11521" max="11521" width="35.7109375" style="122" customWidth="1"/>
    <col min="11522" max="11531" width="10.7109375" style="122" customWidth="1"/>
    <col min="11532" max="11776" width="9.140625" style="122"/>
    <col min="11777" max="11777" width="35.7109375" style="122" customWidth="1"/>
    <col min="11778" max="11787" width="10.7109375" style="122" customWidth="1"/>
    <col min="11788" max="12032" width="9.140625" style="122"/>
    <col min="12033" max="12033" width="35.7109375" style="122" customWidth="1"/>
    <col min="12034" max="12043" width="10.7109375" style="122" customWidth="1"/>
    <col min="12044" max="12288" width="9.140625" style="122"/>
    <col min="12289" max="12289" width="35.7109375" style="122" customWidth="1"/>
    <col min="12290" max="12299" width="10.7109375" style="122" customWidth="1"/>
    <col min="12300" max="12544" width="9.140625" style="122"/>
    <col min="12545" max="12545" width="35.7109375" style="122" customWidth="1"/>
    <col min="12546" max="12555" width="10.7109375" style="122" customWidth="1"/>
    <col min="12556" max="12800" width="9.140625" style="122"/>
    <col min="12801" max="12801" width="35.7109375" style="122" customWidth="1"/>
    <col min="12802" max="12811" width="10.7109375" style="122" customWidth="1"/>
    <col min="12812" max="13056" width="9.140625" style="122"/>
    <col min="13057" max="13057" width="35.7109375" style="122" customWidth="1"/>
    <col min="13058" max="13067" width="10.7109375" style="122" customWidth="1"/>
    <col min="13068" max="13312" width="9.140625" style="122"/>
    <col min="13313" max="13313" width="35.7109375" style="122" customWidth="1"/>
    <col min="13314" max="13323" width="10.7109375" style="122" customWidth="1"/>
    <col min="13324" max="13568" width="9.140625" style="122"/>
    <col min="13569" max="13569" width="35.7109375" style="122" customWidth="1"/>
    <col min="13570" max="13579" width="10.7109375" style="122" customWidth="1"/>
    <col min="13580" max="13824" width="9.140625" style="122"/>
    <col min="13825" max="13825" width="35.7109375" style="122" customWidth="1"/>
    <col min="13826" max="13835" width="10.7109375" style="122" customWidth="1"/>
    <col min="13836" max="14080" width="9.140625" style="122"/>
    <col min="14081" max="14081" width="35.7109375" style="122" customWidth="1"/>
    <col min="14082" max="14091" width="10.7109375" style="122" customWidth="1"/>
    <col min="14092" max="14336" width="9.140625" style="122"/>
    <col min="14337" max="14337" width="35.7109375" style="122" customWidth="1"/>
    <col min="14338" max="14347" width="10.7109375" style="122" customWidth="1"/>
    <col min="14348" max="14592" width="9.140625" style="122"/>
    <col min="14593" max="14593" width="35.7109375" style="122" customWidth="1"/>
    <col min="14594" max="14603" width="10.7109375" style="122" customWidth="1"/>
    <col min="14604" max="14848" width="9.140625" style="122"/>
    <col min="14849" max="14849" width="35.7109375" style="122" customWidth="1"/>
    <col min="14850" max="14859" width="10.7109375" style="122" customWidth="1"/>
    <col min="14860" max="15104" width="9.140625" style="122"/>
    <col min="15105" max="15105" width="35.7109375" style="122" customWidth="1"/>
    <col min="15106" max="15115" width="10.7109375" style="122" customWidth="1"/>
    <col min="15116" max="15360" width="9.140625" style="122"/>
    <col min="15361" max="15361" width="35.7109375" style="122" customWidth="1"/>
    <col min="15362" max="15371" width="10.7109375" style="122" customWidth="1"/>
    <col min="15372" max="15616" width="9.140625" style="122"/>
    <col min="15617" max="15617" width="35.7109375" style="122" customWidth="1"/>
    <col min="15618" max="15627" width="10.7109375" style="122" customWidth="1"/>
    <col min="15628" max="15872" width="9.140625" style="122"/>
    <col min="15873" max="15873" width="35.7109375" style="122" customWidth="1"/>
    <col min="15874" max="15883" width="10.7109375" style="122" customWidth="1"/>
    <col min="15884" max="16128" width="9.140625" style="122"/>
    <col min="16129" max="16129" width="35.7109375" style="122" customWidth="1"/>
    <col min="16130" max="16139" width="10.7109375" style="122" customWidth="1"/>
    <col min="16140" max="16384" width="9.140625" style="122"/>
  </cols>
  <sheetData>
    <row r="1" spans="1:12" ht="21" customHeight="1" x14ac:dyDescent="0.2">
      <c r="A1" s="721" t="s">
        <v>230</v>
      </c>
      <c r="B1" s="722"/>
      <c r="C1" s="722"/>
      <c r="D1" s="722"/>
      <c r="E1" s="722"/>
      <c r="F1" s="722"/>
      <c r="G1" s="722"/>
      <c r="H1" s="722"/>
      <c r="I1" s="722"/>
      <c r="J1" s="722"/>
      <c r="K1" s="723"/>
    </row>
    <row r="2" spans="1:12" ht="21" customHeight="1" x14ac:dyDescent="0.2">
      <c r="A2" s="38" t="s">
        <v>59</v>
      </c>
      <c r="B2" s="39">
        <f>'Cashflow '!F3</f>
        <v>0.7</v>
      </c>
      <c r="C2" s="39">
        <f>'Cashflow '!G3</f>
        <v>0.8</v>
      </c>
      <c r="D2" s="39">
        <f>'Cashflow '!H3</f>
        <v>0.95</v>
      </c>
      <c r="E2" s="39">
        <f>'Cashflow '!I3</f>
        <v>0.95</v>
      </c>
      <c r="F2" s="39">
        <f>'Cashflow '!J3</f>
        <v>0.95</v>
      </c>
      <c r="G2" s="39">
        <f>'Cashflow '!K3</f>
        <v>0.95</v>
      </c>
      <c r="H2" s="39">
        <f>'Cashflow '!L3</f>
        <v>0.95</v>
      </c>
      <c r="I2" s="39">
        <f>'Cashflow '!M3</f>
        <v>0.95</v>
      </c>
      <c r="J2" s="39">
        <f>'Cashflow '!N3</f>
        <v>0.95</v>
      </c>
      <c r="K2" s="197">
        <f>'Cashflow '!O3</f>
        <v>0.95</v>
      </c>
    </row>
    <row r="3" spans="1:12" ht="18.75" customHeight="1" x14ac:dyDescent="0.2">
      <c r="A3" s="731" t="s">
        <v>60</v>
      </c>
      <c r="B3" s="732"/>
      <c r="C3" s="732"/>
      <c r="D3" s="732"/>
      <c r="E3" s="732"/>
      <c r="F3" s="732"/>
      <c r="G3" s="732"/>
      <c r="H3" s="732"/>
      <c r="I3" s="732"/>
      <c r="J3" s="732"/>
      <c r="K3" s="733"/>
      <c r="L3" s="123"/>
    </row>
    <row r="4" spans="1:12" ht="21" customHeight="1" x14ac:dyDescent="0.2">
      <c r="A4" s="38"/>
      <c r="B4" s="40" t="s">
        <v>61</v>
      </c>
      <c r="C4" s="40" t="s">
        <v>62</v>
      </c>
      <c r="D4" s="40" t="s">
        <v>63</v>
      </c>
      <c r="E4" s="40" t="s">
        <v>64</v>
      </c>
      <c r="F4" s="40" t="s">
        <v>65</v>
      </c>
      <c r="G4" s="40" t="s">
        <v>66</v>
      </c>
      <c r="H4" s="40" t="s">
        <v>67</v>
      </c>
      <c r="I4" s="40" t="s">
        <v>68</v>
      </c>
      <c r="J4" s="40" t="s">
        <v>69</v>
      </c>
      <c r="K4" s="41" t="s">
        <v>70</v>
      </c>
      <c r="L4" s="123"/>
    </row>
    <row r="5" spans="1:12" s="116" customFormat="1" ht="21" customHeight="1" x14ac:dyDescent="0.2">
      <c r="A5" s="38" t="s">
        <v>96</v>
      </c>
      <c r="B5" s="59">
        <f>'Cashflow '!F12</f>
        <v>273.75443200000001</v>
      </c>
      <c r="C5" s="59">
        <f>'Cashflow '!G12</f>
        <v>312.86220800000001</v>
      </c>
      <c r="D5" s="59">
        <f>'Cashflow '!H12</f>
        <v>371.52387199999998</v>
      </c>
      <c r="E5" s="59">
        <f>'Cashflow '!I12</f>
        <v>371.52387199999998</v>
      </c>
      <c r="F5" s="59">
        <f>'Cashflow '!J12</f>
        <v>371.52387199999998</v>
      </c>
      <c r="G5" s="59">
        <f>'Cashflow '!K12</f>
        <v>371.52387199999998</v>
      </c>
      <c r="H5" s="59">
        <f>'Cashflow '!L12</f>
        <v>371.52387199999998</v>
      </c>
      <c r="I5" s="59">
        <f>'Cashflow '!M12</f>
        <v>371.52387199999998</v>
      </c>
      <c r="J5" s="59">
        <f>'Cashflow '!N12</f>
        <v>371.52387199999998</v>
      </c>
      <c r="K5" s="60">
        <f>'Cashflow '!O12</f>
        <v>371.52387199999998</v>
      </c>
      <c r="L5" s="123"/>
    </row>
    <row r="6" spans="1:12" s="116" customFormat="1" ht="21" customHeight="1" x14ac:dyDescent="0.2">
      <c r="A6" s="38" t="s">
        <v>126</v>
      </c>
      <c r="B6" s="59">
        <f t="shared" ref="B6:K6" si="0">SUM(B7:B8)</f>
        <v>141.33558487517811</v>
      </c>
      <c r="C6" s="59">
        <f t="shared" si="0"/>
        <v>127.34962841264252</v>
      </c>
      <c r="D6" s="59">
        <f t="shared" si="0"/>
        <v>176.66600090290359</v>
      </c>
      <c r="E6" s="59">
        <f t="shared" si="0"/>
        <v>176.66600090290359</v>
      </c>
      <c r="F6" s="59">
        <f t="shared" si="0"/>
        <v>176.66600090290359</v>
      </c>
      <c r="G6" s="59">
        <f t="shared" si="0"/>
        <v>176.66600090290359</v>
      </c>
      <c r="H6" s="59">
        <f t="shared" si="0"/>
        <v>176.66600090290359</v>
      </c>
      <c r="I6" s="59">
        <f t="shared" si="0"/>
        <v>176.66600090290359</v>
      </c>
      <c r="J6" s="59">
        <f t="shared" si="0"/>
        <v>176.66600090290359</v>
      </c>
      <c r="K6" s="60">
        <f t="shared" si="0"/>
        <v>176.66600090290359</v>
      </c>
      <c r="L6" s="123"/>
    </row>
    <row r="7" spans="1:12" s="116" customFormat="1" ht="21" customHeight="1" x14ac:dyDescent="0.2">
      <c r="A7" s="20" t="s">
        <v>279</v>
      </c>
      <c r="B7" s="59">
        <f>'Cashflow '!F18</f>
        <v>123.48752948437499</v>
      </c>
      <c r="C7" s="59">
        <f>'Cashflow '!G18</f>
        <v>112.90288410000001</v>
      </c>
      <c r="D7" s="59">
        <f>'Cashflow '!H18</f>
        <v>159.21070765664064</v>
      </c>
      <c r="E7" s="59">
        <f>'Cashflow '!I18</f>
        <v>159.21070765664064</v>
      </c>
      <c r="F7" s="59">
        <f>'Cashflow '!J18</f>
        <v>159.21070765664064</v>
      </c>
      <c r="G7" s="59">
        <f>'Cashflow '!K18</f>
        <v>159.21070765664064</v>
      </c>
      <c r="H7" s="59">
        <f>'Cashflow '!L18</f>
        <v>159.21070765664064</v>
      </c>
      <c r="I7" s="59">
        <f>'Cashflow '!M18</f>
        <v>159.21070765664064</v>
      </c>
      <c r="J7" s="59">
        <f>'Cashflow '!N18</f>
        <v>159.21070765664064</v>
      </c>
      <c r="K7" s="60">
        <f>'Cashflow '!O18</f>
        <v>159.21070765664064</v>
      </c>
      <c r="L7" s="123"/>
    </row>
    <row r="8" spans="1:12" s="116" customFormat="1" ht="21" customHeight="1" x14ac:dyDescent="0.2">
      <c r="A8" s="20" t="s">
        <v>278</v>
      </c>
      <c r="B8" s="59">
        <f>'Cashflow '!F19</f>
        <v>17.848055390803125</v>
      </c>
      <c r="C8" s="59">
        <f>'Cashflow '!G19</f>
        <v>14.446744312642501</v>
      </c>
      <c r="D8" s="59">
        <f>'Cashflow '!H19</f>
        <v>17.455293246262968</v>
      </c>
      <c r="E8" s="59">
        <f>'Cashflow '!I19</f>
        <v>17.455293246262968</v>
      </c>
      <c r="F8" s="59">
        <f>'Cashflow '!J19</f>
        <v>17.455293246262968</v>
      </c>
      <c r="G8" s="59">
        <f>'Cashflow '!K19</f>
        <v>17.455293246262968</v>
      </c>
      <c r="H8" s="59">
        <f>'Cashflow '!L19</f>
        <v>17.455293246262968</v>
      </c>
      <c r="I8" s="59">
        <f>'Cashflow '!M19</f>
        <v>17.455293246262968</v>
      </c>
      <c r="J8" s="59">
        <f>'Cashflow '!N19</f>
        <v>17.455293246262968</v>
      </c>
      <c r="K8" s="60">
        <f>'Cashflow '!O19</f>
        <v>17.455293246262968</v>
      </c>
      <c r="L8" s="123"/>
    </row>
    <row r="9" spans="1:12" ht="21" customHeight="1" x14ac:dyDescent="0.2">
      <c r="A9" s="38" t="s">
        <v>127</v>
      </c>
      <c r="B9" s="59">
        <f t="shared" ref="B9:K9" si="1">B5-B6</f>
        <v>132.41884712482189</v>
      </c>
      <c r="C9" s="59">
        <f t="shared" si="1"/>
        <v>185.51257958735749</v>
      </c>
      <c r="D9" s="59">
        <f t="shared" si="1"/>
        <v>194.85787109709639</v>
      </c>
      <c r="E9" s="59">
        <f t="shared" si="1"/>
        <v>194.85787109709639</v>
      </c>
      <c r="F9" s="59">
        <f t="shared" si="1"/>
        <v>194.85787109709639</v>
      </c>
      <c r="G9" s="59">
        <f t="shared" si="1"/>
        <v>194.85787109709639</v>
      </c>
      <c r="H9" s="59">
        <f t="shared" si="1"/>
        <v>194.85787109709639</v>
      </c>
      <c r="I9" s="59">
        <f t="shared" si="1"/>
        <v>194.85787109709639</v>
      </c>
      <c r="J9" s="59">
        <f t="shared" si="1"/>
        <v>194.85787109709639</v>
      </c>
      <c r="K9" s="60">
        <f t="shared" si="1"/>
        <v>194.85787109709639</v>
      </c>
      <c r="L9" s="124"/>
    </row>
    <row r="10" spans="1:12" s="116" customFormat="1" ht="21" customHeight="1" x14ac:dyDescent="0.2">
      <c r="A10" s="38" t="s">
        <v>129</v>
      </c>
      <c r="B10" s="59" t="e">
        <f>Opex!#REF!</f>
        <v>#REF!</v>
      </c>
      <c r="C10" s="59" t="e">
        <f>Opex!#REF!</f>
        <v>#REF!</v>
      </c>
      <c r="D10" s="59" t="e">
        <f>Opex!#REF!</f>
        <v>#REF!</v>
      </c>
      <c r="E10" s="59" t="e">
        <f>Opex!#REF!</f>
        <v>#REF!</v>
      </c>
      <c r="F10" s="59" t="e">
        <f>Opex!#REF!</f>
        <v>#REF!</v>
      </c>
      <c r="G10" s="59" t="e">
        <f>Opex!#REF!</f>
        <v>#REF!</v>
      </c>
      <c r="H10" s="59" t="e">
        <f>Opex!#REF!</f>
        <v>#REF!</v>
      </c>
      <c r="I10" s="59" t="e">
        <f>Opex!#REF!</f>
        <v>#REF!</v>
      </c>
      <c r="J10" s="59" t="e">
        <f>Opex!#REF!</f>
        <v>#REF!</v>
      </c>
      <c r="K10" s="60" t="e">
        <f>Opex!#REF!</f>
        <v>#REF!</v>
      </c>
      <c r="L10" s="123"/>
    </row>
    <row r="11" spans="1:12" s="116" customFormat="1" ht="21" customHeight="1" x14ac:dyDescent="0.2">
      <c r="A11" s="38" t="s">
        <v>130</v>
      </c>
      <c r="B11" s="59" t="e">
        <f>B9-B10</f>
        <v>#REF!</v>
      </c>
      <c r="C11" s="59" t="e">
        <f t="shared" ref="C11:K11" si="2">C9-C10</f>
        <v>#REF!</v>
      </c>
      <c r="D11" s="59" t="e">
        <f t="shared" si="2"/>
        <v>#REF!</v>
      </c>
      <c r="E11" s="59" t="e">
        <f t="shared" si="2"/>
        <v>#REF!</v>
      </c>
      <c r="F11" s="59" t="e">
        <f t="shared" si="2"/>
        <v>#REF!</v>
      </c>
      <c r="G11" s="59" t="e">
        <f t="shared" si="2"/>
        <v>#REF!</v>
      </c>
      <c r="H11" s="59" t="e">
        <f t="shared" si="2"/>
        <v>#REF!</v>
      </c>
      <c r="I11" s="59" t="e">
        <f t="shared" si="2"/>
        <v>#REF!</v>
      </c>
      <c r="J11" s="59" t="e">
        <f t="shared" si="2"/>
        <v>#REF!</v>
      </c>
      <c r="K11" s="60" t="e">
        <f t="shared" si="2"/>
        <v>#REF!</v>
      </c>
      <c r="L11" s="123"/>
    </row>
    <row r="12" spans="1:12" s="116" customFormat="1" ht="21" customHeight="1" x14ac:dyDescent="0.2">
      <c r="A12" s="38" t="s">
        <v>71</v>
      </c>
      <c r="B12" s="59" t="e">
        <f>B11*0.25</f>
        <v>#REF!</v>
      </c>
      <c r="C12" s="59" t="e">
        <f>C11*0.25</f>
        <v>#REF!</v>
      </c>
      <c r="D12" s="59" t="e">
        <f t="shared" ref="D12:K12" si="3">D11*0.25</f>
        <v>#REF!</v>
      </c>
      <c r="E12" s="59" t="e">
        <f t="shared" si="3"/>
        <v>#REF!</v>
      </c>
      <c r="F12" s="59" t="e">
        <f t="shared" si="3"/>
        <v>#REF!</v>
      </c>
      <c r="G12" s="59" t="e">
        <f t="shared" si="3"/>
        <v>#REF!</v>
      </c>
      <c r="H12" s="59" t="e">
        <f t="shared" si="3"/>
        <v>#REF!</v>
      </c>
      <c r="I12" s="59" t="e">
        <f t="shared" si="3"/>
        <v>#REF!</v>
      </c>
      <c r="J12" s="59" t="e">
        <f t="shared" si="3"/>
        <v>#REF!</v>
      </c>
      <c r="K12" s="60" t="e">
        <f t="shared" si="3"/>
        <v>#REF!</v>
      </c>
      <c r="L12" s="123"/>
    </row>
    <row r="13" spans="1:12" s="116" customFormat="1" ht="21" customHeight="1" x14ac:dyDescent="0.2">
      <c r="A13" s="38" t="s">
        <v>72</v>
      </c>
      <c r="B13" s="59" t="e">
        <f>B11-B12</f>
        <v>#REF!</v>
      </c>
      <c r="C13" s="59" t="e">
        <f t="shared" ref="C13:K13" si="4">C11-C12</f>
        <v>#REF!</v>
      </c>
      <c r="D13" s="59" t="e">
        <f t="shared" si="4"/>
        <v>#REF!</v>
      </c>
      <c r="E13" s="59" t="e">
        <f t="shared" si="4"/>
        <v>#REF!</v>
      </c>
      <c r="F13" s="59" t="e">
        <f t="shared" si="4"/>
        <v>#REF!</v>
      </c>
      <c r="G13" s="59" t="e">
        <f t="shared" si="4"/>
        <v>#REF!</v>
      </c>
      <c r="H13" s="59" t="e">
        <f t="shared" si="4"/>
        <v>#REF!</v>
      </c>
      <c r="I13" s="59" t="e">
        <f t="shared" si="4"/>
        <v>#REF!</v>
      </c>
      <c r="J13" s="59" t="e">
        <f t="shared" si="4"/>
        <v>#REF!</v>
      </c>
      <c r="K13" s="60" t="e">
        <f t="shared" si="4"/>
        <v>#REF!</v>
      </c>
      <c r="L13" s="123"/>
    </row>
    <row r="14" spans="1:12" s="116" customFormat="1" ht="21" customHeight="1" x14ac:dyDescent="0.2">
      <c r="A14" s="38" t="s">
        <v>280</v>
      </c>
      <c r="B14" s="59" t="e">
        <f>Opex!#REF!</f>
        <v>#REF!</v>
      </c>
      <c r="C14" s="59" t="e">
        <f>Opex!#REF!</f>
        <v>#REF!</v>
      </c>
      <c r="D14" s="59" t="e">
        <f>Opex!#REF!</f>
        <v>#REF!</v>
      </c>
      <c r="E14" s="59" t="e">
        <f>Opex!#REF!</f>
        <v>#REF!</v>
      </c>
      <c r="F14" s="59" t="e">
        <f>Opex!#REF!</f>
        <v>#REF!</v>
      </c>
      <c r="G14" s="59" t="e">
        <f>Opex!#REF!</f>
        <v>#REF!</v>
      </c>
      <c r="H14" s="59" t="e">
        <f>Opex!#REF!</f>
        <v>#REF!</v>
      </c>
      <c r="I14" s="59" t="e">
        <f>Opex!#REF!</f>
        <v>#REF!</v>
      </c>
      <c r="J14" s="59" t="e">
        <f>Opex!#REF!</f>
        <v>#REF!</v>
      </c>
      <c r="K14" s="60" t="e">
        <f>Opex!#REF!</f>
        <v>#REF!</v>
      </c>
      <c r="L14" s="123"/>
    </row>
    <row r="15" spans="1:12" s="116" customFormat="1" ht="21" customHeight="1" x14ac:dyDescent="0.2">
      <c r="A15" s="42" t="s">
        <v>281</v>
      </c>
      <c r="B15" s="61" t="e">
        <f>B13-B14</f>
        <v>#REF!</v>
      </c>
      <c r="C15" s="61" t="e">
        <f t="shared" ref="C15:K15" si="5">C13-C14</f>
        <v>#REF!</v>
      </c>
      <c r="D15" s="61" t="e">
        <f t="shared" si="5"/>
        <v>#REF!</v>
      </c>
      <c r="E15" s="61" t="e">
        <f t="shared" si="5"/>
        <v>#REF!</v>
      </c>
      <c r="F15" s="61" t="e">
        <f t="shared" si="5"/>
        <v>#REF!</v>
      </c>
      <c r="G15" s="61" t="e">
        <f t="shared" si="5"/>
        <v>#REF!</v>
      </c>
      <c r="H15" s="61" t="e">
        <f t="shared" si="5"/>
        <v>#REF!</v>
      </c>
      <c r="I15" s="61" t="e">
        <f t="shared" si="5"/>
        <v>#REF!</v>
      </c>
      <c r="J15" s="61" t="e">
        <f t="shared" si="5"/>
        <v>#REF!</v>
      </c>
      <c r="K15" s="62" t="e">
        <f t="shared" si="5"/>
        <v>#REF!</v>
      </c>
      <c r="L15" s="123"/>
    </row>
    <row r="16" spans="1:12" ht="21" customHeight="1" x14ac:dyDescent="0.2">
      <c r="A16" s="714" t="s">
        <v>243</v>
      </c>
      <c r="B16" s="715"/>
      <c r="C16" s="715"/>
      <c r="D16" s="715"/>
      <c r="E16" s="715"/>
      <c r="F16" s="715"/>
      <c r="G16" s="229" t="s">
        <v>267</v>
      </c>
      <c r="H16" s="125"/>
      <c r="I16" s="125"/>
      <c r="J16" s="125"/>
      <c r="K16" s="125"/>
    </row>
    <row r="17" spans="1:11" ht="21" customHeight="1" x14ac:dyDescent="0.2">
      <c r="A17" s="242" t="s">
        <v>59</v>
      </c>
      <c r="B17" s="243">
        <f>'Cashflow '!I3</f>
        <v>0.95</v>
      </c>
      <c r="C17" s="243"/>
      <c r="D17" s="243"/>
      <c r="E17" s="243"/>
      <c r="F17" s="244"/>
      <c r="H17" s="125"/>
      <c r="I17" s="125"/>
      <c r="J17" s="125"/>
      <c r="K17" s="125"/>
    </row>
    <row r="18" spans="1:11" ht="21" customHeight="1" x14ac:dyDescent="0.2">
      <c r="A18" s="731" t="s">
        <v>60</v>
      </c>
      <c r="B18" s="732"/>
      <c r="C18" s="732"/>
      <c r="D18" s="732"/>
      <c r="E18" s="732"/>
      <c r="F18" s="733"/>
      <c r="H18" s="125"/>
      <c r="I18" s="125"/>
      <c r="J18" s="125"/>
      <c r="K18" s="125"/>
    </row>
    <row r="19" spans="1:11" ht="21" customHeight="1" x14ac:dyDescent="0.2">
      <c r="A19" s="38"/>
      <c r="B19" s="40" t="s">
        <v>64</v>
      </c>
      <c r="C19" s="40">
        <v>1</v>
      </c>
      <c r="D19" s="40">
        <v>2</v>
      </c>
      <c r="E19" s="40">
        <v>3</v>
      </c>
      <c r="F19" s="41">
        <v>4</v>
      </c>
      <c r="H19" s="125"/>
      <c r="I19" s="125"/>
      <c r="J19" s="125"/>
      <c r="K19" s="125"/>
    </row>
    <row r="20" spans="1:11" ht="21" customHeight="1" x14ac:dyDescent="0.2">
      <c r="A20" s="38" t="s">
        <v>96</v>
      </c>
      <c r="B20" s="59">
        <f>E5</f>
        <v>371.52387199999998</v>
      </c>
      <c r="C20" s="59">
        <f>B20-(B20*0.05)</f>
        <v>352.94767839999997</v>
      </c>
      <c r="D20" s="59">
        <f>E5</f>
        <v>371.52387199999998</v>
      </c>
      <c r="E20" s="59">
        <f>B20-(B20*0.05)</f>
        <v>352.94767839999997</v>
      </c>
      <c r="F20" s="60">
        <f>E5</f>
        <v>371.52387199999998</v>
      </c>
      <c r="H20" s="125"/>
      <c r="I20" s="125"/>
      <c r="J20" s="125"/>
      <c r="K20" s="125"/>
    </row>
    <row r="21" spans="1:11" ht="21" customHeight="1" x14ac:dyDescent="0.2">
      <c r="A21" s="38" t="s">
        <v>126</v>
      </c>
      <c r="B21" s="59">
        <f>SUM(B22:B23)</f>
        <v>176.66600090290359</v>
      </c>
      <c r="C21" s="59">
        <f>SUM(C22:C23)</f>
        <v>176.66600090290359</v>
      </c>
      <c r="D21" s="59">
        <f>SUM(D22:D23)</f>
        <v>192.58707166856766</v>
      </c>
      <c r="E21" s="59">
        <f>SUM(E22:E23)</f>
        <v>192.58707166856766</v>
      </c>
      <c r="F21" s="60">
        <f>B21+(B21*0.05)</f>
        <v>185.49930094804876</v>
      </c>
      <c r="H21" s="125"/>
      <c r="I21" s="125"/>
      <c r="J21" s="125"/>
      <c r="K21" s="125"/>
    </row>
    <row r="22" spans="1:11" ht="21" customHeight="1" x14ac:dyDescent="0.2">
      <c r="A22" s="20" t="s">
        <v>279</v>
      </c>
      <c r="B22" s="59">
        <f t="shared" ref="B22:B29" si="6">E7</f>
        <v>159.21070765664064</v>
      </c>
      <c r="C22" s="59">
        <f>E7</f>
        <v>159.21070765664064</v>
      </c>
      <c r="D22" s="59">
        <f>B22+(B22*0.1)</f>
        <v>175.13177842230471</v>
      </c>
      <c r="E22" s="59">
        <f>B22+(B22*0.1)</f>
        <v>175.13177842230471</v>
      </c>
      <c r="F22" s="60">
        <f>E7</f>
        <v>159.21070765664064</v>
      </c>
      <c r="H22" s="125"/>
      <c r="I22" s="125"/>
      <c r="J22" s="125"/>
      <c r="K22" s="125"/>
    </row>
    <row r="23" spans="1:11" ht="21" customHeight="1" x14ac:dyDescent="0.2">
      <c r="A23" s="20" t="s">
        <v>278</v>
      </c>
      <c r="B23" s="59">
        <f t="shared" si="6"/>
        <v>17.455293246262968</v>
      </c>
      <c r="C23" s="59">
        <f>E8</f>
        <v>17.455293246262968</v>
      </c>
      <c r="D23" s="59">
        <f>E8</f>
        <v>17.455293246262968</v>
      </c>
      <c r="E23" s="59">
        <f>E8</f>
        <v>17.455293246262968</v>
      </c>
      <c r="F23" s="60">
        <f>E8</f>
        <v>17.455293246262968</v>
      </c>
      <c r="H23" s="125"/>
      <c r="I23" s="125"/>
      <c r="J23" s="125"/>
      <c r="K23" s="125"/>
    </row>
    <row r="24" spans="1:11" ht="21" customHeight="1" x14ac:dyDescent="0.2">
      <c r="A24" s="38" t="s">
        <v>127</v>
      </c>
      <c r="B24" s="59">
        <f>B20-B21</f>
        <v>194.85787109709639</v>
      </c>
      <c r="C24" s="59">
        <f>C20-C21</f>
        <v>176.28167749709638</v>
      </c>
      <c r="D24" s="59">
        <f>D20-D21</f>
        <v>178.93680033143232</v>
      </c>
      <c r="E24" s="59">
        <f>E20-E21</f>
        <v>160.36060673143231</v>
      </c>
      <c r="F24" s="60">
        <f>F20-F21</f>
        <v>186.02457105195123</v>
      </c>
      <c r="H24" s="125"/>
      <c r="I24" s="125"/>
      <c r="J24" s="125"/>
      <c r="K24" s="125"/>
    </row>
    <row r="25" spans="1:11" ht="21" customHeight="1" x14ac:dyDescent="0.2">
      <c r="A25" s="38" t="s">
        <v>129</v>
      </c>
      <c r="B25" s="59" t="e">
        <f t="shared" si="6"/>
        <v>#REF!</v>
      </c>
      <c r="C25" s="59" t="e">
        <f>E10</f>
        <v>#REF!</v>
      </c>
      <c r="D25" s="59">
        <f>'Cashflow '!$E$8/10</f>
        <v>62.713607816062506</v>
      </c>
      <c r="E25" s="59">
        <f>'Cashflow '!$E$8/10</f>
        <v>62.713607816062506</v>
      </c>
      <c r="F25" s="60">
        <f>'Cashflow '!$E$8/10</f>
        <v>62.713607816062506</v>
      </c>
      <c r="H25" s="125"/>
      <c r="I25" s="125"/>
      <c r="J25" s="125"/>
      <c r="K25" s="125"/>
    </row>
    <row r="26" spans="1:11" ht="21" customHeight="1" x14ac:dyDescent="0.2">
      <c r="A26" s="38" t="s">
        <v>130</v>
      </c>
      <c r="B26" s="59" t="e">
        <f>B24-B25</f>
        <v>#REF!</v>
      </c>
      <c r="C26" s="59" t="e">
        <f t="shared" ref="C26:F26" si="7">C24-C25</f>
        <v>#REF!</v>
      </c>
      <c r="D26" s="59">
        <f t="shared" si="7"/>
        <v>116.22319251536982</v>
      </c>
      <c r="E26" s="59">
        <f t="shared" si="7"/>
        <v>97.646998915369807</v>
      </c>
      <c r="F26" s="60">
        <f t="shared" si="7"/>
        <v>123.31096323588872</v>
      </c>
      <c r="H26" s="125"/>
      <c r="I26" s="125"/>
      <c r="J26" s="125"/>
      <c r="K26" s="125"/>
    </row>
    <row r="27" spans="1:11" ht="21" customHeight="1" x14ac:dyDescent="0.2">
      <c r="A27" s="38" t="s">
        <v>71</v>
      </c>
      <c r="B27" s="59" t="e">
        <f>B26*0.25</f>
        <v>#REF!</v>
      </c>
      <c r="C27" s="59" t="e">
        <f t="shared" ref="C27:F27" si="8">C26*0.25</f>
        <v>#REF!</v>
      </c>
      <c r="D27" s="59">
        <f t="shared" si="8"/>
        <v>29.055798128842454</v>
      </c>
      <c r="E27" s="59">
        <f t="shared" si="8"/>
        <v>24.411749728842452</v>
      </c>
      <c r="F27" s="60">
        <f t="shared" si="8"/>
        <v>30.82774080897218</v>
      </c>
      <c r="H27" s="125"/>
      <c r="I27" s="125"/>
      <c r="J27" s="125"/>
      <c r="K27" s="125"/>
    </row>
    <row r="28" spans="1:11" ht="21" customHeight="1" x14ac:dyDescent="0.2">
      <c r="A28" s="38" t="s">
        <v>72</v>
      </c>
      <c r="B28" s="59" t="e">
        <f>B26-B27</f>
        <v>#REF!</v>
      </c>
      <c r="C28" s="59" t="e">
        <f t="shared" ref="C28:F28" si="9">C26-C27</f>
        <v>#REF!</v>
      </c>
      <c r="D28" s="59">
        <f t="shared" si="9"/>
        <v>87.167394386527363</v>
      </c>
      <c r="E28" s="59">
        <f t="shared" si="9"/>
        <v>73.235249186527355</v>
      </c>
      <c r="F28" s="60">
        <f t="shared" si="9"/>
        <v>92.483222426916541</v>
      </c>
      <c r="H28" s="125"/>
      <c r="I28" s="125"/>
      <c r="J28" s="125"/>
      <c r="K28" s="125"/>
    </row>
    <row r="29" spans="1:11" ht="21" customHeight="1" x14ac:dyDescent="0.2">
      <c r="A29" s="38" t="s">
        <v>280</v>
      </c>
      <c r="B29" s="59" t="e">
        <f t="shared" si="6"/>
        <v>#REF!</v>
      </c>
      <c r="C29" s="59" t="e">
        <f>B29</f>
        <v>#REF!</v>
      </c>
      <c r="D29" s="59" t="e">
        <f>B29</f>
        <v>#REF!</v>
      </c>
      <c r="E29" s="59" t="e">
        <f>B29</f>
        <v>#REF!</v>
      </c>
      <c r="F29" s="60" t="e">
        <f>B29</f>
        <v>#REF!</v>
      </c>
      <c r="H29" s="125"/>
      <c r="I29" s="125"/>
      <c r="J29" s="125"/>
      <c r="K29" s="125"/>
    </row>
    <row r="30" spans="1:11" ht="21" customHeight="1" x14ac:dyDescent="0.2">
      <c r="A30" s="42" t="s">
        <v>281</v>
      </c>
      <c r="B30" s="61" t="e">
        <f>B28-B29</f>
        <v>#REF!</v>
      </c>
      <c r="C30" s="61" t="e">
        <f>C28-C29</f>
        <v>#REF!</v>
      </c>
      <c r="D30" s="61" t="e">
        <f>D28-D29</f>
        <v>#REF!</v>
      </c>
      <c r="E30" s="61" t="e">
        <f>E28-E29</f>
        <v>#REF!</v>
      </c>
      <c r="F30" s="62" t="e">
        <f>F28-F29</f>
        <v>#REF!</v>
      </c>
      <c r="H30" s="125"/>
      <c r="I30" s="125"/>
      <c r="J30" s="125"/>
      <c r="K30" s="125"/>
    </row>
    <row r="31" spans="1:11" ht="17.25" customHeight="1" x14ac:dyDescent="0.2">
      <c r="A31" s="240" t="s">
        <v>38</v>
      </c>
      <c r="B31" s="241" t="s">
        <v>115</v>
      </c>
      <c r="C31" s="241" t="s">
        <v>233</v>
      </c>
      <c r="D31" s="241" t="s">
        <v>232</v>
      </c>
      <c r="E31" s="128"/>
      <c r="F31" s="128"/>
      <c r="G31" s="128"/>
      <c r="H31" s="126"/>
      <c r="I31" s="126"/>
      <c r="J31" s="126"/>
      <c r="K31" s="126"/>
    </row>
    <row r="32" spans="1:11" ht="17.25" customHeight="1" x14ac:dyDescent="0.2">
      <c r="A32" s="57"/>
      <c r="B32" s="32" t="s">
        <v>109</v>
      </c>
      <c r="C32" s="65"/>
      <c r="D32" s="65"/>
      <c r="E32" s="128"/>
      <c r="F32" s="128"/>
      <c r="G32" s="128"/>
    </row>
    <row r="33" spans="1:7" ht="17.25" customHeight="1" x14ac:dyDescent="0.2">
      <c r="A33" s="58"/>
      <c r="B33" s="33" t="s">
        <v>234</v>
      </c>
      <c r="C33" s="159" t="e">
        <f>B30</f>
        <v>#REF!</v>
      </c>
      <c r="D33" s="159" t="s">
        <v>132</v>
      </c>
      <c r="E33" s="128"/>
      <c r="F33" s="128"/>
      <c r="G33" s="128"/>
    </row>
    <row r="34" spans="1:7" ht="17.25" customHeight="1" x14ac:dyDescent="0.2">
      <c r="A34" s="58"/>
      <c r="B34" s="33"/>
      <c r="C34" s="158"/>
      <c r="D34" s="158"/>
      <c r="E34" s="128"/>
      <c r="F34" s="128"/>
      <c r="G34" s="128"/>
    </row>
    <row r="35" spans="1:7" ht="17.25" customHeight="1" x14ac:dyDescent="0.2">
      <c r="A35" s="200">
        <v>1</v>
      </c>
      <c r="B35" s="33" t="s">
        <v>282</v>
      </c>
      <c r="C35" s="159" t="e">
        <f>C30</f>
        <v>#REF!</v>
      </c>
      <c r="D35" s="161" t="e">
        <f>(C35-$C$33)/$C$33</f>
        <v>#REF!</v>
      </c>
      <c r="E35" s="128"/>
      <c r="F35" s="128"/>
      <c r="G35" s="128"/>
    </row>
    <row r="36" spans="1:7" ht="17.25" customHeight="1" x14ac:dyDescent="0.2">
      <c r="A36" s="200">
        <v>2</v>
      </c>
      <c r="B36" s="33" t="s">
        <v>283</v>
      </c>
      <c r="C36" s="159" t="e">
        <f>D30</f>
        <v>#REF!</v>
      </c>
      <c r="D36" s="161" t="e">
        <f t="shared" ref="D36:D38" si="10">(C36-$C$33)/$C$33</f>
        <v>#REF!</v>
      </c>
      <c r="E36" s="128"/>
      <c r="F36" s="128"/>
      <c r="G36" s="128"/>
    </row>
    <row r="37" spans="1:7" ht="17.25" customHeight="1" x14ac:dyDescent="0.2">
      <c r="A37" s="200">
        <v>3</v>
      </c>
      <c r="B37" s="33" t="s">
        <v>284</v>
      </c>
      <c r="C37" s="159" t="e">
        <f>E30</f>
        <v>#REF!</v>
      </c>
      <c r="D37" s="161" t="e">
        <f t="shared" si="10"/>
        <v>#REF!</v>
      </c>
      <c r="E37" s="128"/>
      <c r="F37" s="128"/>
      <c r="G37" s="128"/>
    </row>
    <row r="38" spans="1:7" ht="17.25" customHeight="1" x14ac:dyDescent="0.2">
      <c r="A38" s="201">
        <v>4</v>
      </c>
      <c r="B38" s="34" t="s">
        <v>285</v>
      </c>
      <c r="C38" s="160" t="e">
        <f>F30</f>
        <v>#REF!</v>
      </c>
      <c r="D38" s="162" t="e">
        <f t="shared" si="10"/>
        <v>#REF!</v>
      </c>
      <c r="E38" s="128"/>
      <c r="F38" s="128"/>
      <c r="G38" s="128"/>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6"/>
  <sheetViews>
    <sheetView showGridLines="0" zoomScaleNormal="100" zoomScaleSheetLayoutView="98" workbookViewId="0">
      <selection activeCell="B7" sqref="B7"/>
    </sheetView>
  </sheetViews>
  <sheetFormatPr defaultRowHeight="12.75" x14ac:dyDescent="0.2"/>
  <cols>
    <col min="1" max="1" width="33.5703125" style="128" customWidth="1"/>
    <col min="2" max="2" width="63.7109375" style="128" bestFit="1" customWidth="1"/>
    <col min="3" max="3" width="16.7109375" style="128" bestFit="1" customWidth="1"/>
    <col min="4" max="7" width="12.42578125" style="128" customWidth="1"/>
    <col min="8" max="252" width="9.140625" style="128"/>
    <col min="253" max="253" width="49.140625" style="128" customWidth="1"/>
    <col min="254" max="254" width="20.7109375" style="128" customWidth="1"/>
    <col min="255" max="255" width="9.140625" style="128"/>
    <col min="256" max="256" width="11.85546875" style="128" customWidth="1"/>
    <col min="257" max="257" width="11.7109375" style="128" customWidth="1"/>
    <col min="258" max="258" width="12.42578125" style="128" customWidth="1"/>
    <col min="259" max="259" width="13.42578125" style="128" customWidth="1"/>
    <col min="260" max="508" width="9.140625" style="128"/>
    <col min="509" max="509" width="49.140625" style="128" customWidth="1"/>
    <col min="510" max="510" width="20.7109375" style="128" customWidth="1"/>
    <col min="511" max="511" width="9.140625" style="128"/>
    <col min="512" max="512" width="11.85546875" style="128" customWidth="1"/>
    <col min="513" max="513" width="11.7109375" style="128" customWidth="1"/>
    <col min="514" max="514" width="12.42578125" style="128" customWidth="1"/>
    <col min="515" max="515" width="13.42578125" style="128" customWidth="1"/>
    <col min="516" max="764" width="9.140625" style="128"/>
    <col min="765" max="765" width="49.140625" style="128" customWidth="1"/>
    <col min="766" max="766" width="20.7109375" style="128" customWidth="1"/>
    <col min="767" max="767" width="9.140625" style="128"/>
    <col min="768" max="768" width="11.85546875" style="128" customWidth="1"/>
    <col min="769" max="769" width="11.7109375" style="128" customWidth="1"/>
    <col min="770" max="770" width="12.42578125" style="128" customWidth="1"/>
    <col min="771" max="771" width="13.42578125" style="128" customWidth="1"/>
    <col min="772" max="1020" width="9.140625" style="128"/>
    <col min="1021" max="1021" width="49.140625" style="128" customWidth="1"/>
    <col min="1022" max="1022" width="20.7109375" style="128" customWidth="1"/>
    <col min="1023" max="1023" width="9.140625" style="128"/>
    <col min="1024" max="1024" width="11.85546875" style="128" customWidth="1"/>
    <col min="1025" max="1025" width="11.7109375" style="128" customWidth="1"/>
    <col min="1026" max="1026" width="12.42578125" style="128" customWidth="1"/>
    <col min="1027" max="1027" width="13.42578125" style="128" customWidth="1"/>
    <col min="1028" max="1276" width="9.140625" style="128"/>
    <col min="1277" max="1277" width="49.140625" style="128" customWidth="1"/>
    <col min="1278" max="1278" width="20.7109375" style="128" customWidth="1"/>
    <col min="1279" max="1279" width="9.140625" style="128"/>
    <col min="1280" max="1280" width="11.85546875" style="128" customWidth="1"/>
    <col min="1281" max="1281" width="11.7109375" style="128" customWidth="1"/>
    <col min="1282" max="1282" width="12.42578125" style="128" customWidth="1"/>
    <col min="1283" max="1283" width="13.42578125" style="128" customWidth="1"/>
    <col min="1284" max="1532" width="9.140625" style="128"/>
    <col min="1533" max="1533" width="49.140625" style="128" customWidth="1"/>
    <col min="1534" max="1534" width="20.7109375" style="128" customWidth="1"/>
    <col min="1535" max="1535" width="9.140625" style="128"/>
    <col min="1536" max="1536" width="11.85546875" style="128" customWidth="1"/>
    <col min="1537" max="1537" width="11.7109375" style="128" customWidth="1"/>
    <col min="1538" max="1538" width="12.42578125" style="128" customWidth="1"/>
    <col min="1539" max="1539" width="13.42578125" style="128" customWidth="1"/>
    <col min="1540" max="1788" width="9.140625" style="128"/>
    <col min="1789" max="1789" width="49.140625" style="128" customWidth="1"/>
    <col min="1790" max="1790" width="20.7109375" style="128" customWidth="1"/>
    <col min="1791" max="1791" width="9.140625" style="128"/>
    <col min="1792" max="1792" width="11.85546875" style="128" customWidth="1"/>
    <col min="1793" max="1793" width="11.7109375" style="128" customWidth="1"/>
    <col min="1794" max="1794" width="12.42578125" style="128" customWidth="1"/>
    <col min="1795" max="1795" width="13.42578125" style="128" customWidth="1"/>
    <col min="1796" max="2044" width="9.140625" style="128"/>
    <col min="2045" max="2045" width="49.140625" style="128" customWidth="1"/>
    <col min="2046" max="2046" width="20.7109375" style="128" customWidth="1"/>
    <col min="2047" max="2047" width="9.140625" style="128"/>
    <col min="2048" max="2048" width="11.85546875" style="128" customWidth="1"/>
    <col min="2049" max="2049" width="11.7109375" style="128" customWidth="1"/>
    <col min="2050" max="2050" width="12.42578125" style="128" customWidth="1"/>
    <col min="2051" max="2051" width="13.42578125" style="128" customWidth="1"/>
    <col min="2052" max="2300" width="9.140625" style="128"/>
    <col min="2301" max="2301" width="49.140625" style="128" customWidth="1"/>
    <col min="2302" max="2302" width="20.7109375" style="128" customWidth="1"/>
    <col min="2303" max="2303" width="9.140625" style="128"/>
    <col min="2304" max="2304" width="11.85546875" style="128" customWidth="1"/>
    <col min="2305" max="2305" width="11.7109375" style="128" customWidth="1"/>
    <col min="2306" max="2306" width="12.42578125" style="128" customWidth="1"/>
    <col min="2307" max="2307" width="13.42578125" style="128" customWidth="1"/>
    <col min="2308" max="2556" width="9.140625" style="128"/>
    <col min="2557" max="2557" width="49.140625" style="128" customWidth="1"/>
    <col min="2558" max="2558" width="20.7109375" style="128" customWidth="1"/>
    <col min="2559" max="2559" width="9.140625" style="128"/>
    <col min="2560" max="2560" width="11.85546875" style="128" customWidth="1"/>
    <col min="2561" max="2561" width="11.7109375" style="128" customWidth="1"/>
    <col min="2562" max="2562" width="12.42578125" style="128" customWidth="1"/>
    <col min="2563" max="2563" width="13.42578125" style="128" customWidth="1"/>
    <col min="2564" max="2812" width="9.140625" style="128"/>
    <col min="2813" max="2813" width="49.140625" style="128" customWidth="1"/>
    <col min="2814" max="2814" width="20.7109375" style="128" customWidth="1"/>
    <col min="2815" max="2815" width="9.140625" style="128"/>
    <col min="2816" max="2816" width="11.85546875" style="128" customWidth="1"/>
    <col min="2817" max="2817" width="11.7109375" style="128" customWidth="1"/>
    <col min="2818" max="2818" width="12.42578125" style="128" customWidth="1"/>
    <col min="2819" max="2819" width="13.42578125" style="128" customWidth="1"/>
    <col min="2820" max="3068" width="9.140625" style="128"/>
    <col min="3069" max="3069" width="49.140625" style="128" customWidth="1"/>
    <col min="3070" max="3070" width="20.7109375" style="128" customWidth="1"/>
    <col min="3071" max="3071" width="9.140625" style="128"/>
    <col min="3072" max="3072" width="11.85546875" style="128" customWidth="1"/>
    <col min="3073" max="3073" width="11.7109375" style="128" customWidth="1"/>
    <col min="3074" max="3074" width="12.42578125" style="128" customWidth="1"/>
    <col min="3075" max="3075" width="13.42578125" style="128" customWidth="1"/>
    <col min="3076" max="3324" width="9.140625" style="128"/>
    <col min="3325" max="3325" width="49.140625" style="128" customWidth="1"/>
    <col min="3326" max="3326" width="20.7109375" style="128" customWidth="1"/>
    <col min="3327" max="3327" width="9.140625" style="128"/>
    <col min="3328" max="3328" width="11.85546875" style="128" customWidth="1"/>
    <col min="3329" max="3329" width="11.7109375" style="128" customWidth="1"/>
    <col min="3330" max="3330" width="12.42578125" style="128" customWidth="1"/>
    <col min="3331" max="3331" width="13.42578125" style="128" customWidth="1"/>
    <col min="3332" max="3580" width="9.140625" style="128"/>
    <col min="3581" max="3581" width="49.140625" style="128" customWidth="1"/>
    <col min="3582" max="3582" width="20.7109375" style="128" customWidth="1"/>
    <col min="3583" max="3583" width="9.140625" style="128"/>
    <col min="3584" max="3584" width="11.85546875" style="128" customWidth="1"/>
    <col min="3585" max="3585" width="11.7109375" style="128" customWidth="1"/>
    <col min="3586" max="3586" width="12.42578125" style="128" customWidth="1"/>
    <col min="3587" max="3587" width="13.42578125" style="128" customWidth="1"/>
    <col min="3588" max="3836" width="9.140625" style="128"/>
    <col min="3837" max="3837" width="49.140625" style="128" customWidth="1"/>
    <col min="3838" max="3838" width="20.7109375" style="128" customWidth="1"/>
    <col min="3839" max="3839" width="9.140625" style="128"/>
    <col min="3840" max="3840" width="11.85546875" style="128" customWidth="1"/>
    <col min="3841" max="3841" width="11.7109375" style="128" customWidth="1"/>
    <col min="3842" max="3842" width="12.42578125" style="128" customWidth="1"/>
    <col min="3843" max="3843" width="13.42578125" style="128" customWidth="1"/>
    <col min="3844" max="4092" width="9.140625" style="128"/>
    <col min="4093" max="4093" width="49.140625" style="128" customWidth="1"/>
    <col min="4094" max="4094" width="20.7109375" style="128" customWidth="1"/>
    <col min="4095" max="4095" width="9.140625" style="128"/>
    <col min="4096" max="4096" width="11.85546875" style="128" customWidth="1"/>
    <col min="4097" max="4097" width="11.7109375" style="128" customWidth="1"/>
    <col min="4098" max="4098" width="12.42578125" style="128" customWidth="1"/>
    <col min="4099" max="4099" width="13.42578125" style="128" customWidth="1"/>
    <col min="4100" max="4348" width="9.140625" style="128"/>
    <col min="4349" max="4349" width="49.140625" style="128" customWidth="1"/>
    <col min="4350" max="4350" width="20.7109375" style="128" customWidth="1"/>
    <col min="4351" max="4351" width="9.140625" style="128"/>
    <col min="4352" max="4352" width="11.85546875" style="128" customWidth="1"/>
    <col min="4353" max="4353" width="11.7109375" style="128" customWidth="1"/>
    <col min="4354" max="4354" width="12.42578125" style="128" customWidth="1"/>
    <col min="4355" max="4355" width="13.42578125" style="128" customWidth="1"/>
    <col min="4356" max="4604" width="9.140625" style="128"/>
    <col min="4605" max="4605" width="49.140625" style="128" customWidth="1"/>
    <col min="4606" max="4606" width="20.7109375" style="128" customWidth="1"/>
    <col min="4607" max="4607" width="9.140625" style="128"/>
    <col min="4608" max="4608" width="11.85546875" style="128" customWidth="1"/>
    <col min="4609" max="4609" width="11.7109375" style="128" customWidth="1"/>
    <col min="4610" max="4610" width="12.42578125" style="128" customWidth="1"/>
    <col min="4611" max="4611" width="13.42578125" style="128" customWidth="1"/>
    <col min="4612" max="4860" width="9.140625" style="128"/>
    <col min="4861" max="4861" width="49.140625" style="128" customWidth="1"/>
    <col min="4862" max="4862" width="20.7109375" style="128" customWidth="1"/>
    <col min="4863" max="4863" width="9.140625" style="128"/>
    <col min="4864" max="4864" width="11.85546875" style="128" customWidth="1"/>
    <col min="4865" max="4865" width="11.7109375" style="128" customWidth="1"/>
    <col min="4866" max="4866" width="12.42578125" style="128" customWidth="1"/>
    <col min="4867" max="4867" width="13.42578125" style="128" customWidth="1"/>
    <col min="4868" max="5116" width="9.140625" style="128"/>
    <col min="5117" max="5117" width="49.140625" style="128" customWidth="1"/>
    <col min="5118" max="5118" width="20.7109375" style="128" customWidth="1"/>
    <col min="5119" max="5119" width="9.140625" style="128"/>
    <col min="5120" max="5120" width="11.85546875" style="128" customWidth="1"/>
    <col min="5121" max="5121" width="11.7109375" style="128" customWidth="1"/>
    <col min="5122" max="5122" width="12.42578125" style="128" customWidth="1"/>
    <col min="5123" max="5123" width="13.42578125" style="128" customWidth="1"/>
    <col min="5124" max="5372" width="9.140625" style="128"/>
    <col min="5373" max="5373" width="49.140625" style="128" customWidth="1"/>
    <col min="5374" max="5374" width="20.7109375" style="128" customWidth="1"/>
    <col min="5375" max="5375" width="9.140625" style="128"/>
    <col min="5376" max="5376" width="11.85546875" style="128" customWidth="1"/>
    <col min="5377" max="5377" width="11.7109375" style="128" customWidth="1"/>
    <col min="5378" max="5378" width="12.42578125" style="128" customWidth="1"/>
    <col min="5379" max="5379" width="13.42578125" style="128" customWidth="1"/>
    <col min="5380" max="5628" width="9.140625" style="128"/>
    <col min="5629" max="5629" width="49.140625" style="128" customWidth="1"/>
    <col min="5630" max="5630" width="20.7109375" style="128" customWidth="1"/>
    <col min="5631" max="5631" width="9.140625" style="128"/>
    <col min="5632" max="5632" width="11.85546875" style="128" customWidth="1"/>
    <col min="5633" max="5633" width="11.7109375" style="128" customWidth="1"/>
    <col min="5634" max="5634" width="12.42578125" style="128" customWidth="1"/>
    <col min="5635" max="5635" width="13.42578125" style="128" customWidth="1"/>
    <col min="5636" max="5884" width="9.140625" style="128"/>
    <col min="5885" max="5885" width="49.140625" style="128" customWidth="1"/>
    <col min="5886" max="5886" width="20.7109375" style="128" customWidth="1"/>
    <col min="5887" max="5887" width="9.140625" style="128"/>
    <col min="5888" max="5888" width="11.85546875" style="128" customWidth="1"/>
    <col min="5889" max="5889" width="11.7109375" style="128" customWidth="1"/>
    <col min="5890" max="5890" width="12.42578125" style="128" customWidth="1"/>
    <col min="5891" max="5891" width="13.42578125" style="128" customWidth="1"/>
    <col min="5892" max="6140" width="9.140625" style="128"/>
    <col min="6141" max="6141" width="49.140625" style="128" customWidth="1"/>
    <col min="6142" max="6142" width="20.7109375" style="128" customWidth="1"/>
    <col min="6143" max="6143" width="9.140625" style="128"/>
    <col min="6144" max="6144" width="11.85546875" style="128" customWidth="1"/>
    <col min="6145" max="6145" width="11.7109375" style="128" customWidth="1"/>
    <col min="6146" max="6146" width="12.42578125" style="128" customWidth="1"/>
    <col min="6147" max="6147" width="13.42578125" style="128" customWidth="1"/>
    <col min="6148" max="6396" width="9.140625" style="128"/>
    <col min="6397" max="6397" width="49.140625" style="128" customWidth="1"/>
    <col min="6398" max="6398" width="20.7109375" style="128" customWidth="1"/>
    <col min="6399" max="6399" width="9.140625" style="128"/>
    <col min="6400" max="6400" width="11.85546875" style="128" customWidth="1"/>
    <col min="6401" max="6401" width="11.7109375" style="128" customWidth="1"/>
    <col min="6402" max="6402" width="12.42578125" style="128" customWidth="1"/>
    <col min="6403" max="6403" width="13.42578125" style="128" customWidth="1"/>
    <col min="6404" max="6652" width="9.140625" style="128"/>
    <col min="6653" max="6653" width="49.140625" style="128" customWidth="1"/>
    <col min="6654" max="6654" width="20.7109375" style="128" customWidth="1"/>
    <col min="6655" max="6655" width="9.140625" style="128"/>
    <col min="6656" max="6656" width="11.85546875" style="128" customWidth="1"/>
    <col min="6657" max="6657" width="11.7109375" style="128" customWidth="1"/>
    <col min="6658" max="6658" width="12.42578125" style="128" customWidth="1"/>
    <col min="6659" max="6659" width="13.42578125" style="128" customWidth="1"/>
    <col min="6660" max="6908" width="9.140625" style="128"/>
    <col min="6909" max="6909" width="49.140625" style="128" customWidth="1"/>
    <col min="6910" max="6910" width="20.7109375" style="128" customWidth="1"/>
    <col min="6911" max="6911" width="9.140625" style="128"/>
    <col min="6912" max="6912" width="11.85546875" style="128" customWidth="1"/>
    <col min="6913" max="6913" width="11.7109375" style="128" customWidth="1"/>
    <col min="6914" max="6914" width="12.42578125" style="128" customWidth="1"/>
    <col min="6915" max="6915" width="13.42578125" style="128" customWidth="1"/>
    <col min="6916" max="7164" width="9.140625" style="128"/>
    <col min="7165" max="7165" width="49.140625" style="128" customWidth="1"/>
    <col min="7166" max="7166" width="20.7109375" style="128" customWidth="1"/>
    <col min="7167" max="7167" width="9.140625" style="128"/>
    <col min="7168" max="7168" width="11.85546875" style="128" customWidth="1"/>
    <col min="7169" max="7169" width="11.7109375" style="128" customWidth="1"/>
    <col min="7170" max="7170" width="12.42578125" style="128" customWidth="1"/>
    <col min="7171" max="7171" width="13.42578125" style="128" customWidth="1"/>
    <col min="7172" max="7420" width="9.140625" style="128"/>
    <col min="7421" max="7421" width="49.140625" style="128" customWidth="1"/>
    <col min="7422" max="7422" width="20.7109375" style="128" customWidth="1"/>
    <col min="7423" max="7423" width="9.140625" style="128"/>
    <col min="7424" max="7424" width="11.85546875" style="128" customWidth="1"/>
    <col min="7425" max="7425" width="11.7109375" style="128" customWidth="1"/>
    <col min="7426" max="7426" width="12.42578125" style="128" customWidth="1"/>
    <col min="7427" max="7427" width="13.42578125" style="128" customWidth="1"/>
    <col min="7428" max="7676" width="9.140625" style="128"/>
    <col min="7677" max="7677" width="49.140625" style="128" customWidth="1"/>
    <col min="7678" max="7678" width="20.7109375" style="128" customWidth="1"/>
    <col min="7679" max="7679" width="9.140625" style="128"/>
    <col min="7680" max="7680" width="11.85546875" style="128" customWidth="1"/>
    <col min="7681" max="7681" width="11.7109375" style="128" customWidth="1"/>
    <col min="7682" max="7682" width="12.42578125" style="128" customWidth="1"/>
    <col min="7683" max="7683" width="13.42578125" style="128" customWidth="1"/>
    <col min="7684" max="7932" width="9.140625" style="128"/>
    <col min="7933" max="7933" width="49.140625" style="128" customWidth="1"/>
    <col min="7934" max="7934" width="20.7109375" style="128" customWidth="1"/>
    <col min="7935" max="7935" width="9.140625" style="128"/>
    <col min="7936" max="7936" width="11.85546875" style="128" customWidth="1"/>
    <col min="7937" max="7937" width="11.7109375" style="128" customWidth="1"/>
    <col min="7938" max="7938" width="12.42578125" style="128" customWidth="1"/>
    <col min="7939" max="7939" width="13.42578125" style="128" customWidth="1"/>
    <col min="7940" max="8188" width="9.140625" style="128"/>
    <col min="8189" max="8189" width="49.140625" style="128" customWidth="1"/>
    <col min="8190" max="8190" width="20.7109375" style="128" customWidth="1"/>
    <col min="8191" max="8191" width="9.140625" style="128"/>
    <col min="8192" max="8192" width="11.85546875" style="128" customWidth="1"/>
    <col min="8193" max="8193" width="11.7109375" style="128" customWidth="1"/>
    <col min="8194" max="8194" width="12.42578125" style="128" customWidth="1"/>
    <col min="8195" max="8195" width="13.42578125" style="128" customWidth="1"/>
    <col min="8196" max="8444" width="9.140625" style="128"/>
    <col min="8445" max="8445" width="49.140625" style="128" customWidth="1"/>
    <col min="8446" max="8446" width="20.7109375" style="128" customWidth="1"/>
    <col min="8447" max="8447" width="9.140625" style="128"/>
    <col min="8448" max="8448" width="11.85546875" style="128" customWidth="1"/>
    <col min="8449" max="8449" width="11.7109375" style="128" customWidth="1"/>
    <col min="8450" max="8450" width="12.42578125" style="128" customWidth="1"/>
    <col min="8451" max="8451" width="13.42578125" style="128" customWidth="1"/>
    <col min="8452" max="8700" width="9.140625" style="128"/>
    <col min="8701" max="8701" width="49.140625" style="128" customWidth="1"/>
    <col min="8702" max="8702" width="20.7109375" style="128" customWidth="1"/>
    <col min="8703" max="8703" width="9.140625" style="128"/>
    <col min="8704" max="8704" width="11.85546875" style="128" customWidth="1"/>
    <col min="8705" max="8705" width="11.7109375" style="128" customWidth="1"/>
    <col min="8706" max="8706" width="12.42578125" style="128" customWidth="1"/>
    <col min="8707" max="8707" width="13.42578125" style="128" customWidth="1"/>
    <col min="8708" max="8956" width="9.140625" style="128"/>
    <col min="8957" max="8957" width="49.140625" style="128" customWidth="1"/>
    <col min="8958" max="8958" width="20.7109375" style="128" customWidth="1"/>
    <col min="8959" max="8959" width="9.140625" style="128"/>
    <col min="8960" max="8960" width="11.85546875" style="128" customWidth="1"/>
    <col min="8961" max="8961" width="11.7109375" style="128" customWidth="1"/>
    <col min="8962" max="8962" width="12.42578125" style="128" customWidth="1"/>
    <col min="8963" max="8963" width="13.42578125" style="128" customWidth="1"/>
    <col min="8964" max="9212" width="9.140625" style="128"/>
    <col min="9213" max="9213" width="49.140625" style="128" customWidth="1"/>
    <col min="9214" max="9214" width="20.7109375" style="128" customWidth="1"/>
    <col min="9215" max="9215" width="9.140625" style="128"/>
    <col min="9216" max="9216" width="11.85546875" style="128" customWidth="1"/>
    <col min="9217" max="9217" width="11.7109375" style="128" customWidth="1"/>
    <col min="9218" max="9218" width="12.42578125" style="128" customWidth="1"/>
    <col min="9219" max="9219" width="13.42578125" style="128" customWidth="1"/>
    <col min="9220" max="9468" width="9.140625" style="128"/>
    <col min="9469" max="9469" width="49.140625" style="128" customWidth="1"/>
    <col min="9470" max="9470" width="20.7109375" style="128" customWidth="1"/>
    <col min="9471" max="9471" width="9.140625" style="128"/>
    <col min="9472" max="9472" width="11.85546875" style="128" customWidth="1"/>
    <col min="9473" max="9473" width="11.7109375" style="128" customWidth="1"/>
    <col min="9474" max="9474" width="12.42578125" style="128" customWidth="1"/>
    <col min="9475" max="9475" width="13.42578125" style="128" customWidth="1"/>
    <col min="9476" max="9724" width="9.140625" style="128"/>
    <col min="9725" max="9725" width="49.140625" style="128" customWidth="1"/>
    <col min="9726" max="9726" width="20.7109375" style="128" customWidth="1"/>
    <col min="9727" max="9727" width="9.140625" style="128"/>
    <col min="9728" max="9728" width="11.85546875" style="128" customWidth="1"/>
    <col min="9729" max="9729" width="11.7109375" style="128" customWidth="1"/>
    <col min="9730" max="9730" width="12.42578125" style="128" customWidth="1"/>
    <col min="9731" max="9731" width="13.42578125" style="128" customWidth="1"/>
    <col min="9732" max="9980" width="9.140625" style="128"/>
    <col min="9981" max="9981" width="49.140625" style="128" customWidth="1"/>
    <col min="9982" max="9982" width="20.7109375" style="128" customWidth="1"/>
    <col min="9983" max="9983" width="9.140625" style="128"/>
    <col min="9984" max="9984" width="11.85546875" style="128" customWidth="1"/>
    <col min="9985" max="9985" width="11.7109375" style="128" customWidth="1"/>
    <col min="9986" max="9986" width="12.42578125" style="128" customWidth="1"/>
    <col min="9987" max="9987" width="13.42578125" style="128" customWidth="1"/>
    <col min="9988" max="10236" width="9.140625" style="128"/>
    <col min="10237" max="10237" width="49.140625" style="128" customWidth="1"/>
    <col min="10238" max="10238" width="20.7109375" style="128" customWidth="1"/>
    <col min="10239" max="10239" width="9.140625" style="128"/>
    <col min="10240" max="10240" width="11.85546875" style="128" customWidth="1"/>
    <col min="10241" max="10241" width="11.7109375" style="128" customWidth="1"/>
    <col min="10242" max="10242" width="12.42578125" style="128" customWidth="1"/>
    <col min="10243" max="10243" width="13.42578125" style="128" customWidth="1"/>
    <col min="10244" max="10492" width="9.140625" style="128"/>
    <col min="10493" max="10493" width="49.140625" style="128" customWidth="1"/>
    <col min="10494" max="10494" width="20.7109375" style="128" customWidth="1"/>
    <col min="10495" max="10495" width="9.140625" style="128"/>
    <col min="10496" max="10496" width="11.85546875" style="128" customWidth="1"/>
    <col min="10497" max="10497" width="11.7109375" style="128" customWidth="1"/>
    <col min="10498" max="10498" width="12.42578125" style="128" customWidth="1"/>
    <col min="10499" max="10499" width="13.42578125" style="128" customWidth="1"/>
    <col min="10500" max="10748" width="9.140625" style="128"/>
    <col min="10749" max="10749" width="49.140625" style="128" customWidth="1"/>
    <col min="10750" max="10750" width="20.7109375" style="128" customWidth="1"/>
    <col min="10751" max="10751" width="9.140625" style="128"/>
    <col min="10752" max="10752" width="11.85546875" style="128" customWidth="1"/>
    <col min="10753" max="10753" width="11.7109375" style="128" customWidth="1"/>
    <col min="10754" max="10754" width="12.42578125" style="128" customWidth="1"/>
    <col min="10755" max="10755" width="13.42578125" style="128" customWidth="1"/>
    <col min="10756" max="11004" width="9.140625" style="128"/>
    <col min="11005" max="11005" width="49.140625" style="128" customWidth="1"/>
    <col min="11006" max="11006" width="20.7109375" style="128" customWidth="1"/>
    <col min="11007" max="11007" width="9.140625" style="128"/>
    <col min="11008" max="11008" width="11.85546875" style="128" customWidth="1"/>
    <col min="11009" max="11009" width="11.7109375" style="128" customWidth="1"/>
    <col min="11010" max="11010" width="12.42578125" style="128" customWidth="1"/>
    <col min="11011" max="11011" width="13.42578125" style="128" customWidth="1"/>
    <col min="11012" max="11260" width="9.140625" style="128"/>
    <col min="11261" max="11261" width="49.140625" style="128" customWidth="1"/>
    <col min="11262" max="11262" width="20.7109375" style="128" customWidth="1"/>
    <col min="11263" max="11263" width="9.140625" style="128"/>
    <col min="11264" max="11264" width="11.85546875" style="128" customWidth="1"/>
    <col min="11265" max="11265" width="11.7109375" style="128" customWidth="1"/>
    <col min="11266" max="11266" width="12.42578125" style="128" customWidth="1"/>
    <col min="11267" max="11267" width="13.42578125" style="128" customWidth="1"/>
    <col min="11268" max="11516" width="9.140625" style="128"/>
    <col min="11517" max="11517" width="49.140625" style="128" customWidth="1"/>
    <col min="11518" max="11518" width="20.7109375" style="128" customWidth="1"/>
    <col min="11519" max="11519" width="9.140625" style="128"/>
    <col min="11520" max="11520" width="11.85546875" style="128" customWidth="1"/>
    <col min="11521" max="11521" width="11.7109375" style="128" customWidth="1"/>
    <col min="11522" max="11522" width="12.42578125" style="128" customWidth="1"/>
    <col min="11523" max="11523" width="13.42578125" style="128" customWidth="1"/>
    <col min="11524" max="11772" width="9.140625" style="128"/>
    <col min="11773" max="11773" width="49.140625" style="128" customWidth="1"/>
    <col min="11774" max="11774" width="20.7109375" style="128" customWidth="1"/>
    <col min="11775" max="11775" width="9.140625" style="128"/>
    <col min="11776" max="11776" width="11.85546875" style="128" customWidth="1"/>
    <col min="11777" max="11777" width="11.7109375" style="128" customWidth="1"/>
    <col min="11778" max="11778" width="12.42578125" style="128" customWidth="1"/>
    <col min="11779" max="11779" width="13.42578125" style="128" customWidth="1"/>
    <col min="11780" max="12028" width="9.140625" style="128"/>
    <col min="12029" max="12029" width="49.140625" style="128" customWidth="1"/>
    <col min="12030" max="12030" width="20.7109375" style="128" customWidth="1"/>
    <col min="12031" max="12031" width="9.140625" style="128"/>
    <col min="12032" max="12032" width="11.85546875" style="128" customWidth="1"/>
    <col min="12033" max="12033" width="11.7109375" style="128" customWidth="1"/>
    <col min="12034" max="12034" width="12.42578125" style="128" customWidth="1"/>
    <col min="12035" max="12035" width="13.42578125" style="128" customWidth="1"/>
    <col min="12036" max="12284" width="9.140625" style="128"/>
    <col min="12285" max="12285" width="49.140625" style="128" customWidth="1"/>
    <col min="12286" max="12286" width="20.7109375" style="128" customWidth="1"/>
    <col min="12287" max="12287" width="9.140625" style="128"/>
    <col min="12288" max="12288" width="11.85546875" style="128" customWidth="1"/>
    <col min="12289" max="12289" width="11.7109375" style="128" customWidth="1"/>
    <col min="12290" max="12290" width="12.42578125" style="128" customWidth="1"/>
    <col min="12291" max="12291" width="13.42578125" style="128" customWidth="1"/>
    <col min="12292" max="12540" width="9.140625" style="128"/>
    <col min="12541" max="12541" width="49.140625" style="128" customWidth="1"/>
    <col min="12542" max="12542" width="20.7109375" style="128" customWidth="1"/>
    <col min="12543" max="12543" width="9.140625" style="128"/>
    <col min="12544" max="12544" width="11.85546875" style="128" customWidth="1"/>
    <col min="12545" max="12545" width="11.7109375" style="128" customWidth="1"/>
    <col min="12546" max="12546" width="12.42578125" style="128" customWidth="1"/>
    <col min="12547" max="12547" width="13.42578125" style="128" customWidth="1"/>
    <col min="12548" max="12796" width="9.140625" style="128"/>
    <col min="12797" max="12797" width="49.140625" style="128" customWidth="1"/>
    <col min="12798" max="12798" width="20.7109375" style="128" customWidth="1"/>
    <col min="12799" max="12799" width="9.140625" style="128"/>
    <col min="12800" max="12800" width="11.85546875" style="128" customWidth="1"/>
    <col min="12801" max="12801" width="11.7109375" style="128" customWidth="1"/>
    <col min="12802" max="12802" width="12.42578125" style="128" customWidth="1"/>
    <col min="12803" max="12803" width="13.42578125" style="128" customWidth="1"/>
    <col min="12804" max="13052" width="9.140625" style="128"/>
    <col min="13053" max="13053" width="49.140625" style="128" customWidth="1"/>
    <col min="13054" max="13054" width="20.7109375" style="128" customWidth="1"/>
    <col min="13055" max="13055" width="9.140625" style="128"/>
    <col min="13056" max="13056" width="11.85546875" style="128" customWidth="1"/>
    <col min="13057" max="13057" width="11.7109375" style="128" customWidth="1"/>
    <col min="13058" max="13058" width="12.42578125" style="128" customWidth="1"/>
    <col min="13059" max="13059" width="13.42578125" style="128" customWidth="1"/>
    <col min="13060" max="13308" width="9.140625" style="128"/>
    <col min="13309" max="13309" width="49.140625" style="128" customWidth="1"/>
    <col min="13310" max="13310" width="20.7109375" style="128" customWidth="1"/>
    <col min="13311" max="13311" width="9.140625" style="128"/>
    <col min="13312" max="13312" width="11.85546875" style="128" customWidth="1"/>
    <col min="13313" max="13313" width="11.7109375" style="128" customWidth="1"/>
    <col min="13314" max="13314" width="12.42578125" style="128" customWidth="1"/>
    <col min="13315" max="13315" width="13.42578125" style="128" customWidth="1"/>
    <col min="13316" max="13564" width="9.140625" style="128"/>
    <col min="13565" max="13565" width="49.140625" style="128" customWidth="1"/>
    <col min="13566" max="13566" width="20.7109375" style="128" customWidth="1"/>
    <col min="13567" max="13567" width="9.140625" style="128"/>
    <col min="13568" max="13568" width="11.85546875" style="128" customWidth="1"/>
    <col min="13569" max="13569" width="11.7109375" style="128" customWidth="1"/>
    <col min="13570" max="13570" width="12.42578125" style="128" customWidth="1"/>
    <col min="13571" max="13571" width="13.42578125" style="128" customWidth="1"/>
    <col min="13572" max="13820" width="9.140625" style="128"/>
    <col min="13821" max="13821" width="49.140625" style="128" customWidth="1"/>
    <col min="13822" max="13822" width="20.7109375" style="128" customWidth="1"/>
    <col min="13823" max="13823" width="9.140625" style="128"/>
    <col min="13824" max="13824" width="11.85546875" style="128" customWidth="1"/>
    <col min="13825" max="13825" width="11.7109375" style="128" customWidth="1"/>
    <col min="13826" max="13826" width="12.42578125" style="128" customWidth="1"/>
    <col min="13827" max="13827" width="13.42578125" style="128" customWidth="1"/>
    <col min="13828" max="14076" width="9.140625" style="128"/>
    <col min="14077" max="14077" width="49.140625" style="128" customWidth="1"/>
    <col min="14078" max="14078" width="20.7109375" style="128" customWidth="1"/>
    <col min="14079" max="14079" width="9.140625" style="128"/>
    <col min="14080" max="14080" width="11.85546875" style="128" customWidth="1"/>
    <col min="14081" max="14081" width="11.7109375" style="128" customWidth="1"/>
    <col min="14082" max="14082" width="12.42578125" style="128" customWidth="1"/>
    <col min="14083" max="14083" width="13.42578125" style="128" customWidth="1"/>
    <col min="14084" max="14332" width="9.140625" style="128"/>
    <col min="14333" max="14333" width="49.140625" style="128" customWidth="1"/>
    <col min="14334" max="14334" width="20.7109375" style="128" customWidth="1"/>
    <col min="14335" max="14335" width="9.140625" style="128"/>
    <col min="14336" max="14336" width="11.85546875" style="128" customWidth="1"/>
    <col min="14337" max="14337" width="11.7109375" style="128" customWidth="1"/>
    <col min="14338" max="14338" width="12.42578125" style="128" customWidth="1"/>
    <col min="14339" max="14339" width="13.42578125" style="128" customWidth="1"/>
    <col min="14340" max="14588" width="9.140625" style="128"/>
    <col min="14589" max="14589" width="49.140625" style="128" customWidth="1"/>
    <col min="14590" max="14590" width="20.7109375" style="128" customWidth="1"/>
    <col min="14591" max="14591" width="9.140625" style="128"/>
    <col min="14592" max="14592" width="11.85546875" style="128" customWidth="1"/>
    <col min="14593" max="14593" width="11.7109375" style="128" customWidth="1"/>
    <col min="14594" max="14594" width="12.42578125" style="128" customWidth="1"/>
    <col min="14595" max="14595" width="13.42578125" style="128" customWidth="1"/>
    <col min="14596" max="14844" width="9.140625" style="128"/>
    <col min="14845" max="14845" width="49.140625" style="128" customWidth="1"/>
    <col min="14846" max="14846" width="20.7109375" style="128" customWidth="1"/>
    <col min="14847" max="14847" width="9.140625" style="128"/>
    <col min="14848" max="14848" width="11.85546875" style="128" customWidth="1"/>
    <col min="14849" max="14849" width="11.7109375" style="128" customWidth="1"/>
    <col min="14850" max="14850" width="12.42578125" style="128" customWidth="1"/>
    <col min="14851" max="14851" width="13.42578125" style="128" customWidth="1"/>
    <col min="14852" max="15100" width="9.140625" style="128"/>
    <col min="15101" max="15101" width="49.140625" style="128" customWidth="1"/>
    <col min="15102" max="15102" width="20.7109375" style="128" customWidth="1"/>
    <col min="15103" max="15103" width="9.140625" style="128"/>
    <col min="15104" max="15104" width="11.85546875" style="128" customWidth="1"/>
    <col min="15105" max="15105" width="11.7109375" style="128" customWidth="1"/>
    <col min="15106" max="15106" width="12.42578125" style="128" customWidth="1"/>
    <col min="15107" max="15107" width="13.42578125" style="128" customWidth="1"/>
    <col min="15108" max="15356" width="9.140625" style="128"/>
    <col min="15357" max="15357" width="49.140625" style="128" customWidth="1"/>
    <col min="15358" max="15358" width="20.7109375" style="128" customWidth="1"/>
    <col min="15359" max="15359" width="9.140625" style="128"/>
    <col min="15360" max="15360" width="11.85546875" style="128" customWidth="1"/>
    <col min="15361" max="15361" width="11.7109375" style="128" customWidth="1"/>
    <col min="15362" max="15362" width="12.42578125" style="128" customWidth="1"/>
    <col min="15363" max="15363" width="13.42578125" style="128" customWidth="1"/>
    <col min="15364" max="15612" width="9.140625" style="128"/>
    <col min="15613" max="15613" width="49.140625" style="128" customWidth="1"/>
    <col min="15614" max="15614" width="20.7109375" style="128" customWidth="1"/>
    <col min="15615" max="15615" width="9.140625" style="128"/>
    <col min="15616" max="15616" width="11.85546875" style="128" customWidth="1"/>
    <col min="15617" max="15617" width="11.7109375" style="128" customWidth="1"/>
    <col min="15618" max="15618" width="12.42578125" style="128" customWidth="1"/>
    <col min="15619" max="15619" width="13.42578125" style="128" customWidth="1"/>
    <col min="15620" max="15868" width="9.140625" style="128"/>
    <col min="15869" max="15869" width="49.140625" style="128" customWidth="1"/>
    <col min="15870" max="15870" width="20.7109375" style="128" customWidth="1"/>
    <col min="15871" max="15871" width="9.140625" style="128"/>
    <col min="15872" max="15872" width="11.85546875" style="128" customWidth="1"/>
    <col min="15873" max="15873" width="11.7109375" style="128" customWidth="1"/>
    <col min="15874" max="15874" width="12.42578125" style="128" customWidth="1"/>
    <col min="15875" max="15875" width="13.42578125" style="128" customWidth="1"/>
    <col min="15876" max="16124" width="9.140625" style="128"/>
    <col min="16125" max="16125" width="49.140625" style="128" customWidth="1"/>
    <col min="16126" max="16126" width="20.7109375" style="128" customWidth="1"/>
    <col min="16127" max="16127" width="9.140625" style="128"/>
    <col min="16128" max="16128" width="11.85546875" style="128" customWidth="1"/>
    <col min="16129" max="16129" width="11.7109375" style="128" customWidth="1"/>
    <col min="16130" max="16130" width="12.42578125" style="128" customWidth="1"/>
    <col min="16131" max="16131" width="13.42578125" style="128" customWidth="1"/>
    <col min="16132" max="16384" width="9.140625" style="128"/>
  </cols>
  <sheetData>
    <row r="1" spans="1:8" ht="20.100000000000001" customHeight="1" x14ac:dyDescent="0.25">
      <c r="A1" s="734" t="s">
        <v>229</v>
      </c>
      <c r="B1" s="735"/>
      <c r="C1" s="127"/>
      <c r="D1" s="127"/>
      <c r="E1" s="127"/>
      <c r="F1" s="127"/>
      <c r="G1" s="127"/>
      <c r="H1" s="127"/>
    </row>
    <row r="2" spans="1:8" ht="20.100000000000001" customHeight="1" x14ac:dyDescent="0.2">
      <c r="A2" s="736" t="s">
        <v>244</v>
      </c>
      <c r="B2" s="737"/>
    </row>
    <row r="3" spans="1:8" ht="20.100000000000001" customHeight="1" x14ac:dyDescent="0.2">
      <c r="A3" s="43" t="s">
        <v>73</v>
      </c>
      <c r="B3" s="44">
        <f>'Cashflow '!I12</f>
        <v>371.52387199999998</v>
      </c>
      <c r="C3" s="129"/>
    </row>
    <row r="4" spans="1:8" ht="20.100000000000001" customHeight="1" x14ac:dyDescent="0.2">
      <c r="A4" s="43" t="s">
        <v>74</v>
      </c>
      <c r="B4" s="47">
        <f>'Cashflow '!I18</f>
        <v>159.21070765664064</v>
      </c>
      <c r="C4" s="131"/>
    </row>
    <row r="5" spans="1:8" ht="20.100000000000001" customHeight="1" x14ac:dyDescent="0.2">
      <c r="A5" s="43" t="s">
        <v>241</v>
      </c>
      <c r="B5" s="44">
        <f>+B3-B4</f>
        <v>212.31316434335935</v>
      </c>
      <c r="C5" s="132"/>
      <c r="D5" s="130"/>
    </row>
    <row r="6" spans="1:8" ht="20.100000000000001" customHeight="1" x14ac:dyDescent="0.2">
      <c r="A6" s="43" t="s">
        <v>77</v>
      </c>
      <c r="B6" s="45"/>
      <c r="C6" s="131"/>
      <c r="D6" s="130"/>
    </row>
    <row r="7" spans="1:8" ht="20.100000000000001" customHeight="1" x14ac:dyDescent="0.2">
      <c r="A7" s="46" t="s">
        <v>4</v>
      </c>
      <c r="B7" s="47">
        <f>'Cashflow '!I19</f>
        <v>17.455293246262968</v>
      </c>
      <c r="C7" s="130"/>
      <c r="D7" s="130"/>
    </row>
    <row r="8" spans="1:8" ht="20.100000000000001" customHeight="1" x14ac:dyDescent="0.2">
      <c r="A8" s="46" t="s">
        <v>131</v>
      </c>
      <c r="B8" s="47" t="e">
        <f>Norms!#REF!</f>
        <v>#REF!</v>
      </c>
      <c r="C8" s="130"/>
      <c r="D8" s="130"/>
    </row>
    <row r="9" spans="1:8" ht="20.100000000000001" customHeight="1" x14ac:dyDescent="0.2">
      <c r="A9" s="46" t="s">
        <v>10</v>
      </c>
      <c r="B9" s="47" t="e">
        <f>Opex!#REF!</f>
        <v>#REF!</v>
      </c>
      <c r="C9" s="130"/>
      <c r="D9" s="133"/>
    </row>
    <row r="10" spans="1:8" ht="20.100000000000001" customHeight="1" x14ac:dyDescent="0.2">
      <c r="A10" s="46" t="s">
        <v>44</v>
      </c>
      <c r="B10" s="44" t="e">
        <f>SUM(B7:B9)</f>
        <v>#REF!</v>
      </c>
      <c r="C10" s="130"/>
      <c r="D10" s="133"/>
    </row>
    <row r="11" spans="1:8" ht="20.100000000000001" customHeight="1" x14ac:dyDescent="0.25">
      <c r="A11" s="49" t="s">
        <v>78</v>
      </c>
      <c r="B11" s="50" t="e">
        <f>B10/B5</f>
        <v>#REF!</v>
      </c>
      <c r="C11" s="134"/>
      <c r="D11" s="133"/>
      <c r="E11" s="127"/>
    </row>
    <row r="12" spans="1:8" ht="20.100000000000001" hidden="1" customHeight="1" x14ac:dyDescent="0.2">
      <c r="A12" s="739" t="s">
        <v>242</v>
      </c>
      <c r="B12" s="740"/>
      <c r="C12" s="740"/>
      <c r="D12" s="740"/>
      <c r="E12" s="740"/>
      <c r="F12" s="740"/>
    </row>
    <row r="13" spans="1:8" ht="20.100000000000001" hidden="1" customHeight="1" x14ac:dyDescent="0.2">
      <c r="A13" s="741" t="s">
        <v>244</v>
      </c>
      <c r="B13" s="742"/>
      <c r="C13" s="742"/>
      <c r="D13" s="742"/>
      <c r="E13" s="742"/>
      <c r="F13" s="743"/>
    </row>
    <row r="14" spans="1:8" ht="20.100000000000001" hidden="1" customHeight="1" x14ac:dyDescent="0.2">
      <c r="A14" s="43"/>
      <c r="B14" s="198"/>
      <c r="C14" s="55">
        <v>1</v>
      </c>
      <c r="D14" s="55">
        <v>2</v>
      </c>
      <c r="E14" s="55">
        <v>3</v>
      </c>
      <c r="F14" s="56">
        <v>4</v>
      </c>
    </row>
    <row r="15" spans="1:8" ht="17.25" hidden="1" customHeight="1" x14ac:dyDescent="0.2">
      <c r="A15" s="43" t="s">
        <v>73</v>
      </c>
      <c r="B15" s="10">
        <f>B3</f>
        <v>371.52387199999998</v>
      </c>
      <c r="C15" s="10">
        <f>B15-B15*0.11</f>
        <v>330.65624607999996</v>
      </c>
      <c r="D15" s="10">
        <f>B15</f>
        <v>371.52387199999998</v>
      </c>
      <c r="E15" s="10">
        <f>B15-B15*0.05</f>
        <v>352.94767839999997</v>
      </c>
      <c r="F15" s="44">
        <f>B15</f>
        <v>371.52387199999998</v>
      </c>
    </row>
    <row r="16" spans="1:8" ht="17.25" hidden="1" customHeight="1" x14ac:dyDescent="0.2">
      <c r="A16" s="43" t="s">
        <v>74</v>
      </c>
      <c r="B16" s="11"/>
      <c r="C16" s="12"/>
      <c r="D16" s="12"/>
      <c r="E16" s="12"/>
      <c r="F16" s="47"/>
    </row>
    <row r="17" spans="1:6" ht="17.25" hidden="1" customHeight="1" x14ac:dyDescent="0.2">
      <c r="A17" s="46" t="s">
        <v>128</v>
      </c>
      <c r="B17" s="12" t="e">
        <f>#REF!</f>
        <v>#REF!</v>
      </c>
      <c r="C17" s="12" t="e">
        <f>B17</f>
        <v>#REF!</v>
      </c>
      <c r="D17" s="12" t="e">
        <f>C17+C17*16.5%</f>
        <v>#REF!</v>
      </c>
      <c r="E17" s="12" t="e">
        <f>B17+B17*0.09</f>
        <v>#REF!</v>
      </c>
      <c r="F17" s="47" t="e">
        <f>B17</f>
        <v>#REF!</v>
      </c>
    </row>
    <row r="18" spans="1:6" ht="17.25" hidden="1" customHeight="1" x14ac:dyDescent="0.2">
      <c r="A18" s="46" t="s">
        <v>3</v>
      </c>
      <c r="B18" s="12" t="e">
        <f>#REF!</f>
        <v>#REF!</v>
      </c>
      <c r="C18" s="12" t="e">
        <f>B18</f>
        <v>#REF!</v>
      </c>
      <c r="D18" s="12" t="e">
        <f t="shared" ref="D18:F20" si="0">C18</f>
        <v>#REF!</v>
      </c>
      <c r="E18" s="12" t="e">
        <f t="shared" si="0"/>
        <v>#REF!</v>
      </c>
      <c r="F18" s="47" t="e">
        <f t="shared" si="0"/>
        <v>#REF!</v>
      </c>
    </row>
    <row r="19" spans="1:6" ht="17.25" hidden="1" customHeight="1" x14ac:dyDescent="0.2">
      <c r="A19" s="46" t="s">
        <v>2</v>
      </c>
      <c r="B19" s="12" t="e">
        <f>#REF!</f>
        <v>#REF!</v>
      </c>
      <c r="C19" s="12" t="e">
        <f>B19</f>
        <v>#REF!</v>
      </c>
      <c r="D19" s="12" t="e">
        <f t="shared" si="0"/>
        <v>#REF!</v>
      </c>
      <c r="E19" s="12" t="e">
        <f t="shared" si="0"/>
        <v>#REF!</v>
      </c>
      <c r="F19" s="47" t="e">
        <f t="shared" si="0"/>
        <v>#REF!</v>
      </c>
    </row>
    <row r="20" spans="1:6" ht="17.25" hidden="1" customHeight="1" x14ac:dyDescent="0.2">
      <c r="A20" s="46" t="s">
        <v>5</v>
      </c>
      <c r="B20" s="12" t="e">
        <f>#REF!</f>
        <v>#REF!</v>
      </c>
      <c r="C20" s="12" t="e">
        <f>B20</f>
        <v>#REF!</v>
      </c>
      <c r="D20" s="12" t="e">
        <f t="shared" si="0"/>
        <v>#REF!</v>
      </c>
      <c r="E20" s="12" t="e">
        <f t="shared" si="0"/>
        <v>#REF!</v>
      </c>
      <c r="F20" s="47" t="e">
        <f t="shared" si="0"/>
        <v>#REF!</v>
      </c>
    </row>
    <row r="21" spans="1:6" ht="17.25" hidden="1" customHeight="1" x14ac:dyDescent="0.2">
      <c r="A21" s="48" t="s">
        <v>75</v>
      </c>
      <c r="B21" s="10" t="e">
        <f>SUM(B17:B20)</f>
        <v>#REF!</v>
      </c>
      <c r="C21" s="10" t="e">
        <f>SUM(C17:C20)</f>
        <v>#REF!</v>
      </c>
      <c r="D21" s="10" t="e">
        <f>SUM(D17:D20)</f>
        <v>#REF!</v>
      </c>
      <c r="E21" s="10" t="e">
        <f>SUM(E17:E20)</f>
        <v>#REF!</v>
      </c>
      <c r="F21" s="44" t="e">
        <f>SUM(F17:F20)+SUM(F17:F20)*14.5%</f>
        <v>#REF!</v>
      </c>
    </row>
    <row r="22" spans="1:6" ht="17.25" hidden="1" customHeight="1" x14ac:dyDescent="0.2">
      <c r="A22" s="43" t="s">
        <v>76</v>
      </c>
      <c r="B22" s="10" t="e">
        <f>+B15-B21</f>
        <v>#REF!</v>
      </c>
      <c r="C22" s="10" t="e">
        <f>+C15-C21</f>
        <v>#REF!</v>
      </c>
      <c r="D22" s="10" t="e">
        <f>+D15-D21</f>
        <v>#REF!</v>
      </c>
      <c r="E22" s="10" t="e">
        <f>+E15-E21</f>
        <v>#REF!</v>
      </c>
      <c r="F22" s="44" t="e">
        <f>+F15-F21</f>
        <v>#REF!</v>
      </c>
    </row>
    <row r="23" spans="1:6" ht="17.25" hidden="1" customHeight="1" x14ac:dyDescent="0.2">
      <c r="A23" s="43" t="s">
        <v>77</v>
      </c>
      <c r="B23" s="11"/>
      <c r="C23" s="51"/>
      <c r="D23" s="51"/>
      <c r="E23" s="52"/>
      <c r="F23" s="53"/>
    </row>
    <row r="24" spans="1:6" ht="17.25" hidden="1" customHeight="1" x14ac:dyDescent="0.2">
      <c r="A24" s="46" t="s">
        <v>4</v>
      </c>
      <c r="B24" s="12">
        <f>B7</f>
        <v>17.455293246262968</v>
      </c>
      <c r="C24" s="12">
        <f>B24</f>
        <v>17.455293246262968</v>
      </c>
      <c r="D24" s="12">
        <f t="shared" ref="D24:F25" si="1">C24</f>
        <v>17.455293246262968</v>
      </c>
      <c r="E24" s="12">
        <f t="shared" si="1"/>
        <v>17.455293246262968</v>
      </c>
      <c r="F24" s="47">
        <f t="shared" si="1"/>
        <v>17.455293246262968</v>
      </c>
    </row>
    <row r="25" spans="1:6" ht="17.25" hidden="1" customHeight="1" x14ac:dyDescent="0.2">
      <c r="A25" s="46" t="s">
        <v>10</v>
      </c>
      <c r="B25" s="12" t="e">
        <f>B8</f>
        <v>#REF!</v>
      </c>
      <c r="C25" s="12" t="e">
        <f>B25</f>
        <v>#REF!</v>
      </c>
      <c r="D25" s="12" t="e">
        <f t="shared" si="1"/>
        <v>#REF!</v>
      </c>
      <c r="E25" s="12" t="e">
        <f t="shared" si="1"/>
        <v>#REF!</v>
      </c>
      <c r="F25" s="47" t="e">
        <f t="shared" si="1"/>
        <v>#REF!</v>
      </c>
    </row>
    <row r="26" spans="1:6" ht="17.25" hidden="1" customHeight="1" x14ac:dyDescent="0.2">
      <c r="A26" s="46" t="s">
        <v>131</v>
      </c>
      <c r="B26" s="12" t="e">
        <f>B9</f>
        <v>#REF!</v>
      </c>
      <c r="C26" s="12" t="e">
        <f>B26</f>
        <v>#REF!</v>
      </c>
      <c r="D26" s="12" t="e">
        <f>C26</f>
        <v>#REF!</v>
      </c>
      <c r="E26" s="12" t="e">
        <f>C26</f>
        <v>#REF!</v>
      </c>
      <c r="F26" s="47" t="e">
        <f>D26</f>
        <v>#REF!</v>
      </c>
    </row>
    <row r="27" spans="1:6" ht="17.25" hidden="1" customHeight="1" x14ac:dyDescent="0.2">
      <c r="A27" s="46" t="s">
        <v>44</v>
      </c>
      <c r="B27" s="10" t="e">
        <f>SUM(B24:B26)</f>
        <v>#REF!</v>
      </c>
      <c r="C27" s="10" t="e">
        <f>SUM(C24:C26)</f>
        <v>#REF!</v>
      </c>
      <c r="D27" s="10" t="e">
        <f>SUM(D24:D26)</f>
        <v>#REF!</v>
      </c>
      <c r="E27" s="10" t="e">
        <f>SUM(E24:E26)</f>
        <v>#REF!</v>
      </c>
      <c r="F27" s="44" t="e">
        <f>SUM(F24:F26)</f>
        <v>#REF!</v>
      </c>
    </row>
    <row r="28" spans="1:6" ht="17.25" hidden="1" customHeight="1" x14ac:dyDescent="0.2">
      <c r="A28" s="49" t="s">
        <v>78</v>
      </c>
      <c r="B28" s="54" t="e">
        <f>B27/B22</f>
        <v>#REF!</v>
      </c>
      <c r="C28" s="54" t="e">
        <f>C27/C22</f>
        <v>#REF!</v>
      </c>
      <c r="D28" s="54" t="e">
        <f>D27/D22</f>
        <v>#REF!</v>
      </c>
      <c r="E28" s="54" t="e">
        <f>E27/E22</f>
        <v>#REF!</v>
      </c>
      <c r="F28" s="50" t="e">
        <f>F27/F22</f>
        <v>#REF!</v>
      </c>
    </row>
    <row r="29" spans="1:6" hidden="1" x14ac:dyDescent="0.2">
      <c r="A29" s="199" t="s">
        <v>38</v>
      </c>
      <c r="B29" s="738" t="s">
        <v>115</v>
      </c>
      <c r="C29" s="738"/>
    </row>
    <row r="30" spans="1:6" hidden="1" x14ac:dyDescent="0.2">
      <c r="A30" s="57"/>
      <c r="B30" s="32" t="s">
        <v>109</v>
      </c>
      <c r="C30" s="65" t="s">
        <v>110</v>
      </c>
    </row>
    <row r="31" spans="1:6" hidden="1" x14ac:dyDescent="0.2">
      <c r="A31" s="58"/>
      <c r="B31" s="33" t="s">
        <v>124</v>
      </c>
      <c r="C31" s="202" t="e">
        <f>B28</f>
        <v>#REF!</v>
      </c>
    </row>
    <row r="32" spans="1:6" hidden="1" x14ac:dyDescent="0.2">
      <c r="A32" s="58"/>
      <c r="B32" s="33"/>
      <c r="C32" s="203"/>
    </row>
    <row r="33" spans="1:3" hidden="1" x14ac:dyDescent="0.2">
      <c r="A33" s="200">
        <v>1</v>
      </c>
      <c r="B33" s="33" t="s">
        <v>111</v>
      </c>
      <c r="C33" s="204" t="e">
        <f>C28</f>
        <v>#REF!</v>
      </c>
    </row>
    <row r="34" spans="1:3" hidden="1" x14ac:dyDescent="0.2">
      <c r="A34" s="200">
        <v>2</v>
      </c>
      <c r="B34" s="33" t="s">
        <v>112</v>
      </c>
      <c r="C34" s="204" t="e">
        <f>D28</f>
        <v>#REF!</v>
      </c>
    </row>
    <row r="35" spans="1:3" hidden="1" x14ac:dyDescent="0.2">
      <c r="A35" s="200">
        <v>3</v>
      </c>
      <c r="B35" s="33" t="s">
        <v>113</v>
      </c>
      <c r="C35" s="204" t="e">
        <f>E28</f>
        <v>#REF!</v>
      </c>
    </row>
    <row r="36" spans="1:3" hidden="1" x14ac:dyDescent="0.2">
      <c r="A36" s="201">
        <v>4</v>
      </c>
      <c r="B36" s="34" t="s">
        <v>114</v>
      </c>
      <c r="C36" s="205"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9"/>
  <sheetViews>
    <sheetView showGridLines="0" zoomScaleNormal="100" zoomScaleSheetLayoutView="100" workbookViewId="0">
      <selection activeCell="I18" sqref="I18"/>
    </sheetView>
  </sheetViews>
  <sheetFormatPr defaultRowHeight="12.75" x14ac:dyDescent="0.2"/>
  <cols>
    <col min="1" max="1" width="38.140625" style="115" customWidth="1"/>
    <col min="2" max="3" width="9.7109375" style="115" bestFit="1" customWidth="1"/>
    <col min="4" max="4" width="9.5703125" style="115" bestFit="1" customWidth="1"/>
    <col min="5" max="10" width="9.7109375" style="115" bestFit="1" customWidth="1"/>
    <col min="11" max="255" width="9.140625" style="115"/>
    <col min="256" max="256" width="38.140625" style="115" customWidth="1"/>
    <col min="257" max="258" width="9.5703125" style="115" bestFit="1" customWidth="1"/>
    <col min="259" max="259" width="9.28515625" style="115" bestFit="1" customWidth="1"/>
    <col min="260" max="265" width="9.5703125" style="115" bestFit="1" customWidth="1"/>
    <col min="266" max="266" width="10.28515625" style="115" bestFit="1" customWidth="1"/>
    <col min="267" max="511" width="9.140625" style="115"/>
    <col min="512" max="512" width="38.140625" style="115" customWidth="1"/>
    <col min="513" max="514" width="9.5703125" style="115" bestFit="1" customWidth="1"/>
    <col min="515" max="515" width="9.28515625" style="115" bestFit="1" customWidth="1"/>
    <col min="516" max="521" width="9.5703125" style="115" bestFit="1" customWidth="1"/>
    <col min="522" max="522" width="10.28515625" style="115" bestFit="1" customWidth="1"/>
    <col min="523" max="767" width="9.140625" style="115"/>
    <col min="768" max="768" width="38.140625" style="115" customWidth="1"/>
    <col min="769" max="770" width="9.5703125" style="115" bestFit="1" customWidth="1"/>
    <col min="771" max="771" width="9.28515625" style="115" bestFit="1" customWidth="1"/>
    <col min="772" max="777" width="9.5703125" style="115" bestFit="1" customWidth="1"/>
    <col min="778" max="778" width="10.28515625" style="115" bestFit="1" customWidth="1"/>
    <col min="779" max="1023" width="9.140625" style="115"/>
    <col min="1024" max="1024" width="38.140625" style="115" customWidth="1"/>
    <col min="1025" max="1026" width="9.5703125" style="115" bestFit="1" customWidth="1"/>
    <col min="1027" max="1027" width="9.28515625" style="115" bestFit="1" customWidth="1"/>
    <col min="1028" max="1033" width="9.5703125" style="115" bestFit="1" customWidth="1"/>
    <col min="1034" max="1034" width="10.28515625" style="115" bestFit="1" customWidth="1"/>
    <col min="1035" max="1279" width="9.140625" style="115"/>
    <col min="1280" max="1280" width="38.140625" style="115" customWidth="1"/>
    <col min="1281" max="1282" width="9.5703125" style="115" bestFit="1" customWidth="1"/>
    <col min="1283" max="1283" width="9.28515625" style="115" bestFit="1" customWidth="1"/>
    <col min="1284" max="1289" width="9.5703125" style="115" bestFit="1" customWidth="1"/>
    <col min="1290" max="1290" width="10.28515625" style="115" bestFit="1" customWidth="1"/>
    <col min="1291" max="1535" width="9.140625" style="115"/>
    <col min="1536" max="1536" width="38.140625" style="115" customWidth="1"/>
    <col min="1537" max="1538" width="9.5703125" style="115" bestFit="1" customWidth="1"/>
    <col min="1539" max="1539" width="9.28515625" style="115" bestFit="1" customWidth="1"/>
    <col min="1540" max="1545" width="9.5703125" style="115" bestFit="1" customWidth="1"/>
    <col min="1546" max="1546" width="10.28515625" style="115" bestFit="1" customWidth="1"/>
    <col min="1547" max="1791" width="9.140625" style="115"/>
    <col min="1792" max="1792" width="38.140625" style="115" customWidth="1"/>
    <col min="1793" max="1794" width="9.5703125" style="115" bestFit="1" customWidth="1"/>
    <col min="1795" max="1795" width="9.28515625" style="115" bestFit="1" customWidth="1"/>
    <col min="1796" max="1801" width="9.5703125" style="115" bestFit="1" customWidth="1"/>
    <col min="1802" max="1802" width="10.28515625" style="115" bestFit="1" customWidth="1"/>
    <col min="1803" max="2047" width="9.140625" style="115"/>
    <col min="2048" max="2048" width="38.140625" style="115" customWidth="1"/>
    <col min="2049" max="2050" width="9.5703125" style="115" bestFit="1" customWidth="1"/>
    <col min="2051" max="2051" width="9.28515625" style="115" bestFit="1" customWidth="1"/>
    <col min="2052" max="2057" width="9.5703125" style="115" bestFit="1" customWidth="1"/>
    <col min="2058" max="2058" width="10.28515625" style="115" bestFit="1" customWidth="1"/>
    <col min="2059" max="2303" width="9.140625" style="115"/>
    <col min="2304" max="2304" width="38.140625" style="115" customWidth="1"/>
    <col min="2305" max="2306" width="9.5703125" style="115" bestFit="1" customWidth="1"/>
    <col min="2307" max="2307" width="9.28515625" style="115" bestFit="1" customWidth="1"/>
    <col min="2308" max="2313" width="9.5703125" style="115" bestFit="1" customWidth="1"/>
    <col min="2314" max="2314" width="10.28515625" style="115" bestFit="1" customWidth="1"/>
    <col min="2315" max="2559" width="9.140625" style="115"/>
    <col min="2560" max="2560" width="38.140625" style="115" customWidth="1"/>
    <col min="2561" max="2562" width="9.5703125" style="115" bestFit="1" customWidth="1"/>
    <col min="2563" max="2563" width="9.28515625" style="115" bestFit="1" customWidth="1"/>
    <col min="2564" max="2569" width="9.5703125" style="115" bestFit="1" customWidth="1"/>
    <col min="2570" max="2570" width="10.28515625" style="115" bestFit="1" customWidth="1"/>
    <col min="2571" max="2815" width="9.140625" style="115"/>
    <col min="2816" max="2816" width="38.140625" style="115" customWidth="1"/>
    <col min="2817" max="2818" width="9.5703125" style="115" bestFit="1" customWidth="1"/>
    <col min="2819" max="2819" width="9.28515625" style="115" bestFit="1" customWidth="1"/>
    <col min="2820" max="2825" width="9.5703125" style="115" bestFit="1" customWidth="1"/>
    <col min="2826" max="2826" width="10.28515625" style="115" bestFit="1" customWidth="1"/>
    <col min="2827" max="3071" width="9.140625" style="115"/>
    <col min="3072" max="3072" width="38.140625" style="115" customWidth="1"/>
    <col min="3073" max="3074" width="9.5703125" style="115" bestFit="1" customWidth="1"/>
    <col min="3075" max="3075" width="9.28515625" style="115" bestFit="1" customWidth="1"/>
    <col min="3076" max="3081" width="9.5703125" style="115" bestFit="1" customWidth="1"/>
    <col min="3082" max="3082" width="10.28515625" style="115" bestFit="1" customWidth="1"/>
    <col min="3083" max="3327" width="9.140625" style="115"/>
    <col min="3328" max="3328" width="38.140625" style="115" customWidth="1"/>
    <col min="3329" max="3330" width="9.5703125" style="115" bestFit="1" customWidth="1"/>
    <col min="3331" max="3331" width="9.28515625" style="115" bestFit="1" customWidth="1"/>
    <col min="3332" max="3337" width="9.5703125" style="115" bestFit="1" customWidth="1"/>
    <col min="3338" max="3338" width="10.28515625" style="115" bestFit="1" customWidth="1"/>
    <col min="3339" max="3583" width="9.140625" style="115"/>
    <col min="3584" max="3584" width="38.140625" style="115" customWidth="1"/>
    <col min="3585" max="3586" width="9.5703125" style="115" bestFit="1" customWidth="1"/>
    <col min="3587" max="3587" width="9.28515625" style="115" bestFit="1" customWidth="1"/>
    <col min="3588" max="3593" width="9.5703125" style="115" bestFit="1" customWidth="1"/>
    <col min="3594" max="3594" width="10.28515625" style="115" bestFit="1" customWidth="1"/>
    <col min="3595" max="3839" width="9.140625" style="115"/>
    <col min="3840" max="3840" width="38.140625" style="115" customWidth="1"/>
    <col min="3841" max="3842" width="9.5703125" style="115" bestFit="1" customWidth="1"/>
    <col min="3843" max="3843" width="9.28515625" style="115" bestFit="1" customWidth="1"/>
    <col min="3844" max="3849" width="9.5703125" style="115" bestFit="1" customWidth="1"/>
    <col min="3850" max="3850" width="10.28515625" style="115" bestFit="1" customWidth="1"/>
    <col min="3851" max="4095" width="9.140625" style="115"/>
    <col min="4096" max="4096" width="38.140625" style="115" customWidth="1"/>
    <col min="4097" max="4098" width="9.5703125" style="115" bestFit="1" customWidth="1"/>
    <col min="4099" max="4099" width="9.28515625" style="115" bestFit="1" customWidth="1"/>
    <col min="4100" max="4105" width="9.5703125" style="115" bestFit="1" customWidth="1"/>
    <col min="4106" max="4106" width="10.28515625" style="115" bestFit="1" customWidth="1"/>
    <col min="4107" max="4351" width="9.140625" style="115"/>
    <col min="4352" max="4352" width="38.140625" style="115" customWidth="1"/>
    <col min="4353" max="4354" width="9.5703125" style="115" bestFit="1" customWidth="1"/>
    <col min="4355" max="4355" width="9.28515625" style="115" bestFit="1" customWidth="1"/>
    <col min="4356" max="4361" width="9.5703125" style="115" bestFit="1" customWidth="1"/>
    <col min="4362" max="4362" width="10.28515625" style="115" bestFit="1" customWidth="1"/>
    <col min="4363" max="4607" width="9.140625" style="115"/>
    <col min="4608" max="4608" width="38.140625" style="115" customWidth="1"/>
    <col min="4609" max="4610" width="9.5703125" style="115" bestFit="1" customWidth="1"/>
    <col min="4611" max="4611" width="9.28515625" style="115" bestFit="1" customWidth="1"/>
    <col min="4612" max="4617" width="9.5703125" style="115" bestFit="1" customWidth="1"/>
    <col min="4618" max="4618" width="10.28515625" style="115" bestFit="1" customWidth="1"/>
    <col min="4619" max="4863" width="9.140625" style="115"/>
    <col min="4864" max="4864" width="38.140625" style="115" customWidth="1"/>
    <col min="4865" max="4866" width="9.5703125" style="115" bestFit="1" customWidth="1"/>
    <col min="4867" max="4867" width="9.28515625" style="115" bestFit="1" customWidth="1"/>
    <col min="4868" max="4873" width="9.5703125" style="115" bestFit="1" customWidth="1"/>
    <col min="4874" max="4874" width="10.28515625" style="115" bestFit="1" customWidth="1"/>
    <col min="4875" max="5119" width="9.140625" style="115"/>
    <col min="5120" max="5120" width="38.140625" style="115" customWidth="1"/>
    <col min="5121" max="5122" width="9.5703125" style="115" bestFit="1" customWidth="1"/>
    <col min="5123" max="5123" width="9.28515625" style="115" bestFit="1" customWidth="1"/>
    <col min="5124" max="5129" width="9.5703125" style="115" bestFit="1" customWidth="1"/>
    <col min="5130" max="5130" width="10.28515625" style="115" bestFit="1" customWidth="1"/>
    <col min="5131" max="5375" width="9.140625" style="115"/>
    <col min="5376" max="5376" width="38.140625" style="115" customWidth="1"/>
    <col min="5377" max="5378" width="9.5703125" style="115" bestFit="1" customWidth="1"/>
    <col min="5379" max="5379" width="9.28515625" style="115" bestFit="1" customWidth="1"/>
    <col min="5380" max="5385" width="9.5703125" style="115" bestFit="1" customWidth="1"/>
    <col min="5386" max="5386" width="10.28515625" style="115" bestFit="1" customWidth="1"/>
    <col min="5387" max="5631" width="9.140625" style="115"/>
    <col min="5632" max="5632" width="38.140625" style="115" customWidth="1"/>
    <col min="5633" max="5634" width="9.5703125" style="115" bestFit="1" customWidth="1"/>
    <col min="5635" max="5635" width="9.28515625" style="115" bestFit="1" customWidth="1"/>
    <col min="5636" max="5641" width="9.5703125" style="115" bestFit="1" customWidth="1"/>
    <col min="5642" max="5642" width="10.28515625" style="115" bestFit="1" customWidth="1"/>
    <col min="5643" max="5887" width="9.140625" style="115"/>
    <col min="5888" max="5888" width="38.140625" style="115" customWidth="1"/>
    <col min="5889" max="5890" width="9.5703125" style="115" bestFit="1" customWidth="1"/>
    <col min="5891" max="5891" width="9.28515625" style="115" bestFit="1" customWidth="1"/>
    <col min="5892" max="5897" width="9.5703125" style="115" bestFit="1" customWidth="1"/>
    <col min="5898" max="5898" width="10.28515625" style="115" bestFit="1" customWidth="1"/>
    <col min="5899" max="6143" width="9.140625" style="115"/>
    <col min="6144" max="6144" width="38.140625" style="115" customWidth="1"/>
    <col min="6145" max="6146" width="9.5703125" style="115" bestFit="1" customWidth="1"/>
    <col min="6147" max="6147" width="9.28515625" style="115" bestFit="1" customWidth="1"/>
    <col min="6148" max="6153" width="9.5703125" style="115" bestFit="1" customWidth="1"/>
    <col min="6154" max="6154" width="10.28515625" style="115" bestFit="1" customWidth="1"/>
    <col min="6155" max="6399" width="9.140625" style="115"/>
    <col min="6400" max="6400" width="38.140625" style="115" customWidth="1"/>
    <col min="6401" max="6402" width="9.5703125" style="115" bestFit="1" customWidth="1"/>
    <col min="6403" max="6403" width="9.28515625" style="115" bestFit="1" customWidth="1"/>
    <col min="6404" max="6409" width="9.5703125" style="115" bestFit="1" customWidth="1"/>
    <col min="6410" max="6410" width="10.28515625" style="115" bestFit="1" customWidth="1"/>
    <col min="6411" max="6655" width="9.140625" style="115"/>
    <col min="6656" max="6656" width="38.140625" style="115" customWidth="1"/>
    <col min="6657" max="6658" width="9.5703125" style="115" bestFit="1" customWidth="1"/>
    <col min="6659" max="6659" width="9.28515625" style="115" bestFit="1" customWidth="1"/>
    <col min="6660" max="6665" width="9.5703125" style="115" bestFit="1" customWidth="1"/>
    <col min="6666" max="6666" width="10.28515625" style="115" bestFit="1" customWidth="1"/>
    <col min="6667" max="6911" width="9.140625" style="115"/>
    <col min="6912" max="6912" width="38.140625" style="115" customWidth="1"/>
    <col min="6913" max="6914" width="9.5703125" style="115" bestFit="1" customWidth="1"/>
    <col min="6915" max="6915" width="9.28515625" style="115" bestFit="1" customWidth="1"/>
    <col min="6916" max="6921" width="9.5703125" style="115" bestFit="1" customWidth="1"/>
    <col min="6922" max="6922" width="10.28515625" style="115" bestFit="1" customWidth="1"/>
    <col min="6923" max="7167" width="9.140625" style="115"/>
    <col min="7168" max="7168" width="38.140625" style="115" customWidth="1"/>
    <col min="7169" max="7170" width="9.5703125" style="115" bestFit="1" customWidth="1"/>
    <col min="7171" max="7171" width="9.28515625" style="115" bestFit="1" customWidth="1"/>
    <col min="7172" max="7177" width="9.5703125" style="115" bestFit="1" customWidth="1"/>
    <col min="7178" max="7178" width="10.28515625" style="115" bestFit="1" customWidth="1"/>
    <col min="7179" max="7423" width="9.140625" style="115"/>
    <col min="7424" max="7424" width="38.140625" style="115" customWidth="1"/>
    <col min="7425" max="7426" width="9.5703125" style="115" bestFit="1" customWidth="1"/>
    <col min="7427" max="7427" width="9.28515625" style="115" bestFit="1" customWidth="1"/>
    <col min="7428" max="7433" width="9.5703125" style="115" bestFit="1" customWidth="1"/>
    <col min="7434" max="7434" width="10.28515625" style="115" bestFit="1" customWidth="1"/>
    <col min="7435" max="7679" width="9.140625" style="115"/>
    <col min="7680" max="7680" width="38.140625" style="115" customWidth="1"/>
    <col min="7681" max="7682" width="9.5703125" style="115" bestFit="1" customWidth="1"/>
    <col min="7683" max="7683" width="9.28515625" style="115" bestFit="1" customWidth="1"/>
    <col min="7684" max="7689" width="9.5703125" style="115" bestFit="1" customWidth="1"/>
    <col min="7690" max="7690" width="10.28515625" style="115" bestFit="1" customWidth="1"/>
    <col min="7691" max="7935" width="9.140625" style="115"/>
    <col min="7936" max="7936" width="38.140625" style="115" customWidth="1"/>
    <col min="7937" max="7938" width="9.5703125" style="115" bestFit="1" customWidth="1"/>
    <col min="7939" max="7939" width="9.28515625" style="115" bestFit="1" customWidth="1"/>
    <col min="7940" max="7945" width="9.5703125" style="115" bestFit="1" customWidth="1"/>
    <col min="7946" max="7946" width="10.28515625" style="115" bestFit="1" customWidth="1"/>
    <col min="7947" max="8191" width="9.140625" style="115"/>
    <col min="8192" max="8192" width="38.140625" style="115" customWidth="1"/>
    <col min="8193" max="8194" width="9.5703125" style="115" bestFit="1" customWidth="1"/>
    <col min="8195" max="8195" width="9.28515625" style="115" bestFit="1" customWidth="1"/>
    <col min="8196" max="8201" width="9.5703125" style="115" bestFit="1" customWidth="1"/>
    <col min="8202" max="8202" width="10.28515625" style="115" bestFit="1" customWidth="1"/>
    <col min="8203" max="8447" width="9.140625" style="115"/>
    <col min="8448" max="8448" width="38.140625" style="115" customWidth="1"/>
    <col min="8449" max="8450" width="9.5703125" style="115" bestFit="1" customWidth="1"/>
    <col min="8451" max="8451" width="9.28515625" style="115" bestFit="1" customWidth="1"/>
    <col min="8452" max="8457" width="9.5703125" style="115" bestFit="1" customWidth="1"/>
    <col min="8458" max="8458" width="10.28515625" style="115" bestFit="1" customWidth="1"/>
    <col min="8459" max="8703" width="9.140625" style="115"/>
    <col min="8704" max="8704" width="38.140625" style="115" customWidth="1"/>
    <col min="8705" max="8706" width="9.5703125" style="115" bestFit="1" customWidth="1"/>
    <col min="8707" max="8707" width="9.28515625" style="115" bestFit="1" customWidth="1"/>
    <col min="8708" max="8713" width="9.5703125" style="115" bestFit="1" customWidth="1"/>
    <col min="8714" max="8714" width="10.28515625" style="115" bestFit="1" customWidth="1"/>
    <col min="8715" max="8959" width="9.140625" style="115"/>
    <col min="8960" max="8960" width="38.140625" style="115" customWidth="1"/>
    <col min="8961" max="8962" width="9.5703125" style="115" bestFit="1" customWidth="1"/>
    <col min="8963" max="8963" width="9.28515625" style="115" bestFit="1" customWidth="1"/>
    <col min="8964" max="8969" width="9.5703125" style="115" bestFit="1" customWidth="1"/>
    <col min="8970" max="8970" width="10.28515625" style="115" bestFit="1" customWidth="1"/>
    <col min="8971" max="9215" width="9.140625" style="115"/>
    <col min="9216" max="9216" width="38.140625" style="115" customWidth="1"/>
    <col min="9217" max="9218" width="9.5703125" style="115" bestFit="1" customWidth="1"/>
    <col min="9219" max="9219" width="9.28515625" style="115" bestFit="1" customWidth="1"/>
    <col min="9220" max="9225" width="9.5703125" style="115" bestFit="1" customWidth="1"/>
    <col min="9226" max="9226" width="10.28515625" style="115" bestFit="1" customWidth="1"/>
    <col min="9227" max="9471" width="9.140625" style="115"/>
    <col min="9472" max="9472" width="38.140625" style="115" customWidth="1"/>
    <col min="9473" max="9474" width="9.5703125" style="115" bestFit="1" customWidth="1"/>
    <col min="9475" max="9475" width="9.28515625" style="115" bestFit="1" customWidth="1"/>
    <col min="9476" max="9481" width="9.5703125" style="115" bestFit="1" customWidth="1"/>
    <col min="9482" max="9482" width="10.28515625" style="115" bestFit="1" customWidth="1"/>
    <col min="9483" max="9727" width="9.140625" style="115"/>
    <col min="9728" max="9728" width="38.140625" style="115" customWidth="1"/>
    <col min="9729" max="9730" width="9.5703125" style="115" bestFit="1" customWidth="1"/>
    <col min="9731" max="9731" width="9.28515625" style="115" bestFit="1" customWidth="1"/>
    <col min="9732" max="9737" width="9.5703125" style="115" bestFit="1" customWidth="1"/>
    <col min="9738" max="9738" width="10.28515625" style="115" bestFit="1" customWidth="1"/>
    <col min="9739" max="9983" width="9.140625" style="115"/>
    <col min="9984" max="9984" width="38.140625" style="115" customWidth="1"/>
    <col min="9985" max="9986" width="9.5703125" style="115" bestFit="1" customWidth="1"/>
    <col min="9987" max="9987" width="9.28515625" style="115" bestFit="1" customWidth="1"/>
    <col min="9988" max="9993" width="9.5703125" style="115" bestFit="1" customWidth="1"/>
    <col min="9994" max="9994" width="10.28515625" style="115" bestFit="1" customWidth="1"/>
    <col min="9995" max="10239" width="9.140625" style="115"/>
    <col min="10240" max="10240" width="38.140625" style="115" customWidth="1"/>
    <col min="10241" max="10242" width="9.5703125" style="115" bestFit="1" customWidth="1"/>
    <col min="10243" max="10243" width="9.28515625" style="115" bestFit="1" customWidth="1"/>
    <col min="10244" max="10249" width="9.5703125" style="115" bestFit="1" customWidth="1"/>
    <col min="10250" max="10250" width="10.28515625" style="115" bestFit="1" customWidth="1"/>
    <col min="10251" max="10495" width="9.140625" style="115"/>
    <col min="10496" max="10496" width="38.140625" style="115" customWidth="1"/>
    <col min="10497" max="10498" width="9.5703125" style="115" bestFit="1" customWidth="1"/>
    <col min="10499" max="10499" width="9.28515625" style="115" bestFit="1" customWidth="1"/>
    <col min="10500" max="10505" width="9.5703125" style="115" bestFit="1" customWidth="1"/>
    <col min="10506" max="10506" width="10.28515625" style="115" bestFit="1" customWidth="1"/>
    <col min="10507" max="10751" width="9.140625" style="115"/>
    <col min="10752" max="10752" width="38.140625" style="115" customWidth="1"/>
    <col min="10753" max="10754" width="9.5703125" style="115" bestFit="1" customWidth="1"/>
    <col min="10755" max="10755" width="9.28515625" style="115" bestFit="1" customWidth="1"/>
    <col min="10756" max="10761" width="9.5703125" style="115" bestFit="1" customWidth="1"/>
    <col min="10762" max="10762" width="10.28515625" style="115" bestFit="1" customWidth="1"/>
    <col min="10763" max="11007" width="9.140625" style="115"/>
    <col min="11008" max="11008" width="38.140625" style="115" customWidth="1"/>
    <col min="11009" max="11010" width="9.5703125" style="115" bestFit="1" customWidth="1"/>
    <col min="11011" max="11011" width="9.28515625" style="115" bestFit="1" customWidth="1"/>
    <col min="11012" max="11017" width="9.5703125" style="115" bestFit="1" customWidth="1"/>
    <col min="11018" max="11018" width="10.28515625" style="115" bestFit="1" customWidth="1"/>
    <col min="11019" max="11263" width="9.140625" style="115"/>
    <col min="11264" max="11264" width="38.140625" style="115" customWidth="1"/>
    <col min="11265" max="11266" width="9.5703125" style="115" bestFit="1" customWidth="1"/>
    <col min="11267" max="11267" width="9.28515625" style="115" bestFit="1" customWidth="1"/>
    <col min="11268" max="11273" width="9.5703125" style="115" bestFit="1" customWidth="1"/>
    <col min="11274" max="11274" width="10.28515625" style="115" bestFit="1" customWidth="1"/>
    <col min="11275" max="11519" width="9.140625" style="115"/>
    <col min="11520" max="11520" width="38.140625" style="115" customWidth="1"/>
    <col min="11521" max="11522" width="9.5703125" style="115" bestFit="1" customWidth="1"/>
    <col min="11523" max="11523" width="9.28515625" style="115" bestFit="1" customWidth="1"/>
    <col min="11524" max="11529" width="9.5703125" style="115" bestFit="1" customWidth="1"/>
    <col min="11530" max="11530" width="10.28515625" style="115" bestFit="1" customWidth="1"/>
    <col min="11531" max="11775" width="9.140625" style="115"/>
    <col min="11776" max="11776" width="38.140625" style="115" customWidth="1"/>
    <col min="11777" max="11778" width="9.5703125" style="115" bestFit="1" customWidth="1"/>
    <col min="11779" max="11779" width="9.28515625" style="115" bestFit="1" customWidth="1"/>
    <col min="11780" max="11785" width="9.5703125" style="115" bestFit="1" customWidth="1"/>
    <col min="11786" max="11786" width="10.28515625" style="115" bestFit="1" customWidth="1"/>
    <col min="11787" max="12031" width="9.140625" style="115"/>
    <col min="12032" max="12032" width="38.140625" style="115" customWidth="1"/>
    <col min="12033" max="12034" width="9.5703125" style="115" bestFit="1" customWidth="1"/>
    <col min="12035" max="12035" width="9.28515625" style="115" bestFit="1" customWidth="1"/>
    <col min="12036" max="12041" width="9.5703125" style="115" bestFit="1" customWidth="1"/>
    <col min="12042" max="12042" width="10.28515625" style="115" bestFit="1" customWidth="1"/>
    <col min="12043" max="12287" width="9.140625" style="115"/>
    <col min="12288" max="12288" width="38.140625" style="115" customWidth="1"/>
    <col min="12289" max="12290" width="9.5703125" style="115" bestFit="1" customWidth="1"/>
    <col min="12291" max="12291" width="9.28515625" style="115" bestFit="1" customWidth="1"/>
    <col min="12292" max="12297" width="9.5703125" style="115" bestFit="1" customWidth="1"/>
    <col min="12298" max="12298" width="10.28515625" style="115" bestFit="1" customWidth="1"/>
    <col min="12299" max="12543" width="9.140625" style="115"/>
    <col min="12544" max="12544" width="38.140625" style="115" customWidth="1"/>
    <col min="12545" max="12546" width="9.5703125" style="115" bestFit="1" customWidth="1"/>
    <col min="12547" max="12547" width="9.28515625" style="115" bestFit="1" customWidth="1"/>
    <col min="12548" max="12553" width="9.5703125" style="115" bestFit="1" customWidth="1"/>
    <col min="12554" max="12554" width="10.28515625" style="115" bestFit="1" customWidth="1"/>
    <col min="12555" max="12799" width="9.140625" style="115"/>
    <col min="12800" max="12800" width="38.140625" style="115" customWidth="1"/>
    <col min="12801" max="12802" width="9.5703125" style="115" bestFit="1" customWidth="1"/>
    <col min="12803" max="12803" width="9.28515625" style="115" bestFit="1" customWidth="1"/>
    <col min="12804" max="12809" width="9.5703125" style="115" bestFit="1" customWidth="1"/>
    <col min="12810" max="12810" width="10.28515625" style="115" bestFit="1" customWidth="1"/>
    <col min="12811" max="13055" width="9.140625" style="115"/>
    <col min="13056" max="13056" width="38.140625" style="115" customWidth="1"/>
    <col min="13057" max="13058" width="9.5703125" style="115" bestFit="1" customWidth="1"/>
    <col min="13059" max="13059" width="9.28515625" style="115" bestFit="1" customWidth="1"/>
    <col min="13060" max="13065" width="9.5703125" style="115" bestFit="1" customWidth="1"/>
    <col min="13066" max="13066" width="10.28515625" style="115" bestFit="1" customWidth="1"/>
    <col min="13067" max="13311" width="9.140625" style="115"/>
    <col min="13312" max="13312" width="38.140625" style="115" customWidth="1"/>
    <col min="13313" max="13314" width="9.5703125" style="115" bestFit="1" customWidth="1"/>
    <col min="13315" max="13315" width="9.28515625" style="115" bestFit="1" customWidth="1"/>
    <col min="13316" max="13321" width="9.5703125" style="115" bestFit="1" customWidth="1"/>
    <col min="13322" max="13322" width="10.28515625" style="115" bestFit="1" customWidth="1"/>
    <col min="13323" max="13567" width="9.140625" style="115"/>
    <col min="13568" max="13568" width="38.140625" style="115" customWidth="1"/>
    <col min="13569" max="13570" width="9.5703125" style="115" bestFit="1" customWidth="1"/>
    <col min="13571" max="13571" width="9.28515625" style="115" bestFit="1" customWidth="1"/>
    <col min="13572" max="13577" width="9.5703125" style="115" bestFit="1" customWidth="1"/>
    <col min="13578" max="13578" width="10.28515625" style="115" bestFit="1" customWidth="1"/>
    <col min="13579" max="13823" width="9.140625" style="115"/>
    <col min="13824" max="13824" width="38.140625" style="115" customWidth="1"/>
    <col min="13825" max="13826" width="9.5703125" style="115" bestFit="1" customWidth="1"/>
    <col min="13827" max="13827" width="9.28515625" style="115" bestFit="1" customWidth="1"/>
    <col min="13828" max="13833" width="9.5703125" style="115" bestFit="1" customWidth="1"/>
    <col min="13834" max="13834" width="10.28515625" style="115" bestFit="1" customWidth="1"/>
    <col min="13835" max="14079" width="9.140625" style="115"/>
    <col min="14080" max="14080" width="38.140625" style="115" customWidth="1"/>
    <col min="14081" max="14082" width="9.5703125" style="115" bestFit="1" customWidth="1"/>
    <col min="14083" max="14083" width="9.28515625" style="115" bestFit="1" customWidth="1"/>
    <col min="14084" max="14089" width="9.5703125" style="115" bestFit="1" customWidth="1"/>
    <col min="14090" max="14090" width="10.28515625" style="115" bestFit="1" customWidth="1"/>
    <col min="14091" max="14335" width="9.140625" style="115"/>
    <col min="14336" max="14336" width="38.140625" style="115" customWidth="1"/>
    <col min="14337" max="14338" width="9.5703125" style="115" bestFit="1" customWidth="1"/>
    <col min="14339" max="14339" width="9.28515625" style="115" bestFit="1" customWidth="1"/>
    <col min="14340" max="14345" width="9.5703125" style="115" bestFit="1" customWidth="1"/>
    <col min="14346" max="14346" width="10.28515625" style="115" bestFit="1" customWidth="1"/>
    <col min="14347" max="14591" width="9.140625" style="115"/>
    <col min="14592" max="14592" width="38.140625" style="115" customWidth="1"/>
    <col min="14593" max="14594" width="9.5703125" style="115" bestFit="1" customWidth="1"/>
    <col min="14595" max="14595" width="9.28515625" style="115" bestFit="1" customWidth="1"/>
    <col min="14596" max="14601" width="9.5703125" style="115" bestFit="1" customWidth="1"/>
    <col min="14602" max="14602" width="10.28515625" style="115" bestFit="1" customWidth="1"/>
    <col min="14603" max="14847" width="9.140625" style="115"/>
    <col min="14848" max="14848" width="38.140625" style="115" customWidth="1"/>
    <col min="14849" max="14850" width="9.5703125" style="115" bestFit="1" customWidth="1"/>
    <col min="14851" max="14851" width="9.28515625" style="115" bestFit="1" customWidth="1"/>
    <col min="14852" max="14857" width="9.5703125" style="115" bestFit="1" customWidth="1"/>
    <col min="14858" max="14858" width="10.28515625" style="115" bestFit="1" customWidth="1"/>
    <col min="14859" max="15103" width="9.140625" style="115"/>
    <col min="15104" max="15104" width="38.140625" style="115" customWidth="1"/>
    <col min="15105" max="15106" width="9.5703125" style="115" bestFit="1" customWidth="1"/>
    <col min="15107" max="15107" width="9.28515625" style="115" bestFit="1" customWidth="1"/>
    <col min="15108" max="15113" width="9.5703125" style="115" bestFit="1" customWidth="1"/>
    <col min="15114" max="15114" width="10.28515625" style="115" bestFit="1" customWidth="1"/>
    <col min="15115" max="15359" width="9.140625" style="115"/>
    <col min="15360" max="15360" width="38.140625" style="115" customWidth="1"/>
    <col min="15361" max="15362" width="9.5703125" style="115" bestFit="1" customWidth="1"/>
    <col min="15363" max="15363" width="9.28515625" style="115" bestFit="1" customWidth="1"/>
    <col min="15364" max="15369" width="9.5703125" style="115" bestFit="1" customWidth="1"/>
    <col min="15370" max="15370" width="10.28515625" style="115" bestFit="1" customWidth="1"/>
    <col min="15371" max="15615" width="9.140625" style="115"/>
    <col min="15616" max="15616" width="38.140625" style="115" customWidth="1"/>
    <col min="15617" max="15618" width="9.5703125" style="115" bestFit="1" customWidth="1"/>
    <col min="15619" max="15619" width="9.28515625" style="115" bestFit="1" customWidth="1"/>
    <col min="15620" max="15625" width="9.5703125" style="115" bestFit="1" customWidth="1"/>
    <col min="15626" max="15626" width="10.28515625" style="115" bestFit="1" customWidth="1"/>
    <col min="15627" max="15871" width="9.140625" style="115"/>
    <col min="15872" max="15872" width="38.140625" style="115" customWidth="1"/>
    <col min="15873" max="15874" width="9.5703125" style="115" bestFit="1" customWidth="1"/>
    <col min="15875" max="15875" width="9.28515625" style="115" bestFit="1" customWidth="1"/>
    <col min="15876" max="15881" width="9.5703125" style="115" bestFit="1" customWidth="1"/>
    <col min="15882" max="15882" width="10.28515625" style="115" bestFit="1" customWidth="1"/>
    <col min="15883" max="16127" width="9.140625" style="115"/>
    <col min="16128" max="16128" width="38.140625" style="115" customWidth="1"/>
    <col min="16129" max="16130" width="9.5703125" style="115" bestFit="1" customWidth="1"/>
    <col min="16131" max="16131" width="9.28515625" style="115" bestFit="1" customWidth="1"/>
    <col min="16132" max="16137" width="9.5703125" style="115" bestFit="1" customWidth="1"/>
    <col min="16138" max="16138" width="10.28515625" style="115" bestFit="1" customWidth="1"/>
    <col min="16139" max="16384" width="9.140625" style="115"/>
  </cols>
  <sheetData>
    <row r="1" spans="1:12" ht="17.100000000000001" customHeight="1" x14ac:dyDescent="0.2">
      <c r="A1" s="721" t="s">
        <v>79</v>
      </c>
      <c r="B1" s="722"/>
      <c r="C1" s="722"/>
      <c r="D1" s="722"/>
      <c r="E1" s="722"/>
      <c r="F1" s="722"/>
      <c r="G1" s="722"/>
      <c r="H1" s="722"/>
      <c r="I1" s="722"/>
      <c r="J1" s="723"/>
    </row>
    <row r="2" spans="1:12" ht="17.100000000000001" customHeight="1" x14ac:dyDescent="0.2">
      <c r="A2" s="731" t="s">
        <v>60</v>
      </c>
      <c r="B2" s="732"/>
      <c r="C2" s="732"/>
      <c r="D2" s="732"/>
      <c r="E2" s="732"/>
      <c r="F2" s="732"/>
      <c r="G2" s="732"/>
      <c r="H2" s="732"/>
      <c r="I2" s="732"/>
      <c r="J2" s="733"/>
    </row>
    <row r="3" spans="1:12" ht="17.100000000000001" customHeight="1" x14ac:dyDescent="0.2">
      <c r="A3" s="69" t="s">
        <v>80</v>
      </c>
      <c r="B3" s="40" t="s">
        <v>61</v>
      </c>
      <c r="C3" s="40" t="s">
        <v>62</v>
      </c>
      <c r="D3" s="40" t="s">
        <v>63</v>
      </c>
      <c r="E3" s="40" t="s">
        <v>64</v>
      </c>
      <c r="F3" s="40" t="s">
        <v>65</v>
      </c>
      <c r="G3" s="40" t="s">
        <v>66</v>
      </c>
      <c r="H3" s="40" t="s">
        <v>67</v>
      </c>
      <c r="I3" s="40" t="s">
        <v>68</v>
      </c>
      <c r="J3" s="41" t="s">
        <v>69</v>
      </c>
      <c r="K3" s="116"/>
    </row>
    <row r="4" spans="1:12" ht="17.100000000000001" customHeight="1" x14ac:dyDescent="0.2">
      <c r="A4" s="744"/>
      <c r="B4" s="745"/>
      <c r="C4" s="745"/>
      <c r="D4" s="745"/>
      <c r="E4" s="745"/>
      <c r="F4" s="745"/>
      <c r="G4" s="745"/>
      <c r="H4" s="745"/>
      <c r="I4" s="745"/>
      <c r="J4" s="746"/>
    </row>
    <row r="5" spans="1:12" ht="17.100000000000001" customHeight="1" x14ac:dyDescent="0.2">
      <c r="A5" s="70" t="s">
        <v>81</v>
      </c>
      <c r="B5" s="67" t="e">
        <f>Profitability!B13</f>
        <v>#REF!</v>
      </c>
      <c r="C5" s="67" t="e">
        <f>Profitability!C13</f>
        <v>#REF!</v>
      </c>
      <c r="D5" s="67" t="e">
        <f>Profitability!D13</f>
        <v>#REF!</v>
      </c>
      <c r="E5" s="67" t="e">
        <f>Profitability!E13</f>
        <v>#REF!</v>
      </c>
      <c r="F5" s="67" t="e">
        <f>Profitability!F13</f>
        <v>#REF!</v>
      </c>
      <c r="G5" s="67" t="e">
        <f>Profitability!G13</f>
        <v>#REF!</v>
      </c>
      <c r="H5" s="67" t="e">
        <f>Profitability!H13</f>
        <v>#REF!</v>
      </c>
      <c r="I5" s="67" t="e">
        <f>Profitability!I13</f>
        <v>#REF!</v>
      </c>
      <c r="J5" s="71" t="e">
        <f>Profitability!J13</f>
        <v>#REF!</v>
      </c>
    </row>
    <row r="6" spans="1:12" ht="17.100000000000001" customHeight="1" x14ac:dyDescent="0.2">
      <c r="A6" s="70" t="s">
        <v>82</v>
      </c>
      <c r="B6" s="67" t="e">
        <f>Norms!#REF!</f>
        <v>#REF!</v>
      </c>
      <c r="C6" s="67" t="e">
        <f>Norms!#REF!</f>
        <v>#REF!</v>
      </c>
      <c r="D6" s="67" t="e">
        <f>Norms!#REF!</f>
        <v>#REF!</v>
      </c>
      <c r="E6" s="67" t="e">
        <f>Norms!#REF!</f>
        <v>#REF!</v>
      </c>
      <c r="F6" s="67" t="e">
        <f>Norms!#REF!</f>
        <v>#REF!</v>
      </c>
      <c r="G6" s="67" t="e">
        <f>Norms!#REF!</f>
        <v>#REF!</v>
      </c>
      <c r="H6" s="67" t="e">
        <f>Norms!#REF!</f>
        <v>#REF!</v>
      </c>
      <c r="I6" s="67" t="e">
        <f>Norms!#REF!</f>
        <v>#REF!</v>
      </c>
      <c r="J6" s="71" t="e">
        <f>Norms!#REF!</f>
        <v>#REF!</v>
      </c>
    </row>
    <row r="7" spans="1:12" ht="17.100000000000001" customHeight="1" x14ac:dyDescent="0.2">
      <c r="A7" s="744"/>
      <c r="B7" s="745"/>
      <c r="C7" s="745"/>
      <c r="D7" s="745"/>
      <c r="E7" s="745"/>
      <c r="F7" s="745"/>
      <c r="G7" s="745"/>
      <c r="H7" s="745"/>
      <c r="I7" s="745"/>
      <c r="J7" s="746"/>
    </row>
    <row r="8" spans="1:12" s="117" customFormat="1" ht="17.100000000000001" customHeight="1" x14ac:dyDescent="0.2">
      <c r="A8" s="38" t="s">
        <v>116</v>
      </c>
      <c r="B8" s="68" t="e">
        <f t="shared" ref="B8:J8" si="0">SUM(B5:B6)</f>
        <v>#REF!</v>
      </c>
      <c r="C8" s="68" t="e">
        <f t="shared" si="0"/>
        <v>#REF!</v>
      </c>
      <c r="D8" s="68" t="e">
        <f t="shared" si="0"/>
        <v>#REF!</v>
      </c>
      <c r="E8" s="68" t="e">
        <f t="shared" si="0"/>
        <v>#REF!</v>
      </c>
      <c r="F8" s="68" t="e">
        <f t="shared" si="0"/>
        <v>#REF!</v>
      </c>
      <c r="G8" s="68" t="e">
        <f t="shared" si="0"/>
        <v>#REF!</v>
      </c>
      <c r="H8" s="68" t="e">
        <f t="shared" si="0"/>
        <v>#REF!</v>
      </c>
      <c r="I8" s="68" t="e">
        <f t="shared" si="0"/>
        <v>#REF!</v>
      </c>
      <c r="J8" s="72" t="e">
        <f t="shared" si="0"/>
        <v>#REF!</v>
      </c>
      <c r="L8" s="118"/>
    </row>
    <row r="9" spans="1:12" ht="17.100000000000001" customHeight="1" x14ac:dyDescent="0.2">
      <c r="A9" s="744"/>
      <c r="B9" s="745"/>
      <c r="C9" s="745"/>
      <c r="D9" s="745"/>
      <c r="E9" s="745"/>
      <c r="F9" s="745"/>
      <c r="G9" s="745"/>
      <c r="H9" s="745"/>
      <c r="I9" s="745"/>
      <c r="J9" s="746"/>
    </row>
    <row r="10" spans="1:12" ht="17.100000000000001" customHeight="1" x14ac:dyDescent="0.2">
      <c r="A10" s="70" t="s">
        <v>117</v>
      </c>
      <c r="B10" s="67" t="e">
        <f t="shared" ref="B10:J10" si="1">+B6</f>
        <v>#REF!</v>
      </c>
      <c r="C10" s="67" t="e">
        <f t="shared" si="1"/>
        <v>#REF!</v>
      </c>
      <c r="D10" s="67" t="e">
        <f t="shared" si="1"/>
        <v>#REF!</v>
      </c>
      <c r="E10" s="67" t="e">
        <f t="shared" si="1"/>
        <v>#REF!</v>
      </c>
      <c r="F10" s="67" t="e">
        <f t="shared" si="1"/>
        <v>#REF!</v>
      </c>
      <c r="G10" s="67" t="e">
        <f t="shared" si="1"/>
        <v>#REF!</v>
      </c>
      <c r="H10" s="67" t="e">
        <f t="shared" si="1"/>
        <v>#REF!</v>
      </c>
      <c r="I10" s="67" t="e">
        <f t="shared" si="1"/>
        <v>#REF!</v>
      </c>
      <c r="J10" s="71" t="e">
        <f t="shared" si="1"/>
        <v>#REF!</v>
      </c>
    </row>
    <row r="11" spans="1:12" ht="17.100000000000001" customHeight="1" x14ac:dyDescent="0.2">
      <c r="A11" s="70" t="s">
        <v>118</v>
      </c>
      <c r="B11" s="67" t="e">
        <f>Norms!#REF!</f>
        <v>#REF!</v>
      </c>
      <c r="C11" s="67" t="e">
        <f>Norms!#REF!</f>
        <v>#REF!</v>
      </c>
      <c r="D11" s="67" t="e">
        <f>Norms!#REF!</f>
        <v>#REF!</v>
      </c>
      <c r="E11" s="67" t="e">
        <f>Norms!#REF!</f>
        <v>#REF!</v>
      </c>
      <c r="F11" s="67" t="e">
        <f>Norms!#REF!</f>
        <v>#REF!</v>
      </c>
      <c r="G11" s="67" t="e">
        <f>Norms!#REF!</f>
        <v>#REF!</v>
      </c>
      <c r="H11" s="67" t="e">
        <f>Norms!#REF!</f>
        <v>#REF!</v>
      </c>
      <c r="I11" s="67" t="e">
        <f>Norms!#REF!</f>
        <v>#REF!</v>
      </c>
      <c r="J11" s="71" t="e">
        <f>Norms!#REF!</f>
        <v>#REF!</v>
      </c>
    </row>
    <row r="12" spans="1:12" ht="17.100000000000001" customHeight="1" x14ac:dyDescent="0.2">
      <c r="A12" s="744"/>
      <c r="B12" s="745"/>
      <c r="C12" s="745"/>
      <c r="D12" s="745"/>
      <c r="E12" s="745"/>
      <c r="F12" s="745"/>
      <c r="G12" s="745"/>
      <c r="H12" s="745"/>
      <c r="I12" s="745"/>
      <c r="J12" s="746"/>
    </row>
    <row r="13" spans="1:12" s="117" customFormat="1" ht="17.100000000000001" customHeight="1" x14ac:dyDescent="0.2">
      <c r="A13" s="38" t="s">
        <v>119</v>
      </c>
      <c r="B13" s="68" t="e">
        <f t="shared" ref="B13:J13" si="2">SUM(B10:B11)</f>
        <v>#REF!</v>
      </c>
      <c r="C13" s="68" t="e">
        <f t="shared" si="2"/>
        <v>#REF!</v>
      </c>
      <c r="D13" s="68" t="e">
        <f t="shared" si="2"/>
        <v>#REF!</v>
      </c>
      <c r="E13" s="68" t="e">
        <f t="shared" si="2"/>
        <v>#REF!</v>
      </c>
      <c r="F13" s="68" t="e">
        <f t="shared" si="2"/>
        <v>#REF!</v>
      </c>
      <c r="G13" s="68" t="e">
        <f t="shared" si="2"/>
        <v>#REF!</v>
      </c>
      <c r="H13" s="68" t="e">
        <f t="shared" si="2"/>
        <v>#REF!</v>
      </c>
      <c r="I13" s="68" t="e">
        <f t="shared" si="2"/>
        <v>#REF!</v>
      </c>
      <c r="J13" s="72" t="e">
        <f t="shared" si="2"/>
        <v>#REF!</v>
      </c>
      <c r="L13" s="118"/>
    </row>
    <row r="14" spans="1:12" ht="17.100000000000001" customHeight="1" x14ac:dyDescent="0.2">
      <c r="A14" s="744"/>
      <c r="B14" s="745"/>
      <c r="C14" s="745"/>
      <c r="D14" s="745"/>
      <c r="E14" s="745"/>
      <c r="F14" s="745"/>
      <c r="G14" s="745"/>
      <c r="H14" s="745"/>
      <c r="I14" s="745"/>
      <c r="J14" s="746"/>
    </row>
    <row r="15" spans="1:12" s="117" customFormat="1" ht="17.100000000000001" customHeight="1" x14ac:dyDescent="0.2">
      <c r="A15" s="69" t="s">
        <v>120</v>
      </c>
      <c r="B15" s="68" t="e">
        <f t="shared" ref="B15:J15" si="3">+B8/B13</f>
        <v>#REF!</v>
      </c>
      <c r="C15" s="68" t="e">
        <f t="shared" si="3"/>
        <v>#REF!</v>
      </c>
      <c r="D15" s="68" t="e">
        <f t="shared" si="3"/>
        <v>#REF!</v>
      </c>
      <c r="E15" s="68" t="e">
        <f t="shared" si="3"/>
        <v>#REF!</v>
      </c>
      <c r="F15" s="68" t="e">
        <f t="shared" si="3"/>
        <v>#REF!</v>
      </c>
      <c r="G15" s="68" t="e">
        <f t="shared" si="3"/>
        <v>#REF!</v>
      </c>
      <c r="H15" s="68" t="e">
        <f t="shared" si="3"/>
        <v>#REF!</v>
      </c>
      <c r="I15" s="68" t="e">
        <f t="shared" si="3"/>
        <v>#REF!</v>
      </c>
      <c r="J15" s="72" t="e">
        <f t="shared" si="3"/>
        <v>#REF!</v>
      </c>
    </row>
    <row r="16" spans="1:12" ht="17.100000000000001" customHeight="1" x14ac:dyDescent="0.2">
      <c r="A16" s="744"/>
      <c r="B16" s="745"/>
      <c r="C16" s="745"/>
      <c r="D16" s="745"/>
      <c r="E16" s="745"/>
      <c r="F16" s="745"/>
      <c r="G16" s="745"/>
      <c r="H16" s="745"/>
      <c r="I16" s="745"/>
      <c r="J16" s="746"/>
    </row>
    <row r="17" spans="1:10" ht="17.100000000000001" customHeight="1" x14ac:dyDescent="0.2">
      <c r="A17" s="73" t="s">
        <v>83</v>
      </c>
      <c r="B17" s="74" t="e">
        <f>SUM(B8:I8)/SUM(B13:I13)</f>
        <v>#REF!</v>
      </c>
      <c r="C17" s="75"/>
      <c r="D17" s="75"/>
      <c r="E17" s="75"/>
      <c r="F17" s="75"/>
      <c r="G17" s="75"/>
      <c r="H17" s="75"/>
      <c r="I17" s="75"/>
      <c r="J17" s="76"/>
    </row>
    <row r="18" spans="1:10" ht="17.100000000000001" customHeight="1" x14ac:dyDescent="0.2">
      <c r="A18" s="119"/>
      <c r="B18" s="119"/>
      <c r="C18" s="119"/>
      <c r="D18" s="119"/>
      <c r="E18" s="119"/>
      <c r="F18" s="119"/>
      <c r="G18" s="119"/>
      <c r="H18" s="119"/>
      <c r="I18" s="119"/>
      <c r="J18" s="119"/>
    </row>
    <row r="21" spans="1:10" x14ac:dyDescent="0.2">
      <c r="B21" s="120"/>
      <c r="D21" s="121"/>
      <c r="E21" s="121"/>
      <c r="F21" s="121"/>
      <c r="G21" s="121"/>
      <c r="H21" s="121"/>
      <c r="I21" s="121"/>
      <c r="J21" s="121"/>
    </row>
    <row r="22" spans="1:10" x14ac:dyDescent="0.2">
      <c r="D22" s="121"/>
      <c r="E22" s="121"/>
      <c r="F22" s="121"/>
      <c r="G22" s="121"/>
      <c r="H22" s="121"/>
      <c r="I22" s="121"/>
      <c r="J22" s="121"/>
    </row>
    <row r="23" spans="1:10" x14ac:dyDescent="0.2">
      <c r="D23" s="121"/>
      <c r="E23" s="121"/>
      <c r="F23" s="121"/>
      <c r="G23" s="121"/>
      <c r="H23" s="121"/>
      <c r="I23" s="121"/>
      <c r="J23" s="121"/>
    </row>
    <row r="24" spans="1:10" x14ac:dyDescent="0.2">
      <c r="D24" s="121"/>
      <c r="E24" s="121"/>
      <c r="F24" s="121"/>
      <c r="G24" s="121"/>
      <c r="H24" s="121"/>
      <c r="I24" s="121"/>
      <c r="J24" s="121"/>
    </row>
    <row r="25" spans="1:10" x14ac:dyDescent="0.2">
      <c r="D25" s="121"/>
      <c r="E25" s="121"/>
      <c r="F25" s="121"/>
      <c r="G25" s="121"/>
      <c r="H25" s="121"/>
      <c r="I25" s="121"/>
      <c r="J25" s="121"/>
    </row>
    <row r="26" spans="1:10" x14ac:dyDescent="0.2">
      <c r="D26" s="121"/>
      <c r="E26" s="121"/>
      <c r="F26" s="121"/>
      <c r="G26" s="121"/>
      <c r="H26" s="121"/>
      <c r="I26" s="121"/>
      <c r="J26" s="121"/>
    </row>
    <row r="27" spans="1:10" x14ac:dyDescent="0.2">
      <c r="D27" s="121"/>
      <c r="E27" s="121"/>
      <c r="F27" s="121"/>
      <c r="G27" s="121"/>
      <c r="H27" s="121"/>
      <c r="I27" s="121"/>
      <c r="J27" s="121"/>
    </row>
    <row r="28" spans="1:10" x14ac:dyDescent="0.2">
      <c r="D28" s="121"/>
      <c r="E28" s="121"/>
      <c r="F28" s="121"/>
      <c r="G28" s="121"/>
      <c r="H28" s="121"/>
      <c r="I28" s="121"/>
      <c r="J28" s="121"/>
    </row>
    <row r="29" spans="1:10" x14ac:dyDescent="0.2">
      <c r="D29" s="121"/>
      <c r="E29" s="121"/>
      <c r="F29" s="121"/>
      <c r="G29" s="121"/>
      <c r="H29" s="121"/>
      <c r="I29" s="121"/>
      <c r="J29" s="121"/>
    </row>
    <row r="30" spans="1:10" x14ac:dyDescent="0.2">
      <c r="D30" s="121"/>
      <c r="E30" s="121"/>
      <c r="F30" s="121"/>
      <c r="G30" s="121"/>
      <c r="H30" s="121"/>
      <c r="I30" s="121"/>
      <c r="J30" s="121"/>
    </row>
    <row r="31" spans="1:10" x14ac:dyDescent="0.2">
      <c r="D31" s="121"/>
      <c r="E31" s="121"/>
      <c r="F31" s="121"/>
      <c r="G31" s="121"/>
      <c r="H31" s="121"/>
      <c r="I31" s="121"/>
      <c r="J31" s="121"/>
    </row>
    <row r="32" spans="1:10" x14ac:dyDescent="0.2">
      <c r="D32" s="121"/>
      <c r="E32" s="121"/>
      <c r="F32" s="121"/>
      <c r="G32" s="121"/>
      <c r="H32" s="121"/>
      <c r="I32" s="121"/>
      <c r="J32" s="121"/>
    </row>
    <row r="33" spans="4:10" x14ac:dyDescent="0.2">
      <c r="D33" s="121"/>
      <c r="E33" s="121"/>
      <c r="F33" s="121"/>
      <c r="G33" s="121"/>
      <c r="H33" s="121"/>
      <c r="I33" s="121"/>
      <c r="J33" s="121"/>
    </row>
    <row r="34" spans="4:10" x14ac:dyDescent="0.2">
      <c r="D34" s="121"/>
      <c r="E34" s="121"/>
      <c r="F34" s="121"/>
      <c r="G34" s="121"/>
      <c r="H34" s="121"/>
      <c r="I34" s="121"/>
      <c r="J34" s="121"/>
    </row>
    <row r="35" spans="4:10" x14ac:dyDescent="0.2">
      <c r="D35" s="121"/>
      <c r="E35" s="121"/>
      <c r="F35" s="121"/>
      <c r="G35" s="121"/>
      <c r="H35" s="121"/>
      <c r="I35" s="121"/>
      <c r="J35" s="121"/>
    </row>
    <row r="36" spans="4:10" x14ac:dyDescent="0.2">
      <c r="D36" s="121"/>
      <c r="E36" s="121"/>
      <c r="F36" s="121"/>
      <c r="G36" s="121"/>
      <c r="H36" s="121"/>
      <c r="I36" s="121"/>
      <c r="J36" s="121"/>
    </row>
    <row r="37" spans="4:10" x14ac:dyDescent="0.2">
      <c r="D37" s="121"/>
      <c r="E37" s="121"/>
      <c r="F37" s="121"/>
      <c r="G37" s="121"/>
      <c r="H37" s="121"/>
      <c r="I37" s="121"/>
      <c r="J37" s="121"/>
    </row>
    <row r="38" spans="4:10" x14ac:dyDescent="0.2">
      <c r="D38" s="121"/>
      <c r="E38" s="121"/>
      <c r="F38" s="121"/>
      <c r="G38" s="121"/>
      <c r="H38" s="121"/>
      <c r="I38" s="121"/>
      <c r="J38" s="121"/>
    </row>
    <row r="39" spans="4:10" x14ac:dyDescent="0.2">
      <c r="D39" s="121"/>
      <c r="E39" s="121"/>
      <c r="F39" s="121"/>
      <c r="G39" s="121"/>
      <c r="H39" s="121"/>
      <c r="I39" s="121"/>
      <c r="J39" s="121"/>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U119"/>
  <sheetViews>
    <sheetView showGridLines="0" zoomScale="90" zoomScaleNormal="100" workbookViewId="0">
      <pane ySplit="8" topLeftCell="A15" activePane="bottomLeft" state="frozen"/>
      <selection activeCell="E28" sqref="E28"/>
      <selection pane="bottomLeft" activeCell="R30" sqref="R30"/>
    </sheetView>
  </sheetViews>
  <sheetFormatPr defaultColWidth="8.7109375" defaultRowHeight="12.75" x14ac:dyDescent="0.2"/>
  <cols>
    <col min="1" max="1" width="8.85546875" style="93" bestFit="1" customWidth="1"/>
    <col min="2" max="2" width="60.7109375" style="94" customWidth="1"/>
    <col min="3" max="3" width="8.7109375" style="94" customWidth="1"/>
    <col min="4" max="4" width="16.28515625" style="94" customWidth="1"/>
    <col min="5" max="5" width="11.140625" style="94" customWidth="1"/>
    <col min="6" max="6" width="18" style="95" bestFit="1" customWidth="1"/>
    <col min="7" max="7" width="17.140625" style="95" customWidth="1"/>
    <col min="8" max="8" width="18.5703125" style="95" bestFit="1" customWidth="1"/>
    <col min="9" max="9" width="18.7109375" style="95" bestFit="1" customWidth="1"/>
    <col min="10" max="10" width="18.5703125" style="95" bestFit="1" customWidth="1"/>
    <col min="11" max="12" width="18.7109375" style="95" bestFit="1" customWidth="1"/>
    <col min="13" max="16" width="18.5703125" style="95" customWidth="1"/>
    <col min="17" max="18" width="18.5703125" style="9" customWidth="1"/>
    <col min="19" max="20" width="18.5703125" style="94" hidden="1" customWidth="1"/>
    <col min="21" max="16384" width="8.7109375" style="94"/>
  </cols>
  <sheetData>
    <row r="1" spans="1:20" ht="21" customHeight="1" x14ac:dyDescent="0.2">
      <c r="A1" s="711" t="s">
        <v>286</v>
      </c>
      <c r="B1" s="712"/>
      <c r="C1" s="712"/>
      <c r="D1" s="712"/>
      <c r="E1" s="66"/>
      <c r="F1" s="66"/>
      <c r="G1" s="66"/>
      <c r="H1" s="66"/>
      <c r="I1" s="66"/>
      <c r="J1" s="66"/>
      <c r="K1" s="66"/>
      <c r="L1" s="66"/>
      <c r="M1" s="66"/>
      <c r="N1" s="66"/>
      <c r="O1" s="66"/>
      <c r="P1" s="66"/>
      <c r="Q1" s="66"/>
      <c r="R1" s="66"/>
      <c r="S1" s="66"/>
      <c r="T1" s="66"/>
    </row>
    <row r="2" spans="1:20" s="97" customFormat="1" ht="15" customHeight="1" x14ac:dyDescent="0.2">
      <c r="A2" s="711" t="s">
        <v>125</v>
      </c>
      <c r="B2" s="712"/>
      <c r="C2" s="109">
        <v>1</v>
      </c>
      <c r="D2" s="109">
        <v>2</v>
      </c>
      <c r="E2" s="109"/>
      <c r="F2" s="109">
        <v>3</v>
      </c>
      <c r="G2" s="109">
        <v>4</v>
      </c>
      <c r="H2" s="109">
        <v>5</v>
      </c>
      <c r="I2" s="109">
        <v>6</v>
      </c>
      <c r="J2" s="109">
        <v>7</v>
      </c>
      <c r="K2" s="109">
        <v>8</v>
      </c>
      <c r="L2" s="109">
        <v>9</v>
      </c>
      <c r="M2" s="109">
        <v>10</v>
      </c>
      <c r="N2" s="109">
        <v>11</v>
      </c>
      <c r="O2" s="109">
        <v>12</v>
      </c>
      <c r="P2" s="109">
        <v>13</v>
      </c>
      <c r="Q2" s="109">
        <v>14</v>
      </c>
      <c r="R2" s="109">
        <v>15</v>
      </c>
      <c r="S2" s="109">
        <v>16</v>
      </c>
      <c r="T2" s="109">
        <v>17</v>
      </c>
    </row>
    <row r="3" spans="1:20" s="97" customFormat="1" ht="15" customHeight="1" x14ac:dyDescent="0.2">
      <c r="A3" s="753" t="s">
        <v>53</v>
      </c>
      <c r="B3" s="754"/>
      <c r="C3" s="14"/>
      <c r="D3" s="14"/>
      <c r="E3" s="14"/>
      <c r="F3" s="291">
        <v>0.7</v>
      </c>
      <c r="G3" s="291">
        <v>0.8</v>
      </c>
      <c r="H3" s="291">
        <v>0.95</v>
      </c>
      <c r="I3" s="291">
        <v>0.95</v>
      </c>
      <c r="J3" s="291">
        <v>0.95</v>
      </c>
      <c r="K3" s="291">
        <v>0.95</v>
      </c>
      <c r="L3" s="291">
        <v>0.95</v>
      </c>
      <c r="M3" s="291">
        <v>0.95</v>
      </c>
      <c r="N3" s="291">
        <v>0.95</v>
      </c>
      <c r="O3" s="291">
        <v>0.95</v>
      </c>
      <c r="P3" s="291">
        <v>0.95</v>
      </c>
      <c r="Q3" s="291">
        <v>0.95</v>
      </c>
      <c r="R3" s="291">
        <v>0.95</v>
      </c>
      <c r="S3" s="291">
        <v>0.95</v>
      </c>
      <c r="T3" s="291">
        <v>0.95</v>
      </c>
    </row>
    <row r="4" spans="1:20" ht="15" customHeight="1" x14ac:dyDescent="0.2">
      <c r="A4" s="751" t="s">
        <v>6</v>
      </c>
      <c r="B4" s="752"/>
      <c r="C4" s="156"/>
      <c r="D4" s="156"/>
      <c r="E4" s="112"/>
      <c r="F4" s="748" t="s">
        <v>7</v>
      </c>
      <c r="G4" s="748"/>
      <c r="H4" s="748"/>
      <c r="I4" s="748"/>
      <c r="J4" s="748"/>
      <c r="K4" s="748"/>
      <c r="L4" s="748"/>
      <c r="M4" s="748"/>
      <c r="N4" s="748"/>
      <c r="O4" s="748"/>
      <c r="P4" s="748"/>
      <c r="Q4" s="748"/>
      <c r="R4" s="748"/>
      <c r="S4" s="748"/>
      <c r="T4" s="748"/>
    </row>
    <row r="5" spans="1:20" x14ac:dyDescent="0.2">
      <c r="A5" s="392"/>
      <c r="B5" s="749"/>
      <c r="C5" s="393">
        <v>2023</v>
      </c>
      <c r="D5" s="393">
        <v>2024</v>
      </c>
      <c r="E5" s="393" t="s">
        <v>47</v>
      </c>
      <c r="F5" s="393">
        <v>2025</v>
      </c>
      <c r="G5" s="393">
        <v>2026</v>
      </c>
      <c r="H5" s="393">
        <v>2027</v>
      </c>
      <c r="I5" s="393">
        <v>2028</v>
      </c>
      <c r="J5" s="393">
        <v>2029</v>
      </c>
      <c r="K5" s="393">
        <v>2030</v>
      </c>
      <c r="L5" s="393">
        <v>2031</v>
      </c>
      <c r="M5" s="113">
        <v>2032</v>
      </c>
      <c r="N5" s="113">
        <v>2033</v>
      </c>
      <c r="O5" s="113">
        <v>2034</v>
      </c>
      <c r="P5" s="113">
        <v>2035</v>
      </c>
      <c r="Q5" s="113">
        <v>2036</v>
      </c>
      <c r="R5" s="113">
        <v>2037</v>
      </c>
      <c r="S5" s="113">
        <v>2038</v>
      </c>
      <c r="T5" s="113">
        <v>2039</v>
      </c>
    </row>
    <row r="6" spans="1:20" x14ac:dyDescent="0.2">
      <c r="A6" s="392"/>
      <c r="B6" s="749"/>
      <c r="C6" s="551">
        <v>0.5</v>
      </c>
      <c r="D6" s="551">
        <v>0.5</v>
      </c>
      <c r="E6" s="394"/>
      <c r="F6" s="395"/>
      <c r="G6" s="395"/>
      <c r="H6" s="395"/>
      <c r="I6" s="395"/>
      <c r="J6" s="395"/>
      <c r="K6" s="395"/>
      <c r="L6" s="396"/>
      <c r="M6" s="110"/>
      <c r="N6" s="111"/>
      <c r="O6" s="110"/>
      <c r="P6" s="114"/>
      <c r="Q6" s="114"/>
      <c r="R6" s="114"/>
      <c r="S6" s="114"/>
      <c r="T6" s="114"/>
    </row>
    <row r="7" spans="1:20" x14ac:dyDescent="0.2">
      <c r="A7" s="750" t="s">
        <v>57</v>
      </c>
      <c r="B7" s="750"/>
      <c r="C7" s="750"/>
      <c r="D7" s="750"/>
      <c r="E7" s="750"/>
      <c r="F7" s="397"/>
      <c r="G7" s="397"/>
      <c r="H7" s="397"/>
      <c r="I7" s="397"/>
      <c r="J7" s="397"/>
      <c r="K7" s="397"/>
      <c r="L7" s="398"/>
      <c r="M7" s="397"/>
      <c r="N7" s="398"/>
      <c r="O7" s="397"/>
      <c r="P7" s="419"/>
      <c r="Q7" s="419"/>
      <c r="R7" s="419"/>
      <c r="S7" s="15"/>
      <c r="T7" s="15"/>
    </row>
    <row r="8" spans="1:20" x14ac:dyDescent="0.2">
      <c r="A8" s="264">
        <v>1</v>
      </c>
      <c r="B8" s="399" t="s">
        <v>55</v>
      </c>
      <c r="C8" s="400">
        <f>ROUND($E8*C$6,2)</f>
        <v>313.57</v>
      </c>
      <c r="D8" s="400">
        <f>ROUND($E8*D$6,2)</f>
        <v>313.57</v>
      </c>
      <c r="E8" s="401">
        <f>Capex!B14</f>
        <v>627.13607816062506</v>
      </c>
      <c r="F8" s="402"/>
      <c r="G8" s="403"/>
      <c r="H8" s="404"/>
      <c r="I8" s="404"/>
      <c r="J8" s="404"/>
      <c r="K8" s="404"/>
      <c r="L8" s="405"/>
      <c r="M8" s="404"/>
      <c r="N8" s="404"/>
      <c r="O8" s="404"/>
      <c r="P8" s="142"/>
      <c r="Q8" s="142"/>
      <c r="R8" s="142"/>
      <c r="S8" s="16"/>
      <c r="T8" s="16"/>
    </row>
    <row r="9" spans="1:20" s="97" customFormat="1" x14ac:dyDescent="0.2">
      <c r="A9" s="264"/>
      <c r="B9" s="151" t="s">
        <v>56</v>
      </c>
      <c r="C9" s="406">
        <f>SUM(C8:C8)</f>
        <v>313.57</v>
      </c>
      <c r="D9" s="406">
        <f>SUM(D8:D8)</f>
        <v>313.57</v>
      </c>
      <c r="E9" s="407">
        <f>-E8</f>
        <v>-627.13607816062506</v>
      </c>
      <c r="F9" s="142"/>
      <c r="G9" s="142"/>
      <c r="H9" s="142"/>
      <c r="I9" s="142"/>
      <c r="J9" s="142"/>
      <c r="K9" s="142"/>
      <c r="L9" s="408"/>
      <c r="M9" s="408"/>
      <c r="N9" s="408"/>
      <c r="O9" s="408"/>
      <c r="P9" s="420"/>
      <c r="Q9" s="420"/>
      <c r="R9" s="420"/>
      <c r="S9" s="18"/>
      <c r="T9" s="18"/>
    </row>
    <row r="10" spans="1:20" s="97" customFormat="1" x14ac:dyDescent="0.2">
      <c r="A10" s="142"/>
      <c r="B10" s="142"/>
      <c r="C10" s="142"/>
      <c r="D10" s="142"/>
      <c r="E10" s="142"/>
      <c r="F10" s="142"/>
      <c r="G10" s="142"/>
      <c r="H10" s="142"/>
      <c r="I10" s="142"/>
      <c r="J10" s="142"/>
      <c r="K10" s="142"/>
      <c r="L10" s="408"/>
      <c r="M10" s="408"/>
      <c r="N10" s="408"/>
      <c r="O10" s="408"/>
      <c r="P10" s="420"/>
      <c r="Q10" s="420"/>
      <c r="R10" s="420"/>
      <c r="S10" s="298"/>
      <c r="T10" s="298"/>
    </row>
    <row r="11" spans="1:20" s="317" customFormat="1" ht="25.5" customHeight="1" x14ac:dyDescent="0.2">
      <c r="A11" s="409"/>
      <c r="B11" s="520" t="s">
        <v>491</v>
      </c>
      <c r="C11" s="520"/>
      <c r="D11" s="520"/>
      <c r="E11" s="520"/>
      <c r="F11" s="552">
        <f>Opex!D4-Opex!D22*Norms!$D$5</f>
        <v>2659.9999999999927</v>
      </c>
      <c r="G11" s="552">
        <f>Opex!E4-Opex!E22*Norms!$D$5</f>
        <v>3040</v>
      </c>
      <c r="H11" s="552">
        <f>Opex!F4-Opex!F22*Norms!$D$5</f>
        <v>3610</v>
      </c>
      <c r="I11" s="552">
        <f>Opex!G4-Opex!G22*Norms!$D$5</f>
        <v>3610</v>
      </c>
      <c r="J11" s="552">
        <f>Opex!H4-Opex!H22*Norms!$D$5</f>
        <v>3610</v>
      </c>
      <c r="K11" s="552">
        <f>Opex!I4-Opex!I22*Norms!$D$5</f>
        <v>3610</v>
      </c>
      <c r="L11" s="552">
        <f>Opex!J4-Opex!J22*Norms!$D$5</f>
        <v>3610</v>
      </c>
      <c r="M11" s="552">
        <f>Opex!K4-Opex!K22*Norms!$D$5</f>
        <v>3610</v>
      </c>
      <c r="N11" s="552">
        <f>Opex!L4-Opex!L22*Norms!$D$5</f>
        <v>3610</v>
      </c>
      <c r="O11" s="552">
        <f>Opex!M4-Opex!M22*Norms!$D$5</f>
        <v>3610</v>
      </c>
      <c r="P11" s="552">
        <f>Opex!N4-Opex!N22*Norms!$D$5</f>
        <v>3610</v>
      </c>
      <c r="Q11" s="552">
        <f>Opex!O4-Opex!O22*Norms!$D$5</f>
        <v>3610</v>
      </c>
      <c r="R11" s="552">
        <f>Opex!P4-Opex!P22*Norms!$D$5</f>
        <v>3610</v>
      </c>
      <c r="S11" s="318">
        <f>Opex!Q4-Opex!Q22*Norms!$D$5</f>
        <v>3610</v>
      </c>
      <c r="T11" s="318">
        <f>Opex!R4-Opex!R22*Norms!$D$5</f>
        <v>3610</v>
      </c>
    </row>
    <row r="12" spans="1:20" x14ac:dyDescent="0.2">
      <c r="A12" s="348">
        <v>1</v>
      </c>
      <c r="B12" s="412" t="s">
        <v>8</v>
      </c>
      <c r="C12" s="381" t="s">
        <v>541</v>
      </c>
      <c r="D12" s="413"/>
      <c r="E12" s="414"/>
      <c r="F12" s="408">
        <f>F14+F15-F13</f>
        <v>273.75443200000001</v>
      </c>
      <c r="G12" s="408">
        <f t="shared" ref="G12:R12" si="0">G14+G15-G13</f>
        <v>312.86220800000001</v>
      </c>
      <c r="H12" s="408">
        <f t="shared" si="0"/>
        <v>371.52387199999998</v>
      </c>
      <c r="I12" s="408">
        <f t="shared" si="0"/>
        <v>371.52387199999998</v>
      </c>
      <c r="J12" s="408">
        <f t="shared" si="0"/>
        <v>371.52387199999998</v>
      </c>
      <c r="K12" s="408">
        <f t="shared" si="0"/>
        <v>371.52387199999998</v>
      </c>
      <c r="L12" s="408">
        <f t="shared" si="0"/>
        <v>371.52387199999998</v>
      </c>
      <c r="M12" s="408">
        <f t="shared" si="0"/>
        <v>371.52387199999998</v>
      </c>
      <c r="N12" s="408">
        <f t="shared" si="0"/>
        <v>371.52387199999998</v>
      </c>
      <c r="O12" s="408">
        <f t="shared" si="0"/>
        <v>371.52387199999998</v>
      </c>
      <c r="P12" s="408">
        <f t="shared" si="0"/>
        <v>371.52387199999998</v>
      </c>
      <c r="Q12" s="408">
        <f t="shared" si="0"/>
        <v>363.71073541796875</v>
      </c>
      <c r="R12" s="408">
        <f t="shared" si="0"/>
        <v>363.71073541796875</v>
      </c>
      <c r="S12" s="19">
        <f t="shared" ref="S12:T12" si="1">S14+S15</f>
        <v>371.52387199999998</v>
      </c>
      <c r="T12" s="19">
        <f t="shared" si="1"/>
        <v>371.52387199999998</v>
      </c>
    </row>
    <row r="13" spans="1:20" x14ac:dyDescent="0.2">
      <c r="A13" s="411"/>
      <c r="B13" s="412" t="s">
        <v>570</v>
      </c>
      <c r="C13" s="381" t="s">
        <v>541</v>
      </c>
      <c r="D13" s="413"/>
      <c r="E13" s="414"/>
      <c r="F13" s="408">
        <f>'ITC-GST'!D25</f>
        <v>0</v>
      </c>
      <c r="G13" s="408">
        <f>'ITC-GST'!E25</f>
        <v>0</v>
      </c>
      <c r="H13" s="408">
        <f>'ITC-GST'!F25</f>
        <v>0</v>
      </c>
      <c r="I13" s="408">
        <f>'ITC-GST'!G25</f>
        <v>0</v>
      </c>
      <c r="J13" s="408">
        <f>'ITC-GST'!H25</f>
        <v>0</v>
      </c>
      <c r="K13" s="408">
        <f>'ITC-GST'!I25</f>
        <v>0</v>
      </c>
      <c r="L13" s="408">
        <f>'ITC-GST'!J25</f>
        <v>0</v>
      </c>
      <c r="M13" s="408">
        <f>'ITC-GST'!K25</f>
        <v>0</v>
      </c>
      <c r="N13" s="408">
        <f>'ITC-GST'!L25</f>
        <v>0</v>
      </c>
      <c r="O13" s="408">
        <f>'ITC-GST'!M25</f>
        <v>0</v>
      </c>
      <c r="P13" s="408">
        <f>'ITC-GST'!N25</f>
        <v>0</v>
      </c>
      <c r="Q13" s="408">
        <f>'ITC-GST'!O25</f>
        <v>7.8131365820312499</v>
      </c>
      <c r="R13" s="408">
        <f>'ITC-GST'!P25</f>
        <v>7.8131365820312499</v>
      </c>
      <c r="S13" s="297"/>
      <c r="T13" s="297"/>
    </row>
    <row r="14" spans="1:20" s="317" customFormat="1" x14ac:dyDescent="0.2">
      <c r="A14" s="411"/>
      <c r="B14" s="348" t="s">
        <v>134</v>
      </c>
      <c r="C14" s="411"/>
      <c r="D14" s="411"/>
      <c r="E14" s="553">
        <f>Norms!C35</f>
        <v>20652</v>
      </c>
      <c r="F14" s="532">
        <f>F11*$E$14/10^7</f>
        <v>5.4934319999999852</v>
      </c>
      <c r="G14" s="532">
        <f>G11*$E$14/10^7</f>
        <v>6.2782080000000002</v>
      </c>
      <c r="H14" s="532">
        <f>H11*$E$14/10^7</f>
        <v>7.4553719999999997</v>
      </c>
      <c r="I14" s="532">
        <f t="shared" ref="I14:T14" si="2">I11*$E$14/10^7</f>
        <v>7.4553719999999997</v>
      </c>
      <c r="J14" s="532">
        <f t="shared" si="2"/>
        <v>7.4553719999999997</v>
      </c>
      <c r="K14" s="532">
        <f t="shared" si="2"/>
        <v>7.4553719999999997</v>
      </c>
      <c r="L14" s="532">
        <f t="shared" si="2"/>
        <v>7.4553719999999997</v>
      </c>
      <c r="M14" s="532">
        <f t="shared" si="2"/>
        <v>7.4553719999999997</v>
      </c>
      <c r="N14" s="532">
        <f t="shared" si="2"/>
        <v>7.4553719999999997</v>
      </c>
      <c r="O14" s="532">
        <f t="shared" si="2"/>
        <v>7.4553719999999997</v>
      </c>
      <c r="P14" s="532">
        <f t="shared" si="2"/>
        <v>7.4553719999999997</v>
      </c>
      <c r="Q14" s="532">
        <f t="shared" si="2"/>
        <v>7.4553719999999997</v>
      </c>
      <c r="R14" s="532">
        <f t="shared" si="2"/>
        <v>7.4553719999999997</v>
      </c>
      <c r="S14" s="296">
        <f t="shared" si="2"/>
        <v>7.4553719999999997</v>
      </c>
      <c r="T14" s="296">
        <f t="shared" si="2"/>
        <v>7.4553719999999997</v>
      </c>
    </row>
    <row r="15" spans="1:20" s="317" customFormat="1" x14ac:dyDescent="0.2">
      <c r="A15" s="411"/>
      <c r="B15" s="348" t="s">
        <v>177</v>
      </c>
      <c r="C15" s="411"/>
      <c r="D15" s="411"/>
      <c r="E15" s="553">
        <f>Norms!C39</f>
        <v>38323</v>
      </c>
      <c r="F15" s="532">
        <f>Opex!D22*'Cashflow '!$E$15/10^7</f>
        <v>268.26100000000002</v>
      </c>
      <c r="G15" s="532">
        <f>Opex!E22*'Cashflow '!$E$15/10^7</f>
        <v>306.584</v>
      </c>
      <c r="H15" s="532">
        <f>Opex!F22*'Cashflow '!$E$15/10^7</f>
        <v>364.06849999999997</v>
      </c>
      <c r="I15" s="532">
        <f>Opex!G22*'Cashflow '!$E$15/10^7</f>
        <v>364.06849999999997</v>
      </c>
      <c r="J15" s="532">
        <f>Opex!H22*'Cashflow '!$E$15/10^7</f>
        <v>364.06849999999997</v>
      </c>
      <c r="K15" s="532">
        <f>Opex!I22*'Cashflow '!$E$15/10^7</f>
        <v>364.06849999999997</v>
      </c>
      <c r="L15" s="532">
        <f>Opex!J22*'Cashflow '!$E$15/10^7</f>
        <v>364.06849999999997</v>
      </c>
      <c r="M15" s="532">
        <f>Opex!K22*'Cashflow '!$E$15/10^7</f>
        <v>364.06849999999997</v>
      </c>
      <c r="N15" s="532">
        <f>Opex!L22*'Cashflow '!$E$15/10^7</f>
        <v>364.06849999999997</v>
      </c>
      <c r="O15" s="532">
        <f>Opex!M22*'Cashflow '!$E$15/10^7</f>
        <v>364.06849999999997</v>
      </c>
      <c r="P15" s="532">
        <f>Opex!N22*'Cashflow '!$E$15/10^7</f>
        <v>364.06849999999997</v>
      </c>
      <c r="Q15" s="532">
        <f>Opex!O22*'Cashflow '!$E$15/10^7</f>
        <v>364.06849999999997</v>
      </c>
      <c r="R15" s="532">
        <f>Opex!P22*'Cashflow '!$E$15/10^7</f>
        <v>364.06849999999997</v>
      </c>
      <c r="S15" s="296">
        <f>Opex!Q22*'Cashflow '!$E$15/10^7</f>
        <v>364.06849999999997</v>
      </c>
      <c r="T15" s="296">
        <f>Opex!R22*'Cashflow '!$E$15/10^7</f>
        <v>364.06849999999997</v>
      </c>
    </row>
    <row r="16" spans="1:20" x14ac:dyDescent="0.2">
      <c r="A16" s="348"/>
      <c r="B16" s="554"/>
      <c r="C16" s="415"/>
      <c r="D16" s="415"/>
      <c r="E16" s="416"/>
      <c r="F16" s="417"/>
      <c r="G16" s="417"/>
      <c r="H16" s="417"/>
      <c r="I16" s="417"/>
      <c r="J16" s="417"/>
      <c r="K16" s="417"/>
      <c r="L16" s="417"/>
      <c r="M16" s="417"/>
      <c r="N16" s="417"/>
      <c r="O16" s="417"/>
      <c r="P16" s="417"/>
      <c r="Q16" s="417"/>
      <c r="R16" s="417"/>
      <c r="S16" s="23"/>
      <c r="T16" s="23"/>
    </row>
    <row r="17" spans="1:20" x14ac:dyDescent="0.2">
      <c r="A17" s="348">
        <v>2</v>
      </c>
      <c r="B17" s="381" t="s">
        <v>35</v>
      </c>
      <c r="C17" s="412"/>
      <c r="D17" s="412"/>
      <c r="E17" s="416"/>
      <c r="F17" s="404"/>
      <c r="G17" s="404"/>
      <c r="H17" s="404"/>
      <c r="I17" s="404"/>
      <c r="J17" s="404"/>
      <c r="K17" s="404"/>
      <c r="L17" s="404"/>
      <c r="M17" s="404"/>
      <c r="N17" s="404"/>
      <c r="O17" s="404"/>
      <c r="P17" s="142"/>
      <c r="Q17" s="142"/>
      <c r="R17" s="142"/>
      <c r="S17" s="16"/>
      <c r="T17" s="16"/>
    </row>
    <row r="18" spans="1:20" x14ac:dyDescent="0.2">
      <c r="A18" s="348"/>
      <c r="B18" s="348" t="s">
        <v>492</v>
      </c>
      <c r="C18" s="264"/>
      <c r="D18" s="264"/>
      <c r="E18" s="418">
        <f>H18/$H$20</f>
        <v>0.90119608098302706</v>
      </c>
      <c r="F18" s="404">
        <f>Opex!D6+Opex!D23</f>
        <v>123.48752948437499</v>
      </c>
      <c r="G18" s="404">
        <f>IF(G$2&lt;=$C$117,0,(Opex!E6+Opex!E23)*G$3*(1+$C$116)^(G$2-$C$117-1))</f>
        <v>112.90288410000001</v>
      </c>
      <c r="H18" s="404">
        <f>IF(H$2&lt;=$C$117,0,(Opex!F6+Opex!F23)*H$3*(1+$C$116)^(H$2-$C$117-1))</f>
        <v>159.21070765664064</v>
      </c>
      <c r="I18" s="404">
        <f>IF(I$2&lt;=$C$117,0,(Opex!G6+Opex!G23)*I$3*(1+$C$116)^(I$2-$C$117-1))</f>
        <v>159.21070765664064</v>
      </c>
      <c r="J18" s="404">
        <f>IF(J$2&lt;=$C$117,0,(Opex!H6+Opex!H23)*J$3*(1+$C$116)^(J$2-$C$117-1))</f>
        <v>159.21070765664064</v>
      </c>
      <c r="K18" s="404">
        <f>IF(K$2&lt;=$C$117,0,(Opex!I6+Opex!I23)*K$3*(1+$C$116)^(K$2-$C$117-1))</f>
        <v>159.21070765664064</v>
      </c>
      <c r="L18" s="404">
        <f>IF(L$2&lt;=$C$117,0,(Opex!J6+Opex!J23)*L$3*(1+$C$116)^(L$2-$C$117-1))</f>
        <v>159.21070765664064</v>
      </c>
      <c r="M18" s="404">
        <f>IF(M$2&lt;=$C$117,0,(Opex!K6+Opex!K23)*M$3*(1+$C$116)^(M$2-$C$117-1))</f>
        <v>159.21070765664064</v>
      </c>
      <c r="N18" s="404">
        <f>IF(N$2&lt;=$C$117,0,(Opex!L6+Opex!L23)*N$3*(1+$C$116)^(N$2-$C$117-1))</f>
        <v>159.21070765664064</v>
      </c>
      <c r="O18" s="404">
        <f>IF(O$2&lt;=$C$117,0,(Opex!M6+Opex!M23)*O$3*(1+$C$116)^(O$2-$C$117-1))</f>
        <v>159.21070765664064</v>
      </c>
      <c r="P18" s="404">
        <f>IF(P$2&lt;=$C$117,0,(Opex!N6+Opex!N23)*P$3*(1+$C$116)^(P$2-$C$117-1))</f>
        <v>159.21070765664064</v>
      </c>
      <c r="Q18" s="404">
        <f>IF(Q$2&lt;=$C$117,0,(Opex!O6+Opex!O23)*Q$3*(1+$C$116)^(Q$2-$C$117-1))</f>
        <v>159.21070765664064</v>
      </c>
      <c r="R18" s="404">
        <f>IF(R$2&lt;=$C$117,0,(Opex!P6+Opex!P23)*R$3*(1+$C$116)^(R$2-$C$117-1))</f>
        <v>159.21070765664064</v>
      </c>
      <c r="S18" s="21">
        <f>IF(S$2&lt;=$C$117,0,(Opex!Q6+Opex!Q23)*S$3*(1+$C$116)^(S$2-$C$117-1))</f>
        <v>159.21070765664064</v>
      </c>
      <c r="T18" s="21">
        <f>IF(T$2&lt;=$C$117,0,(Opex!R6+Opex!R23)*T$3*(1+$C$116)^(T$2-$C$117-1))</f>
        <v>159.21070765664064</v>
      </c>
    </row>
    <row r="19" spans="1:20" x14ac:dyDescent="0.2">
      <c r="A19" s="348"/>
      <c r="B19" s="348" t="s">
        <v>493</v>
      </c>
      <c r="C19" s="264"/>
      <c r="D19" s="264"/>
      <c r="E19" s="418">
        <f>H19/$H$20</f>
        <v>9.8803919016973024E-2</v>
      </c>
      <c r="F19" s="404">
        <f>Opex!D11</f>
        <v>17.848055390803125</v>
      </c>
      <c r="G19" s="404">
        <f>IF(G$2&lt;=$C$117,0,(Opex!E11)*G$3*(1+$C$116)^(G$2-$C$117-1))</f>
        <v>14.446744312642501</v>
      </c>
      <c r="H19" s="404">
        <f>IF(H$2&lt;=$C$117,0,(Opex!F11)*H$3*(1+$C$116)^(H$2-$C$117-1))</f>
        <v>17.455293246262968</v>
      </c>
      <c r="I19" s="404">
        <f>IF(I$2&lt;=$C$117,0,(Opex!G11)*I$3*(1+$C$116)^(I$2-$C$117-1))</f>
        <v>17.455293246262968</v>
      </c>
      <c r="J19" s="404">
        <f>IF(J$2&lt;=$C$117,0,(Opex!H11)*J$3*(1+$C$116)^(J$2-$C$117-1))</f>
        <v>17.455293246262968</v>
      </c>
      <c r="K19" s="404">
        <f>IF(K$2&lt;=$C$117,0,(Opex!I11)*K$3*(1+$C$116)^(K$2-$C$117-1))</f>
        <v>17.455293246262968</v>
      </c>
      <c r="L19" s="404">
        <f>IF(L$2&lt;=$C$117,0,(Opex!J11)*L$3*(1+$C$116)^(L$2-$C$117-1))</f>
        <v>17.455293246262968</v>
      </c>
      <c r="M19" s="404">
        <f>IF(M$2&lt;=$C$117,0,(Opex!K11)*M$3*(1+$C$116)^(M$2-$C$117-1))</f>
        <v>17.455293246262968</v>
      </c>
      <c r="N19" s="404">
        <f>IF(N$2&lt;=$C$117,0,(Opex!L11)*N$3*(1+$C$116)^(N$2-$C$117-1))</f>
        <v>17.455293246262968</v>
      </c>
      <c r="O19" s="404">
        <f>IF(O$2&lt;=$C$117,0,(Opex!M11)*O$3*(1+$C$116)^(O$2-$C$117-1))</f>
        <v>17.455293246262968</v>
      </c>
      <c r="P19" s="404">
        <f>IF(P$2&lt;=$C$117,0,(Opex!N11)*P$3*(1+$C$116)^(P$2-$C$117-1))</f>
        <v>17.455293246262968</v>
      </c>
      <c r="Q19" s="404">
        <f>IF(Q$2&lt;=$C$117,0,(Opex!O11)*Q$3*(1+$C$116)^(Q$2-$C$117-1))</f>
        <v>17.455293246262968</v>
      </c>
      <c r="R19" s="404">
        <f>IF(R$2&lt;=$C$117,0,(Opex!P11)*R$3*(1+$C$116)^(R$2-$C$117-1))</f>
        <v>17.455293246262968</v>
      </c>
      <c r="S19" s="21">
        <f>IF(S$2&lt;=$C$117,0,(Opex!Q11)*S$3*(1+$C$116)^(S$2-$C$117-1))</f>
        <v>17.455293246262968</v>
      </c>
      <c r="T19" s="21">
        <f>IF(T$2&lt;=$C$117,0,(Opex!R11)*T$3*(1+$C$116)^(T$2-$C$117-1))</f>
        <v>17.455293246262968</v>
      </c>
    </row>
    <row r="20" spans="1:20" s="97" customFormat="1" x14ac:dyDescent="0.2">
      <c r="A20" s="348"/>
      <c r="B20" s="381" t="s">
        <v>9</v>
      </c>
      <c r="C20" s="412"/>
      <c r="D20" s="412"/>
      <c r="E20" s="401"/>
      <c r="F20" s="408">
        <f t="shared" ref="F20:T20" si="3">SUM(F18:F19)</f>
        <v>141.33558487517811</v>
      </c>
      <c r="G20" s="408">
        <f t="shared" si="3"/>
        <v>127.34962841264252</v>
      </c>
      <c r="H20" s="408">
        <f t="shared" si="3"/>
        <v>176.66600090290359</v>
      </c>
      <c r="I20" s="408">
        <f t="shared" si="3"/>
        <v>176.66600090290359</v>
      </c>
      <c r="J20" s="408">
        <f t="shared" si="3"/>
        <v>176.66600090290359</v>
      </c>
      <c r="K20" s="408">
        <f t="shared" si="3"/>
        <v>176.66600090290359</v>
      </c>
      <c r="L20" s="408">
        <f t="shared" si="3"/>
        <v>176.66600090290359</v>
      </c>
      <c r="M20" s="408">
        <f t="shared" si="3"/>
        <v>176.66600090290359</v>
      </c>
      <c r="N20" s="408">
        <f t="shared" si="3"/>
        <v>176.66600090290359</v>
      </c>
      <c r="O20" s="408">
        <f t="shared" si="3"/>
        <v>176.66600090290359</v>
      </c>
      <c r="P20" s="408">
        <f t="shared" si="3"/>
        <v>176.66600090290359</v>
      </c>
      <c r="Q20" s="408">
        <f t="shared" si="3"/>
        <v>176.66600090290359</v>
      </c>
      <c r="R20" s="408">
        <f t="shared" si="3"/>
        <v>176.66600090290359</v>
      </c>
      <c r="S20" s="17">
        <f t="shared" si="3"/>
        <v>176.66600090290359</v>
      </c>
      <c r="T20" s="17">
        <f t="shared" si="3"/>
        <v>176.66600090290359</v>
      </c>
    </row>
    <row r="21" spans="1:20" x14ac:dyDescent="0.2">
      <c r="A21" s="511"/>
      <c r="B21" s="379"/>
      <c r="C21" s="152"/>
      <c r="D21" s="152"/>
      <c r="E21" s="22"/>
      <c r="F21" s="21"/>
      <c r="G21" s="21"/>
      <c r="H21" s="21"/>
      <c r="I21" s="21"/>
      <c r="J21" s="21"/>
      <c r="K21" s="21"/>
      <c r="L21" s="21"/>
      <c r="M21" s="21"/>
      <c r="N21" s="21"/>
      <c r="O21" s="21"/>
      <c r="P21" s="9"/>
      <c r="S21" s="9"/>
      <c r="T21" s="9"/>
    </row>
    <row r="22" spans="1:20" x14ac:dyDescent="0.2">
      <c r="A22" s="555">
        <v>3</v>
      </c>
      <c r="B22" s="381" t="s">
        <v>121</v>
      </c>
      <c r="C22" s="24"/>
      <c r="D22" s="24"/>
      <c r="E22" s="25"/>
      <c r="F22" s="26">
        <f t="shared" ref="F22:T22" si="4">F12-F20</f>
        <v>132.41884712482189</v>
      </c>
      <c r="G22" s="26">
        <f t="shared" si="4"/>
        <v>185.51257958735749</v>
      </c>
      <c r="H22" s="26">
        <f t="shared" si="4"/>
        <v>194.85787109709639</v>
      </c>
      <c r="I22" s="26">
        <f t="shared" si="4"/>
        <v>194.85787109709639</v>
      </c>
      <c r="J22" s="26">
        <f t="shared" si="4"/>
        <v>194.85787109709639</v>
      </c>
      <c r="K22" s="26">
        <f t="shared" si="4"/>
        <v>194.85787109709639</v>
      </c>
      <c r="L22" s="26">
        <f t="shared" si="4"/>
        <v>194.85787109709639</v>
      </c>
      <c r="M22" s="26">
        <f t="shared" si="4"/>
        <v>194.85787109709639</v>
      </c>
      <c r="N22" s="26">
        <f t="shared" si="4"/>
        <v>194.85787109709639</v>
      </c>
      <c r="O22" s="26">
        <f t="shared" si="4"/>
        <v>194.85787109709639</v>
      </c>
      <c r="P22" s="26">
        <f t="shared" si="4"/>
        <v>194.85787109709639</v>
      </c>
      <c r="Q22" s="26">
        <f t="shared" si="4"/>
        <v>187.04473451506516</v>
      </c>
      <c r="R22" s="26">
        <f t="shared" si="4"/>
        <v>187.04473451506516</v>
      </c>
      <c r="S22" s="26">
        <f t="shared" si="4"/>
        <v>194.85787109709639</v>
      </c>
      <c r="T22" s="26">
        <f t="shared" si="4"/>
        <v>194.85787109709639</v>
      </c>
    </row>
    <row r="23" spans="1:20" ht="16.5" customHeight="1" x14ac:dyDescent="0.2">
      <c r="A23" s="206"/>
      <c r="B23" s="584"/>
      <c r="C23" s="1"/>
      <c r="D23" s="1"/>
      <c r="E23" s="1"/>
      <c r="F23" s="27"/>
      <c r="G23" s="27"/>
      <c r="H23" s="27"/>
      <c r="I23" s="27"/>
      <c r="J23" s="27"/>
      <c r="K23" s="27"/>
      <c r="L23" s="27"/>
      <c r="M23" s="27"/>
      <c r="N23" s="27"/>
      <c r="O23" s="27"/>
      <c r="P23" s="27"/>
      <c r="Q23" s="27"/>
      <c r="R23" s="27"/>
      <c r="S23" s="27"/>
      <c r="T23" s="27"/>
    </row>
    <row r="24" spans="1:20" s="319" customFormat="1" ht="16.5" customHeight="1" x14ac:dyDescent="0.2">
      <c r="A24" s="391">
        <v>4</v>
      </c>
      <c r="B24" s="347" t="s">
        <v>353</v>
      </c>
      <c r="C24" s="410"/>
      <c r="D24" s="410"/>
      <c r="E24" s="410"/>
      <c r="F24" s="520">
        <f t="shared" ref="F24:T24" si="5">F22</f>
        <v>132.41884712482189</v>
      </c>
      <c r="G24" s="520">
        <f t="shared" si="5"/>
        <v>185.51257958735749</v>
      </c>
      <c r="H24" s="520">
        <f t="shared" si="5"/>
        <v>194.85787109709639</v>
      </c>
      <c r="I24" s="520">
        <f t="shared" si="5"/>
        <v>194.85787109709639</v>
      </c>
      <c r="J24" s="520">
        <f t="shared" si="5"/>
        <v>194.85787109709639</v>
      </c>
      <c r="K24" s="520">
        <f t="shared" si="5"/>
        <v>194.85787109709639</v>
      </c>
      <c r="L24" s="520">
        <f t="shared" si="5"/>
        <v>194.85787109709639</v>
      </c>
      <c r="M24" s="520">
        <f t="shared" si="5"/>
        <v>194.85787109709639</v>
      </c>
      <c r="N24" s="520">
        <f t="shared" si="5"/>
        <v>194.85787109709639</v>
      </c>
      <c r="O24" s="520">
        <f t="shared" si="5"/>
        <v>194.85787109709639</v>
      </c>
      <c r="P24" s="520">
        <f t="shared" si="5"/>
        <v>194.85787109709639</v>
      </c>
      <c r="Q24" s="520">
        <f t="shared" si="5"/>
        <v>187.04473451506516</v>
      </c>
      <c r="R24" s="520">
        <f t="shared" si="5"/>
        <v>187.04473451506516</v>
      </c>
      <c r="S24" s="409">
        <f t="shared" si="5"/>
        <v>194.85787109709639</v>
      </c>
      <c r="T24" s="409">
        <f t="shared" si="5"/>
        <v>194.85787109709639</v>
      </c>
    </row>
    <row r="25" spans="1:20" s="281" customFormat="1" ht="16.5" customHeight="1" x14ac:dyDescent="0.2">
      <c r="A25" s="391">
        <v>5</v>
      </c>
      <c r="B25" s="347" t="s">
        <v>413</v>
      </c>
      <c r="C25" s="410"/>
      <c r="D25" s="410"/>
      <c r="E25" s="410"/>
      <c r="F25" s="627">
        <f>'Working Capital'!D19</f>
        <v>0.79811950068847171</v>
      </c>
      <c r="G25" s="627">
        <f>'Working Capital'!E19</f>
        <v>0.89937649658619889</v>
      </c>
      <c r="H25" s="627">
        <f>'Working Capital'!F19</f>
        <v>1.0512619904327898</v>
      </c>
      <c r="I25" s="627">
        <f>'Working Capital'!G19</f>
        <v>1.0512619904327898</v>
      </c>
      <c r="J25" s="627">
        <f>'Working Capital'!H19</f>
        <v>1.0512619904327898</v>
      </c>
      <c r="K25" s="627">
        <f>'Working Capital'!I19</f>
        <v>1.0512619904327898</v>
      </c>
      <c r="L25" s="627">
        <f>'Working Capital'!J19</f>
        <v>1.0512619904327898</v>
      </c>
      <c r="M25" s="627">
        <f>'Working Capital'!K19</f>
        <v>1.0512619904327898</v>
      </c>
      <c r="N25" s="627">
        <f>'Working Capital'!L19</f>
        <v>1.0512619904327898</v>
      </c>
      <c r="O25" s="627">
        <f>'Working Capital'!M19</f>
        <v>1.0512619904327898</v>
      </c>
      <c r="P25" s="627">
        <f>'Working Capital'!N19</f>
        <v>1.0512619904327898</v>
      </c>
      <c r="Q25" s="627">
        <f>'Working Capital'!O19</f>
        <v>1.029953436118159</v>
      </c>
      <c r="R25" s="627">
        <f>'Working Capital'!P19</f>
        <v>1.029953436118159</v>
      </c>
      <c r="S25" s="628">
        <f>'Working Capital'!Q19</f>
        <v>1.0512619904327898</v>
      </c>
      <c r="T25" s="628">
        <f>'Working Capital'!R19</f>
        <v>1.0512619904327898</v>
      </c>
    </row>
    <row r="26" spans="1:20" s="281" customFormat="1" ht="16.5" customHeight="1" x14ac:dyDescent="0.2">
      <c r="A26" s="391">
        <v>6</v>
      </c>
      <c r="B26" s="347" t="s">
        <v>354</v>
      </c>
      <c r="C26" s="410"/>
      <c r="D26" s="410"/>
      <c r="E26" s="410"/>
      <c r="F26" s="552">
        <f>E91</f>
        <v>43.251724240706253</v>
      </c>
      <c r="G26" s="552">
        <f t="shared" ref="G26:T26" si="6">F91</f>
        <v>37.845258710617976</v>
      </c>
      <c r="H26" s="552">
        <f t="shared" si="6"/>
        <v>32.438793180529693</v>
      </c>
      <c r="I26" s="552">
        <f t="shared" si="6"/>
        <v>27.032327650441406</v>
      </c>
      <c r="J26" s="552">
        <f t="shared" si="6"/>
        <v>21.625862120353126</v>
      </c>
      <c r="K26" s="552">
        <f t="shared" si="6"/>
        <v>16.219396590264843</v>
      </c>
      <c r="L26" s="552">
        <f t="shared" si="6"/>
        <v>10.81293106017656</v>
      </c>
      <c r="M26" s="552">
        <f t="shared" si="6"/>
        <v>5.406465530088278</v>
      </c>
      <c r="N26" s="552">
        <f t="shared" si="6"/>
        <v>0</v>
      </c>
      <c r="O26" s="552">
        <f t="shared" si="6"/>
        <v>0</v>
      </c>
      <c r="P26" s="552">
        <f t="shared" si="6"/>
        <v>0</v>
      </c>
      <c r="Q26" s="552">
        <f t="shared" si="6"/>
        <v>0</v>
      </c>
      <c r="R26" s="552">
        <f t="shared" si="6"/>
        <v>0</v>
      </c>
      <c r="S26" s="410">
        <f t="shared" si="6"/>
        <v>0</v>
      </c>
      <c r="T26" s="410">
        <f t="shared" si="6"/>
        <v>0</v>
      </c>
    </row>
    <row r="27" spans="1:20" s="281" customFormat="1" ht="16.5" customHeight="1" x14ac:dyDescent="0.2">
      <c r="A27" s="391">
        <v>7</v>
      </c>
      <c r="B27" s="347" t="s">
        <v>355</v>
      </c>
      <c r="C27" s="410"/>
      <c r="D27" s="410"/>
      <c r="E27" s="410"/>
      <c r="F27" s="552">
        <f>Depreciation!D13</f>
        <v>36.848479459750003</v>
      </c>
      <c r="G27" s="552">
        <f t="shared" ref="G27" si="7">+F27</f>
        <v>36.848479459750003</v>
      </c>
      <c r="H27" s="552">
        <f t="shared" ref="H27" si="8">+G27</f>
        <v>36.848479459750003</v>
      </c>
      <c r="I27" s="552">
        <f t="shared" ref="I27" si="9">+H27</f>
        <v>36.848479459750003</v>
      </c>
      <c r="J27" s="552">
        <f t="shared" ref="J27" si="10">+I27</f>
        <v>36.848479459750003</v>
      </c>
      <c r="K27" s="552">
        <f t="shared" ref="K27" si="11">+J27</f>
        <v>36.848479459750003</v>
      </c>
      <c r="L27" s="552">
        <f t="shared" ref="L27" si="12">+K27</f>
        <v>36.848479459750003</v>
      </c>
      <c r="M27" s="552">
        <f t="shared" ref="M27" si="13">+L27</f>
        <v>36.848479459750003</v>
      </c>
      <c r="N27" s="552">
        <f t="shared" ref="N27" si="14">+M27</f>
        <v>36.848479459750003</v>
      </c>
      <c r="O27" s="552">
        <f t="shared" ref="O27" si="15">+N27</f>
        <v>36.848479459750003</v>
      </c>
      <c r="P27" s="552">
        <f t="shared" ref="P27" si="16">+O27</f>
        <v>36.848479459750003</v>
      </c>
      <c r="Q27" s="552">
        <f t="shared" ref="Q27" si="17">+P27</f>
        <v>36.848479459750003</v>
      </c>
      <c r="R27" s="552">
        <f t="shared" ref="R27" si="18">+Q27</f>
        <v>36.848479459750003</v>
      </c>
      <c r="S27" s="410">
        <f t="shared" ref="S27" si="19">+R27</f>
        <v>36.848479459750003</v>
      </c>
      <c r="T27" s="410">
        <f t="shared" ref="T27" si="20">+S27</f>
        <v>36.848479459750003</v>
      </c>
    </row>
    <row r="28" spans="1:20" s="319" customFormat="1" ht="16.5" customHeight="1" x14ac:dyDescent="0.2">
      <c r="A28" s="391">
        <v>8</v>
      </c>
      <c r="B28" s="347" t="s">
        <v>130</v>
      </c>
      <c r="C28" s="410"/>
      <c r="D28" s="410"/>
      <c r="E28" s="410"/>
      <c r="F28" s="552">
        <f t="shared" ref="F28:T28" si="21">F24-F25-F26-F27</f>
        <v>51.520523923677167</v>
      </c>
      <c r="G28" s="552">
        <f t="shared" si="21"/>
        <v>109.91946492040333</v>
      </c>
      <c r="H28" s="552">
        <f t="shared" si="21"/>
        <v>124.51933646638392</v>
      </c>
      <c r="I28" s="552">
        <f t="shared" si="21"/>
        <v>129.92580199647222</v>
      </c>
      <c r="J28" s="552">
        <f t="shared" si="21"/>
        <v>135.33226752656049</v>
      </c>
      <c r="K28" s="552">
        <f t="shared" si="21"/>
        <v>140.73873305664878</v>
      </c>
      <c r="L28" s="552">
        <f t="shared" si="21"/>
        <v>146.14519858673705</v>
      </c>
      <c r="M28" s="552">
        <f t="shared" si="21"/>
        <v>151.55166411682535</v>
      </c>
      <c r="N28" s="552">
        <f t="shared" si="21"/>
        <v>156.95812964691362</v>
      </c>
      <c r="O28" s="552">
        <f t="shared" si="21"/>
        <v>156.95812964691362</v>
      </c>
      <c r="P28" s="552">
        <f t="shared" si="21"/>
        <v>156.95812964691362</v>
      </c>
      <c r="Q28" s="552">
        <f t="shared" si="21"/>
        <v>149.16630161919701</v>
      </c>
      <c r="R28" s="552">
        <f t="shared" si="21"/>
        <v>149.16630161919701</v>
      </c>
      <c r="S28" s="410">
        <f t="shared" si="21"/>
        <v>156.95812964691362</v>
      </c>
      <c r="T28" s="410">
        <f t="shared" si="21"/>
        <v>156.95812964691362</v>
      </c>
    </row>
    <row r="29" spans="1:20" s="319" customFormat="1" ht="16.5" customHeight="1" x14ac:dyDescent="0.2">
      <c r="A29" s="391">
        <v>9</v>
      </c>
      <c r="B29" s="347" t="s">
        <v>356</v>
      </c>
      <c r="C29" s="320"/>
      <c r="D29" s="320"/>
      <c r="E29" s="320"/>
      <c r="F29" s="438">
        <f>C108</f>
        <v>28.564364061392798</v>
      </c>
      <c r="G29" s="438">
        <f t="shared" ref="G29:T29" si="22">D108</f>
        <v>51.690676378149249</v>
      </c>
      <c r="H29" s="438">
        <f t="shared" si="22"/>
        <v>58.844990035203203</v>
      </c>
      <c r="I29" s="438">
        <f t="shared" si="22"/>
        <v>62.151678860550383</v>
      </c>
      <c r="J29" s="438">
        <f t="shared" si="22"/>
        <v>64.963532636111481</v>
      </c>
      <c r="K29" s="438">
        <f t="shared" si="22"/>
        <v>67.354659791952827</v>
      </c>
      <c r="L29" s="438">
        <f t="shared" si="22"/>
        <v>69.388064176370918</v>
      </c>
      <c r="M29" s="438">
        <f t="shared" si="22"/>
        <v>71.117309574883976</v>
      </c>
      <c r="N29" s="438">
        <f t="shared" si="22"/>
        <v>72.587934668201967</v>
      </c>
      <c r="O29" s="438">
        <f t="shared" si="22"/>
        <v>73.838655851645953</v>
      </c>
      <c r="P29" s="438">
        <f t="shared" si="22"/>
        <v>74.902389726284696</v>
      </c>
      <c r="Q29" s="438">
        <f t="shared" si="22"/>
        <v>73.076899854342827</v>
      </c>
      <c r="R29" s="438">
        <f t="shared" si="22"/>
        <v>73.84642544698967</v>
      </c>
      <c r="S29" s="320">
        <f t="shared" si="22"/>
        <v>77.231197261255033</v>
      </c>
      <c r="T29" s="320">
        <f t="shared" si="22"/>
        <v>77.787971575200871</v>
      </c>
    </row>
    <row r="30" spans="1:20" s="319" customFormat="1" ht="16.5" customHeight="1" x14ac:dyDescent="0.2">
      <c r="A30" s="391">
        <v>10</v>
      </c>
      <c r="B30" s="347" t="s">
        <v>357</v>
      </c>
      <c r="C30" s="410"/>
      <c r="D30" s="410"/>
      <c r="E30" s="410"/>
      <c r="F30" s="552">
        <f t="shared" ref="F30:T30" si="23">F28-F29</f>
        <v>22.95615986228437</v>
      </c>
      <c r="G30" s="552">
        <f t="shared" si="23"/>
        <v>58.22878854225408</v>
      </c>
      <c r="H30" s="552">
        <f t="shared" si="23"/>
        <v>65.674346431180709</v>
      </c>
      <c r="I30" s="552">
        <f t="shared" si="23"/>
        <v>67.774123135921826</v>
      </c>
      <c r="J30" s="552">
        <f t="shared" si="23"/>
        <v>70.368734890449005</v>
      </c>
      <c r="K30" s="552">
        <f t="shared" si="23"/>
        <v>73.384073264695957</v>
      </c>
      <c r="L30" s="552">
        <f t="shared" si="23"/>
        <v>76.757134410366135</v>
      </c>
      <c r="M30" s="552">
        <f t="shared" si="23"/>
        <v>80.434354541941374</v>
      </c>
      <c r="N30" s="552">
        <f t="shared" si="23"/>
        <v>84.370194978711652</v>
      </c>
      <c r="O30" s="552">
        <f t="shared" si="23"/>
        <v>83.119473795267666</v>
      </c>
      <c r="P30" s="552">
        <f t="shared" si="23"/>
        <v>82.055739920628923</v>
      </c>
      <c r="Q30" s="552">
        <f t="shared" si="23"/>
        <v>76.089401764854188</v>
      </c>
      <c r="R30" s="552">
        <f t="shared" si="23"/>
        <v>75.319876172207344</v>
      </c>
      <c r="S30" s="410">
        <f t="shared" si="23"/>
        <v>79.726932385658586</v>
      </c>
      <c r="T30" s="410">
        <f t="shared" si="23"/>
        <v>79.170158071712748</v>
      </c>
    </row>
    <row r="31" spans="1:20" s="319" customFormat="1" ht="16.5" customHeight="1" x14ac:dyDescent="0.2">
      <c r="A31" s="391">
        <v>11</v>
      </c>
      <c r="B31" s="347" t="s">
        <v>351</v>
      </c>
      <c r="C31" s="410"/>
      <c r="D31" s="410"/>
      <c r="E31" s="410"/>
      <c r="F31" s="552">
        <f>F30</f>
        <v>22.95615986228437</v>
      </c>
      <c r="G31" s="552">
        <f>F31+G30</f>
        <v>81.184948404538446</v>
      </c>
      <c r="H31" s="552">
        <f t="shared" ref="H31" si="24">G31+H30</f>
        <v>146.85929483571914</v>
      </c>
      <c r="I31" s="552">
        <f t="shared" ref="I31" si="25">H31+I30</f>
        <v>214.63341797164097</v>
      </c>
      <c r="J31" s="552">
        <f t="shared" ref="J31" si="26">I31+J30</f>
        <v>285.00215286208999</v>
      </c>
      <c r="K31" s="552">
        <f t="shared" ref="K31" si="27">J31+K30</f>
        <v>358.38622612678591</v>
      </c>
      <c r="L31" s="552">
        <f t="shared" ref="L31" si="28">K31+L30</f>
        <v>435.14336053715203</v>
      </c>
      <c r="M31" s="552">
        <f t="shared" ref="M31" si="29">L31+M30</f>
        <v>515.57771507909342</v>
      </c>
      <c r="N31" s="552">
        <f t="shared" ref="N31" si="30">M31+N30</f>
        <v>599.94791005780507</v>
      </c>
      <c r="O31" s="552">
        <f t="shared" ref="O31" si="31">N31+O30</f>
        <v>683.06738385307278</v>
      </c>
      <c r="P31" s="552">
        <f t="shared" ref="P31" si="32">O31+P30</f>
        <v>765.12312377370176</v>
      </c>
      <c r="Q31" s="552">
        <f t="shared" ref="Q31" si="33">P31+Q30</f>
        <v>841.21252553855595</v>
      </c>
      <c r="R31" s="552">
        <f t="shared" ref="R31" si="34">Q31+R30</f>
        <v>916.53240171076334</v>
      </c>
      <c r="S31" s="410">
        <f t="shared" ref="S31" si="35">R31+S30</f>
        <v>996.25933409642198</v>
      </c>
      <c r="T31" s="410">
        <f t="shared" ref="T31" si="36">S31+T30</f>
        <v>1075.4294921681346</v>
      </c>
    </row>
    <row r="32" spans="1:20" s="319" customFormat="1" ht="16.5" customHeight="1" x14ac:dyDescent="0.2">
      <c r="A32" s="391">
        <v>12</v>
      </c>
      <c r="B32" s="347" t="s">
        <v>358</v>
      </c>
      <c r="C32" s="421"/>
      <c r="D32" s="421"/>
      <c r="E32" s="421"/>
      <c r="F32" s="556">
        <f t="shared" ref="F32:T32" si="37">F24/F12</f>
        <v>0.48371398467376003</v>
      </c>
      <c r="G32" s="556">
        <f t="shared" si="37"/>
        <v>0.59295298327421342</v>
      </c>
      <c r="H32" s="556">
        <f t="shared" si="37"/>
        <v>0.52448277427808565</v>
      </c>
      <c r="I32" s="556">
        <f t="shared" si="37"/>
        <v>0.52448277427808565</v>
      </c>
      <c r="J32" s="556">
        <f t="shared" si="37"/>
        <v>0.52448277427808565</v>
      </c>
      <c r="K32" s="556">
        <f t="shared" si="37"/>
        <v>0.52448277427808565</v>
      </c>
      <c r="L32" s="556">
        <f t="shared" si="37"/>
        <v>0.52448277427808565</v>
      </c>
      <c r="M32" s="556">
        <f t="shared" si="37"/>
        <v>0.52448277427808565</v>
      </c>
      <c r="N32" s="556">
        <f t="shared" si="37"/>
        <v>0.52448277427808565</v>
      </c>
      <c r="O32" s="556">
        <f t="shared" si="37"/>
        <v>0.52448277427808565</v>
      </c>
      <c r="P32" s="556">
        <f t="shared" si="37"/>
        <v>0.52448277427808565</v>
      </c>
      <c r="Q32" s="556">
        <f t="shared" si="37"/>
        <v>0.51426784062372333</v>
      </c>
      <c r="R32" s="556">
        <f t="shared" si="37"/>
        <v>0.51426784062372333</v>
      </c>
      <c r="S32" s="422">
        <f t="shared" si="37"/>
        <v>0.52448277427808565</v>
      </c>
      <c r="T32" s="422">
        <f t="shared" si="37"/>
        <v>0.52448277427808565</v>
      </c>
    </row>
    <row r="33" spans="1:20" s="281" customFormat="1" ht="16.5" customHeight="1" x14ac:dyDescent="0.2">
      <c r="A33" s="295"/>
      <c r="B33" s="294"/>
      <c r="C33" s="319"/>
      <c r="D33" s="319"/>
      <c r="E33" s="319"/>
      <c r="F33" s="629"/>
      <c r="G33" s="629"/>
      <c r="H33" s="629"/>
      <c r="I33" s="629"/>
      <c r="J33" s="629"/>
      <c r="K33" s="629"/>
      <c r="L33" s="629"/>
      <c r="M33" s="629"/>
      <c r="N33" s="629"/>
      <c r="O33" s="629"/>
      <c r="P33" s="629"/>
      <c r="Q33" s="629"/>
      <c r="R33" s="629"/>
      <c r="S33" s="629"/>
      <c r="T33" s="629"/>
    </row>
    <row r="34" spans="1:20" ht="16.5" customHeight="1" x14ac:dyDescent="0.2">
      <c r="A34" s="13"/>
      <c r="B34" s="267"/>
      <c r="C34" s="1"/>
      <c r="D34" s="1"/>
      <c r="E34" s="1"/>
      <c r="F34" s="27"/>
      <c r="G34" s="27"/>
      <c r="H34" s="27"/>
      <c r="I34" s="27"/>
      <c r="J34" s="27"/>
      <c r="K34" s="27"/>
      <c r="L34" s="27"/>
      <c r="M34" s="27"/>
      <c r="N34" s="27"/>
      <c r="O34" s="27"/>
      <c r="P34" s="27"/>
      <c r="Q34" s="27"/>
      <c r="R34" s="27"/>
      <c r="S34" s="27"/>
      <c r="T34" s="27"/>
    </row>
    <row r="35" spans="1:20" ht="16.5" customHeight="1" x14ac:dyDescent="0.2">
      <c r="A35" s="13"/>
      <c r="B35" s="267"/>
      <c r="C35" s="1"/>
      <c r="D35" s="1"/>
      <c r="E35" s="1"/>
      <c r="F35" s="27"/>
      <c r="G35" s="27"/>
      <c r="H35" s="27"/>
      <c r="I35" s="27"/>
      <c r="J35" s="27"/>
      <c r="K35" s="27"/>
      <c r="L35" s="27"/>
      <c r="M35" s="27"/>
      <c r="N35" s="27"/>
      <c r="O35" s="27"/>
      <c r="P35" s="27"/>
      <c r="Q35" s="27"/>
      <c r="R35" s="27"/>
      <c r="S35" s="27"/>
      <c r="T35" s="27"/>
    </row>
    <row r="36" spans="1:20" ht="16.5" customHeight="1" x14ac:dyDescent="0.2">
      <c r="A36" s="1"/>
      <c r="B36" s="505" t="s">
        <v>409</v>
      </c>
      <c r="C36" s="277">
        <f>Capex!B11</f>
        <v>586.24545750000004</v>
      </c>
      <c r="D36" s="505" t="s">
        <v>39</v>
      </c>
      <c r="E36" s="1"/>
      <c r="F36" s="27"/>
      <c r="G36" s="27"/>
      <c r="H36" s="27"/>
      <c r="I36" s="27"/>
      <c r="J36" s="27"/>
      <c r="K36" s="27"/>
      <c r="L36" s="27"/>
      <c r="M36" s="27"/>
      <c r="N36" s="27"/>
      <c r="O36" s="27"/>
      <c r="P36" s="27"/>
      <c r="Q36" s="27"/>
      <c r="R36" s="27"/>
      <c r="S36" s="27"/>
      <c r="T36" s="27"/>
    </row>
    <row r="37" spans="1:20" ht="16.5" customHeight="1" x14ac:dyDescent="0.2">
      <c r="A37" s="1"/>
      <c r="B37" s="270" t="s">
        <v>410</v>
      </c>
      <c r="C37" s="269">
        <f>Capex!B13</f>
        <v>40.890620660624997</v>
      </c>
      <c r="D37" s="270"/>
      <c r="E37" s="1"/>
      <c r="F37" s="27"/>
      <c r="G37" s="27"/>
      <c r="H37" s="27"/>
      <c r="I37" s="27"/>
      <c r="J37" s="27"/>
      <c r="K37" s="27"/>
      <c r="L37" s="27"/>
      <c r="M37" s="27"/>
      <c r="N37" s="27"/>
      <c r="O37" s="27"/>
      <c r="P37" s="27"/>
      <c r="Q37" s="27"/>
      <c r="R37" s="27"/>
      <c r="S37" s="27"/>
      <c r="T37" s="27"/>
    </row>
    <row r="38" spans="1:20" ht="16.5" customHeight="1" x14ac:dyDescent="0.2">
      <c r="A38" s="1"/>
      <c r="B38" s="270" t="s">
        <v>411</v>
      </c>
      <c r="C38" s="271">
        <f>(C36*D38)</f>
        <v>0</v>
      </c>
      <c r="D38" s="272">
        <v>0</v>
      </c>
      <c r="E38" s="1"/>
      <c r="F38" s="27"/>
      <c r="G38" s="27"/>
      <c r="H38" s="27"/>
      <c r="I38" s="27"/>
      <c r="J38" s="27"/>
      <c r="K38" s="27"/>
      <c r="L38" s="27"/>
      <c r="M38" s="27"/>
      <c r="N38" s="27"/>
      <c r="O38" s="27"/>
      <c r="P38" s="27"/>
      <c r="Q38" s="27"/>
      <c r="R38" s="27"/>
      <c r="S38" s="27"/>
      <c r="T38" s="27"/>
    </row>
    <row r="39" spans="1:20" ht="16.5" customHeight="1" x14ac:dyDescent="0.2">
      <c r="A39" s="1">
        <v>4</v>
      </c>
      <c r="B39" s="101" t="s">
        <v>412</v>
      </c>
      <c r="C39" s="278">
        <f>+C36+C37+C38</f>
        <v>627.13607816062506</v>
      </c>
      <c r="D39" s="101" t="s">
        <v>39</v>
      </c>
      <c r="E39" s="1"/>
      <c r="F39" s="27"/>
      <c r="G39" s="27"/>
      <c r="H39" s="27"/>
      <c r="I39" s="27"/>
      <c r="J39" s="27"/>
      <c r="K39" s="27"/>
      <c r="L39" s="27"/>
      <c r="M39" s="27"/>
      <c r="N39" s="27"/>
      <c r="O39" s="27"/>
      <c r="P39" s="27"/>
      <c r="Q39" s="27"/>
      <c r="R39" s="27"/>
      <c r="S39" s="27"/>
      <c r="T39" s="27"/>
    </row>
    <row r="40" spans="1:20" ht="16.5" customHeight="1" x14ac:dyDescent="0.2">
      <c r="A40" s="13"/>
      <c r="B40" s="267"/>
      <c r="C40" s="1"/>
      <c r="D40" s="1"/>
      <c r="E40" s="1"/>
      <c r="F40" s="27"/>
      <c r="G40" s="27"/>
      <c r="H40" s="27"/>
      <c r="I40" s="27"/>
      <c r="J40" s="27"/>
      <c r="K40" s="27"/>
      <c r="L40" s="27"/>
      <c r="M40" s="27"/>
      <c r="N40" s="27"/>
      <c r="O40" s="27"/>
      <c r="P40" s="27"/>
      <c r="Q40" s="27"/>
      <c r="R40" s="27"/>
      <c r="S40" s="27"/>
      <c r="T40" s="27"/>
    </row>
    <row r="41" spans="1:20" ht="16.5" customHeight="1" x14ac:dyDescent="0.2">
      <c r="A41" s="13"/>
      <c r="B41" s="505" t="s">
        <v>414</v>
      </c>
      <c r="C41" s="277" t="s">
        <v>415</v>
      </c>
      <c r="D41" s="505" t="s">
        <v>416</v>
      </c>
      <c r="E41" s="1"/>
      <c r="F41" s="27"/>
      <c r="G41" s="27"/>
      <c r="H41" s="27"/>
      <c r="I41" s="27"/>
      <c r="J41" s="27"/>
      <c r="K41" s="27"/>
      <c r="L41" s="27"/>
      <c r="M41" s="27"/>
      <c r="N41" s="27"/>
      <c r="O41" s="27"/>
      <c r="P41" s="27"/>
      <c r="Q41" s="27"/>
      <c r="R41" s="27"/>
      <c r="S41" s="27"/>
      <c r="T41" s="27"/>
    </row>
    <row r="42" spans="1:20" ht="16.5" customHeight="1" x14ac:dyDescent="0.2">
      <c r="A42" s="13"/>
      <c r="B42" s="270" t="s">
        <v>417</v>
      </c>
      <c r="C42" s="272">
        <v>0.75</v>
      </c>
      <c r="D42" s="273">
        <f>C39*C42</f>
        <v>470.35205862046882</v>
      </c>
      <c r="E42" s="1"/>
      <c r="F42" s="27"/>
      <c r="G42" s="27"/>
      <c r="H42" s="27"/>
      <c r="I42" s="27"/>
      <c r="J42" s="27"/>
      <c r="K42" s="27"/>
      <c r="L42" s="27"/>
      <c r="M42" s="27"/>
      <c r="N42" s="27"/>
      <c r="O42" s="27"/>
      <c r="P42" s="27"/>
      <c r="Q42" s="27"/>
      <c r="R42" s="27"/>
      <c r="S42" s="27"/>
      <c r="T42" s="27"/>
    </row>
    <row r="43" spans="1:20" ht="16.5" customHeight="1" x14ac:dyDescent="0.2">
      <c r="A43" s="13"/>
      <c r="B43" s="270" t="s">
        <v>418</v>
      </c>
      <c r="C43" s="272">
        <v>0.25</v>
      </c>
      <c r="D43" s="273">
        <f>C43*C39</f>
        <v>156.78401954015627</v>
      </c>
      <c r="E43" s="1"/>
      <c r="F43" s="27"/>
      <c r="G43" s="27"/>
      <c r="H43" s="27"/>
      <c r="I43" s="27"/>
      <c r="J43" s="27"/>
      <c r="K43" s="27"/>
      <c r="L43" s="27"/>
      <c r="M43" s="27"/>
      <c r="N43" s="27"/>
      <c r="O43" s="27"/>
      <c r="P43" s="27"/>
      <c r="Q43" s="27"/>
      <c r="R43" s="27"/>
      <c r="S43" s="27"/>
      <c r="T43" s="27"/>
    </row>
    <row r="44" spans="1:20" ht="16.5" customHeight="1" x14ac:dyDescent="0.2">
      <c r="A44" s="13"/>
      <c r="B44" s="505" t="s">
        <v>47</v>
      </c>
      <c r="C44" s="279">
        <v>1</v>
      </c>
      <c r="D44" s="280">
        <f>SUM(D42:D43)</f>
        <v>627.13607816062506</v>
      </c>
      <c r="E44" s="1"/>
      <c r="F44" s="27"/>
      <c r="G44" s="27"/>
      <c r="H44" s="27"/>
      <c r="I44" s="27"/>
      <c r="J44" s="27"/>
      <c r="K44" s="27"/>
      <c r="L44" s="27"/>
      <c r="M44" s="27"/>
      <c r="N44" s="27"/>
      <c r="O44" s="27"/>
      <c r="P44" s="27"/>
      <c r="Q44" s="27"/>
      <c r="R44" s="27"/>
      <c r="S44" s="27"/>
      <c r="T44" s="27"/>
    </row>
    <row r="45" spans="1:20" ht="16.5" customHeight="1" x14ac:dyDescent="0.2">
      <c r="A45" s="13"/>
      <c r="B45" s="1"/>
      <c r="C45" s="275"/>
      <c r="D45" s="276"/>
      <c r="E45" s="1"/>
      <c r="F45" s="27"/>
      <c r="G45" s="27"/>
      <c r="H45" s="27"/>
      <c r="I45" s="27"/>
      <c r="J45" s="27"/>
      <c r="K45" s="27"/>
      <c r="L45" s="27"/>
      <c r="M45" s="27"/>
      <c r="N45" s="27"/>
      <c r="O45" s="27"/>
      <c r="P45" s="27"/>
      <c r="Q45" s="27"/>
      <c r="R45" s="27"/>
      <c r="S45" s="27"/>
      <c r="T45" s="27"/>
    </row>
    <row r="46" spans="1:20" ht="16.5" customHeight="1" x14ac:dyDescent="0.2">
      <c r="A46" s="13"/>
      <c r="B46" s="267"/>
      <c r="C46" s="1"/>
      <c r="D46" s="1"/>
      <c r="E46" s="1"/>
      <c r="F46" s="27"/>
      <c r="G46" s="27"/>
      <c r="H46" s="27"/>
      <c r="I46" s="27"/>
      <c r="J46" s="27"/>
      <c r="K46" s="27"/>
      <c r="L46" s="27"/>
      <c r="M46" s="27"/>
      <c r="N46" s="27"/>
      <c r="O46" s="27"/>
      <c r="P46" s="27"/>
      <c r="Q46" s="27"/>
      <c r="R46" s="27"/>
      <c r="S46" s="27"/>
      <c r="T46" s="27"/>
    </row>
    <row r="47" spans="1:20" ht="16.5" customHeight="1" x14ac:dyDescent="0.2">
      <c r="A47" s="423" t="s">
        <v>402</v>
      </c>
      <c r="B47" s="424" t="s">
        <v>403</v>
      </c>
      <c r="C47" s="424" t="s">
        <v>404</v>
      </c>
      <c r="D47" s="424" t="s">
        <v>405</v>
      </c>
      <c r="E47" s="1"/>
      <c r="F47" s="27"/>
      <c r="G47" s="27"/>
      <c r="H47" s="27"/>
      <c r="I47" s="27"/>
      <c r="J47" s="27"/>
      <c r="K47" s="27"/>
      <c r="L47" s="27"/>
      <c r="M47" s="27"/>
      <c r="N47" s="27"/>
      <c r="O47" s="27"/>
      <c r="P47" s="27"/>
      <c r="Q47" s="27"/>
      <c r="R47" s="27"/>
      <c r="S47" s="27"/>
      <c r="T47" s="27"/>
    </row>
    <row r="48" spans="1:20" ht="16.5" customHeight="1" x14ac:dyDescent="0.2">
      <c r="A48" s="425">
        <v>1</v>
      </c>
      <c r="B48" s="425" t="s">
        <v>406</v>
      </c>
      <c r="C48" s="426">
        <v>0.3</v>
      </c>
      <c r="D48" s="426">
        <v>0.15</v>
      </c>
      <c r="E48" s="1"/>
      <c r="F48" s="27"/>
      <c r="G48" s="27"/>
      <c r="H48" s="27"/>
      <c r="I48" s="27"/>
      <c r="J48" s="27"/>
      <c r="K48" s="27"/>
      <c r="L48" s="27"/>
      <c r="M48" s="27"/>
      <c r="N48" s="27"/>
      <c r="O48" s="27"/>
      <c r="P48" s="27"/>
      <c r="Q48" s="27"/>
      <c r="R48" s="27"/>
      <c r="S48" s="27"/>
      <c r="T48" s="27"/>
    </row>
    <row r="49" spans="1:20" ht="16.5" customHeight="1" x14ac:dyDescent="0.2">
      <c r="A49" s="425">
        <v>2</v>
      </c>
      <c r="B49" s="425" t="s">
        <v>407</v>
      </c>
      <c r="C49" s="426">
        <v>0.12</v>
      </c>
      <c r="D49" s="426">
        <v>0.12</v>
      </c>
      <c r="E49" s="1"/>
      <c r="F49" s="27"/>
      <c r="G49" s="27"/>
      <c r="H49" s="27"/>
      <c r="I49" s="27"/>
      <c r="J49" s="27"/>
      <c r="K49" s="27"/>
      <c r="L49" s="27"/>
      <c r="M49" s="27"/>
      <c r="N49" s="27"/>
      <c r="O49" s="27"/>
      <c r="P49" s="27"/>
      <c r="Q49" s="27"/>
      <c r="R49" s="27"/>
      <c r="S49" s="27"/>
      <c r="T49" s="27"/>
    </row>
    <row r="50" spans="1:20" ht="16.5" customHeight="1" x14ac:dyDescent="0.2">
      <c r="A50" s="425">
        <v>3</v>
      </c>
      <c r="B50" s="425" t="s">
        <v>408</v>
      </c>
      <c r="C50" s="426">
        <v>0.04</v>
      </c>
      <c r="D50" s="426">
        <v>0.04</v>
      </c>
      <c r="E50" s="1"/>
      <c r="F50" s="27"/>
      <c r="G50" s="27"/>
      <c r="H50" s="27"/>
      <c r="I50" s="27"/>
      <c r="J50" s="27"/>
      <c r="K50" s="27"/>
      <c r="L50" s="27"/>
      <c r="M50" s="27"/>
      <c r="N50" s="27"/>
      <c r="O50" s="27"/>
      <c r="P50" s="27"/>
      <c r="Q50" s="27"/>
      <c r="R50" s="27"/>
      <c r="S50" s="27"/>
      <c r="T50" s="27"/>
    </row>
    <row r="51" spans="1:20" ht="16.5" customHeight="1" x14ac:dyDescent="0.2">
      <c r="A51" s="425">
        <v>4</v>
      </c>
      <c r="B51" s="425" t="s">
        <v>47</v>
      </c>
      <c r="C51" s="427">
        <f>+C48*(1+C49)*(1+C50)</f>
        <v>0.34944000000000003</v>
      </c>
      <c r="D51" s="427">
        <f>+D48*(1+D49)*(1+D50)</f>
        <v>0.17472000000000001</v>
      </c>
      <c r="E51" s="1"/>
      <c r="F51" s="27"/>
      <c r="G51" s="27"/>
      <c r="H51" s="27"/>
      <c r="I51" s="27"/>
      <c r="J51" s="27"/>
      <c r="K51" s="27"/>
      <c r="L51" s="27"/>
      <c r="M51" s="27"/>
      <c r="N51" s="27"/>
      <c r="O51" s="27"/>
      <c r="P51" s="27"/>
      <c r="Q51" s="27"/>
      <c r="R51" s="27"/>
      <c r="S51" s="27"/>
      <c r="T51" s="27"/>
    </row>
    <row r="52" spans="1:20" ht="16.5" customHeight="1" x14ac:dyDescent="0.2">
      <c r="A52" s="13"/>
      <c r="B52" s="759" t="s">
        <v>399</v>
      </c>
      <c r="C52" s="759"/>
      <c r="D52" s="1"/>
      <c r="E52" s="1"/>
      <c r="F52" s="27"/>
      <c r="G52" s="27"/>
      <c r="H52" s="27"/>
      <c r="I52" s="27"/>
      <c r="J52" s="27"/>
      <c r="K52" s="27"/>
      <c r="L52" s="27"/>
      <c r="M52" s="27"/>
      <c r="N52" s="27"/>
      <c r="O52" s="27"/>
      <c r="P52" s="27"/>
      <c r="Q52" s="27"/>
      <c r="R52" s="27"/>
      <c r="S52" s="27"/>
      <c r="T52" s="27"/>
    </row>
    <row r="53" spans="1:20" ht="16.5" customHeight="1" x14ac:dyDescent="0.2">
      <c r="A53" s="13"/>
      <c r="D53" s="1"/>
      <c r="E53" s="1"/>
      <c r="F53" s="27"/>
      <c r="G53" s="27"/>
      <c r="H53" s="27"/>
      <c r="I53" s="27"/>
      <c r="J53" s="27"/>
      <c r="K53" s="27"/>
      <c r="L53" s="27"/>
      <c r="M53" s="27"/>
      <c r="N53" s="27"/>
      <c r="O53" s="27"/>
      <c r="P53" s="27"/>
      <c r="Q53" s="27"/>
      <c r="R53" s="27"/>
      <c r="S53" s="27"/>
      <c r="T53" s="27"/>
    </row>
    <row r="54" spans="1:20" ht="16.5" customHeight="1" x14ac:dyDescent="0.2">
      <c r="A54" s="13"/>
      <c r="B54" s="260" t="s">
        <v>400</v>
      </c>
      <c r="C54" s="272">
        <f>Norms!B52</f>
        <v>0.09</v>
      </c>
      <c r="D54" s="1"/>
      <c r="E54" s="1"/>
      <c r="F54" s="27"/>
      <c r="G54" s="27"/>
      <c r="H54" s="27"/>
      <c r="I54" s="27"/>
      <c r="J54" s="27"/>
      <c r="K54" s="27"/>
      <c r="L54" s="27"/>
      <c r="M54" s="27"/>
      <c r="N54" s="27"/>
      <c r="O54" s="27"/>
      <c r="P54" s="27"/>
      <c r="Q54" s="27"/>
      <c r="R54" s="27"/>
      <c r="S54" s="27"/>
      <c r="T54" s="27"/>
    </row>
    <row r="55" spans="1:20" ht="16.5" customHeight="1" x14ac:dyDescent="0.2">
      <c r="A55" s="13"/>
      <c r="B55" s="260" t="s">
        <v>401</v>
      </c>
      <c r="C55" s="272">
        <f>Norms!B53</f>
        <v>0.08</v>
      </c>
      <c r="D55" s="1"/>
      <c r="E55" s="1"/>
      <c r="F55" s="27"/>
      <c r="G55" s="27"/>
      <c r="H55" s="27"/>
      <c r="I55" s="27"/>
      <c r="J55" s="27"/>
      <c r="K55" s="27"/>
      <c r="L55" s="27"/>
      <c r="M55" s="27"/>
      <c r="N55" s="27"/>
      <c r="O55" s="27"/>
      <c r="P55" s="27"/>
      <c r="Q55" s="27"/>
      <c r="R55" s="27"/>
      <c r="S55" s="27"/>
      <c r="T55" s="27"/>
    </row>
    <row r="56" spans="1:20" s="1" customFormat="1" x14ac:dyDescent="0.2">
      <c r="C56" s="447"/>
      <c r="D56" s="447"/>
      <c r="E56" s="447"/>
      <c r="F56" s="447"/>
      <c r="G56" s="447"/>
      <c r="H56" s="630"/>
      <c r="I56" s="447"/>
      <c r="J56" s="447"/>
      <c r="K56" s="630"/>
      <c r="L56" s="447"/>
    </row>
    <row r="57" spans="1:20" s="1" customFormat="1" x14ac:dyDescent="0.2">
      <c r="A57" s="755" t="s">
        <v>359</v>
      </c>
      <c r="B57" s="755"/>
      <c r="C57" s="755"/>
      <c r="D57" s="755"/>
      <c r="E57" s="755"/>
      <c r="F57" s="755"/>
      <c r="G57" s="755"/>
      <c r="H57" s="755"/>
      <c r="I57" s="755"/>
      <c r="J57" s="755"/>
      <c r="K57" s="755"/>
      <c r="L57" s="755"/>
      <c r="M57" s="755"/>
      <c r="N57" s="755"/>
      <c r="O57" s="755"/>
      <c r="P57" s="755"/>
      <c r="Q57" s="755"/>
      <c r="R57" s="755"/>
      <c r="S57" s="755"/>
    </row>
    <row r="58" spans="1:20" s="1" customFormat="1" x14ac:dyDescent="0.2">
      <c r="C58" s="756" t="s">
        <v>360</v>
      </c>
      <c r="D58" s="757"/>
      <c r="S58" s="35"/>
      <c r="T58" s="35"/>
    </row>
    <row r="59" spans="1:20" s="1" customFormat="1" x14ac:dyDescent="0.2">
      <c r="A59" s="428" t="s">
        <v>361</v>
      </c>
      <c r="B59" s="429" t="s">
        <v>333</v>
      </c>
      <c r="C59" s="430">
        <v>-2</v>
      </c>
      <c r="D59" s="430">
        <v>-1</v>
      </c>
      <c r="E59" s="431" t="s">
        <v>362</v>
      </c>
      <c r="F59" s="431" t="s">
        <v>334</v>
      </c>
      <c r="G59" s="431" t="s">
        <v>335</v>
      </c>
      <c r="H59" s="431" t="s">
        <v>336</v>
      </c>
      <c r="I59" s="431" t="s">
        <v>337</v>
      </c>
      <c r="J59" s="431" t="s">
        <v>338</v>
      </c>
      <c r="K59" s="431" t="s">
        <v>339</v>
      </c>
      <c r="L59" s="431" t="s">
        <v>340</v>
      </c>
      <c r="M59" s="431" t="s">
        <v>341</v>
      </c>
      <c r="N59" s="431" t="s">
        <v>342</v>
      </c>
      <c r="O59" s="431" t="s">
        <v>343</v>
      </c>
      <c r="P59" s="431" t="s">
        <v>344</v>
      </c>
      <c r="Q59" s="431" t="s">
        <v>345</v>
      </c>
      <c r="R59" s="431" t="s">
        <v>346</v>
      </c>
      <c r="S59" s="431" t="s">
        <v>347</v>
      </c>
      <c r="T59" s="35">
        <f>+S59+1</f>
        <v>16</v>
      </c>
    </row>
    <row r="60" spans="1:20" s="1" customFormat="1" x14ac:dyDescent="0.2">
      <c r="B60" s="432" t="s">
        <v>363</v>
      </c>
      <c r="C60" s="260"/>
      <c r="D60" s="260"/>
      <c r="E60" s="433"/>
      <c r="F60" s="433"/>
      <c r="G60" s="433"/>
      <c r="H60" s="433"/>
      <c r="I60" s="433"/>
      <c r="J60" s="433"/>
      <c r="K60" s="433"/>
      <c r="L60" s="433"/>
      <c r="M60" s="433"/>
      <c r="N60" s="433"/>
      <c r="O60" s="433"/>
      <c r="P60" s="433"/>
      <c r="Q60" s="433"/>
      <c r="R60" s="433"/>
      <c r="S60" s="433"/>
    </row>
    <row r="61" spans="1:20" s="1" customFormat="1" x14ac:dyDescent="0.2">
      <c r="A61" s="270">
        <v>1.1000000000000001</v>
      </c>
      <c r="B61" s="434" t="s">
        <v>353</v>
      </c>
      <c r="C61" s="270"/>
      <c r="D61" s="270"/>
      <c r="E61" s="435">
        <f t="shared" ref="E61:T61" si="38">F24</f>
        <v>132.41884712482189</v>
      </c>
      <c r="F61" s="435">
        <f t="shared" si="38"/>
        <v>185.51257958735749</v>
      </c>
      <c r="G61" s="435">
        <f t="shared" si="38"/>
        <v>194.85787109709639</v>
      </c>
      <c r="H61" s="435">
        <f t="shared" si="38"/>
        <v>194.85787109709639</v>
      </c>
      <c r="I61" s="435">
        <f t="shared" si="38"/>
        <v>194.85787109709639</v>
      </c>
      <c r="J61" s="435">
        <f t="shared" si="38"/>
        <v>194.85787109709639</v>
      </c>
      <c r="K61" s="435">
        <f t="shared" si="38"/>
        <v>194.85787109709639</v>
      </c>
      <c r="L61" s="435">
        <f t="shared" si="38"/>
        <v>194.85787109709639</v>
      </c>
      <c r="M61" s="435">
        <f t="shared" si="38"/>
        <v>194.85787109709639</v>
      </c>
      <c r="N61" s="435">
        <f t="shared" si="38"/>
        <v>194.85787109709639</v>
      </c>
      <c r="O61" s="435">
        <f t="shared" si="38"/>
        <v>194.85787109709639</v>
      </c>
      <c r="P61" s="435">
        <f t="shared" si="38"/>
        <v>187.04473451506516</v>
      </c>
      <c r="Q61" s="435">
        <f t="shared" si="38"/>
        <v>187.04473451506516</v>
      </c>
      <c r="R61" s="435">
        <f t="shared" si="38"/>
        <v>194.85787109709639</v>
      </c>
      <c r="S61" s="435">
        <f t="shared" si="38"/>
        <v>194.85787109709639</v>
      </c>
      <c r="T61" s="435">
        <f t="shared" si="38"/>
        <v>0</v>
      </c>
    </row>
    <row r="62" spans="1:20" s="1" customFormat="1" x14ac:dyDescent="0.2">
      <c r="A62" s="436">
        <v>2</v>
      </c>
      <c r="B62" s="437" t="s">
        <v>522</v>
      </c>
      <c r="C62" s="270"/>
      <c r="D62" s="270"/>
      <c r="E62" s="435">
        <f>'Working Capital'!D20</f>
        <v>9.9764937586058959</v>
      </c>
      <c r="F62" s="435">
        <f>'Working Capital'!E20</f>
        <v>1.2657124487215903</v>
      </c>
      <c r="G62" s="435">
        <f>'Working Capital'!F20</f>
        <v>1.8985686730823854</v>
      </c>
      <c r="H62" s="435">
        <f>'Working Capital'!G20</f>
        <v>0</v>
      </c>
      <c r="I62" s="435">
        <f>'Working Capital'!H20</f>
        <v>0</v>
      </c>
      <c r="J62" s="435">
        <f>'Working Capital'!I20</f>
        <v>0</v>
      </c>
      <c r="K62" s="435">
        <f>'Working Capital'!J20</f>
        <v>0</v>
      </c>
      <c r="L62" s="435">
        <f>'Working Capital'!K20</f>
        <v>0</v>
      </c>
      <c r="M62" s="435">
        <f>'Working Capital'!L20</f>
        <v>0</v>
      </c>
      <c r="N62" s="435">
        <f>'Working Capital'!M20</f>
        <v>0</v>
      </c>
      <c r="O62" s="435">
        <f>'Working Capital'!N20</f>
        <v>0</v>
      </c>
      <c r="P62" s="435">
        <f>'Working Capital'!O20</f>
        <v>-0.26635692893288443</v>
      </c>
      <c r="Q62" s="435">
        <f>'Working Capital'!P20</f>
        <v>0</v>
      </c>
      <c r="R62" s="435">
        <f>'Working Capital'!Q20</f>
        <v>0.26635692893288443</v>
      </c>
      <c r="S62" s="435">
        <f>'Working Capital'!R20</f>
        <v>0</v>
      </c>
      <c r="T62" s="435">
        <f>'Working Capital'!S20</f>
        <v>0</v>
      </c>
    </row>
    <row r="63" spans="1:20" s="1" customFormat="1" x14ac:dyDescent="0.2">
      <c r="A63" s="436">
        <v>3</v>
      </c>
      <c r="B63" s="437" t="s">
        <v>364</v>
      </c>
      <c r="C63" s="271">
        <f>Capex!H84/100</f>
        <v>146.56136437499998</v>
      </c>
      <c r="D63" s="438">
        <f>(Capex!H85+Capex!H86)/100</f>
        <v>293.12272875000002</v>
      </c>
      <c r="E63" s="435">
        <v>0</v>
      </c>
      <c r="F63" s="435">
        <v>0</v>
      </c>
      <c r="G63" s="435">
        <v>0</v>
      </c>
      <c r="H63" s="435">
        <v>0</v>
      </c>
      <c r="I63" s="435">
        <v>0</v>
      </c>
      <c r="J63" s="435">
        <v>0</v>
      </c>
      <c r="K63" s="435">
        <v>0</v>
      </c>
      <c r="L63" s="435">
        <v>0</v>
      </c>
      <c r="M63" s="435">
        <v>0</v>
      </c>
      <c r="N63" s="435">
        <v>0</v>
      </c>
      <c r="O63" s="435">
        <v>0</v>
      </c>
      <c r="P63" s="435">
        <v>0</v>
      </c>
      <c r="Q63" s="435">
        <v>0</v>
      </c>
      <c r="R63" s="435">
        <v>0</v>
      </c>
      <c r="S63" s="435">
        <v>0</v>
      </c>
      <c r="T63" s="435">
        <v>0</v>
      </c>
    </row>
    <row r="64" spans="1:20" s="1" customFormat="1" x14ac:dyDescent="0.2">
      <c r="A64" s="436">
        <v>4</v>
      </c>
      <c r="B64" s="437" t="s">
        <v>530</v>
      </c>
      <c r="C64" s="439">
        <f>Capex!B77/100</f>
        <v>146.56136437500001</v>
      </c>
      <c r="D64" s="270">
        <v>0</v>
      </c>
      <c r="E64" s="435">
        <v>0</v>
      </c>
      <c r="F64" s="435">
        <v>0</v>
      </c>
      <c r="G64" s="435">
        <v>0</v>
      </c>
      <c r="H64" s="435">
        <v>0</v>
      </c>
      <c r="I64" s="435">
        <v>0</v>
      </c>
      <c r="J64" s="435">
        <v>0</v>
      </c>
      <c r="K64" s="435">
        <v>0</v>
      </c>
      <c r="L64" s="435">
        <v>0</v>
      </c>
      <c r="M64" s="435">
        <v>0</v>
      </c>
      <c r="N64" s="435">
        <v>0</v>
      </c>
      <c r="O64" s="435">
        <v>0</v>
      </c>
      <c r="P64" s="435">
        <v>0</v>
      </c>
      <c r="Q64" s="435">
        <v>0</v>
      </c>
      <c r="R64" s="435">
        <v>0</v>
      </c>
      <c r="S64" s="435">
        <v>0</v>
      </c>
      <c r="T64" s="435">
        <v>0</v>
      </c>
    </row>
    <row r="65" spans="1:20" s="1" customFormat="1" x14ac:dyDescent="0.2">
      <c r="A65" s="436">
        <v>5</v>
      </c>
      <c r="B65" s="440" t="s">
        <v>521</v>
      </c>
      <c r="C65" s="441"/>
      <c r="D65" s="441"/>
      <c r="E65" s="441">
        <f t="shared" ref="E65:T65" si="39">F27</f>
        <v>36.848479459750003</v>
      </c>
      <c r="F65" s="441">
        <f t="shared" si="39"/>
        <v>36.848479459750003</v>
      </c>
      <c r="G65" s="441">
        <f t="shared" si="39"/>
        <v>36.848479459750003</v>
      </c>
      <c r="H65" s="441">
        <f t="shared" si="39"/>
        <v>36.848479459750003</v>
      </c>
      <c r="I65" s="441">
        <f t="shared" si="39"/>
        <v>36.848479459750003</v>
      </c>
      <c r="J65" s="441">
        <f t="shared" si="39"/>
        <v>36.848479459750003</v>
      </c>
      <c r="K65" s="441">
        <f t="shared" si="39"/>
        <v>36.848479459750003</v>
      </c>
      <c r="L65" s="441">
        <f t="shared" si="39"/>
        <v>36.848479459750003</v>
      </c>
      <c r="M65" s="441">
        <f t="shared" si="39"/>
        <v>36.848479459750003</v>
      </c>
      <c r="N65" s="441">
        <f t="shared" si="39"/>
        <v>36.848479459750003</v>
      </c>
      <c r="O65" s="441">
        <f t="shared" si="39"/>
        <v>36.848479459750003</v>
      </c>
      <c r="P65" s="441">
        <f t="shared" si="39"/>
        <v>36.848479459750003</v>
      </c>
      <c r="Q65" s="441">
        <f t="shared" si="39"/>
        <v>36.848479459750003</v>
      </c>
      <c r="R65" s="441">
        <f t="shared" si="39"/>
        <v>36.848479459750003</v>
      </c>
      <c r="S65" s="441">
        <f t="shared" si="39"/>
        <v>36.848479459750003</v>
      </c>
      <c r="T65" s="441">
        <f t="shared" si="39"/>
        <v>0</v>
      </c>
    </row>
    <row r="66" spans="1:20" s="1" customFormat="1" x14ac:dyDescent="0.2">
      <c r="A66" s="436"/>
      <c r="B66" s="442" t="s">
        <v>365</v>
      </c>
      <c r="C66" s="435">
        <f>SUM(C61:C65)</f>
        <v>293.12272874999996</v>
      </c>
      <c r="D66" s="435">
        <f t="shared" ref="D66:T66" si="40">SUM(D61:D65)</f>
        <v>293.12272875000002</v>
      </c>
      <c r="E66" s="435">
        <f t="shared" si="40"/>
        <v>179.24382034317779</v>
      </c>
      <c r="F66" s="435">
        <f t="shared" si="40"/>
        <v>223.62677149582908</v>
      </c>
      <c r="G66" s="435">
        <f t="shared" si="40"/>
        <v>233.60491922992878</v>
      </c>
      <c r="H66" s="435">
        <f t="shared" si="40"/>
        <v>231.70635055684639</v>
      </c>
      <c r="I66" s="435">
        <f t="shared" si="40"/>
        <v>231.70635055684639</v>
      </c>
      <c r="J66" s="435">
        <f t="shared" si="40"/>
        <v>231.70635055684639</v>
      </c>
      <c r="K66" s="435">
        <f t="shared" si="40"/>
        <v>231.70635055684639</v>
      </c>
      <c r="L66" s="435">
        <f t="shared" si="40"/>
        <v>231.70635055684639</v>
      </c>
      <c r="M66" s="435">
        <f t="shared" si="40"/>
        <v>231.70635055684639</v>
      </c>
      <c r="N66" s="435">
        <f t="shared" si="40"/>
        <v>231.70635055684639</v>
      </c>
      <c r="O66" s="435">
        <f t="shared" si="40"/>
        <v>231.70635055684639</v>
      </c>
      <c r="P66" s="435">
        <f t="shared" si="40"/>
        <v>223.62685704588228</v>
      </c>
      <c r="Q66" s="435">
        <f t="shared" si="40"/>
        <v>223.89321397481515</v>
      </c>
      <c r="R66" s="435">
        <f t="shared" si="40"/>
        <v>231.97270748577927</v>
      </c>
      <c r="S66" s="435">
        <f t="shared" si="40"/>
        <v>231.70635055684639</v>
      </c>
      <c r="T66" s="435">
        <f t="shared" si="40"/>
        <v>0</v>
      </c>
    </row>
    <row r="67" spans="1:20" s="1" customFormat="1" x14ac:dyDescent="0.2">
      <c r="A67" s="436"/>
      <c r="B67" s="443"/>
      <c r="C67" s="270"/>
      <c r="D67" s="270"/>
      <c r="E67" s="435"/>
      <c r="F67" s="435"/>
      <c r="G67" s="435"/>
      <c r="H67" s="435"/>
      <c r="I67" s="435"/>
      <c r="J67" s="435"/>
      <c r="K67" s="435"/>
      <c r="L67" s="435"/>
      <c r="M67" s="435"/>
      <c r="N67" s="435"/>
      <c r="O67" s="435"/>
      <c r="P67" s="435"/>
      <c r="Q67" s="435"/>
      <c r="R67" s="435"/>
      <c r="S67" s="435"/>
      <c r="T67" s="435"/>
    </row>
    <row r="68" spans="1:20" s="1" customFormat="1" x14ac:dyDescent="0.2">
      <c r="A68" s="436" t="s">
        <v>24</v>
      </c>
      <c r="B68" s="444" t="s">
        <v>366</v>
      </c>
      <c r="C68" s="270"/>
      <c r="D68" s="270"/>
      <c r="E68" s="445"/>
      <c r="F68" s="270"/>
      <c r="G68" s="270"/>
      <c r="H68" s="270"/>
      <c r="I68" s="270"/>
      <c r="J68" s="270"/>
      <c r="K68" s="270"/>
      <c r="L68" s="270"/>
      <c r="M68" s="270"/>
      <c r="N68" s="270"/>
      <c r="O68" s="270"/>
      <c r="P68" s="270"/>
      <c r="Q68" s="270"/>
      <c r="R68" s="270"/>
      <c r="S68" s="270"/>
      <c r="T68" s="270"/>
    </row>
    <row r="69" spans="1:20" s="1" customFormat="1" x14ac:dyDescent="0.2">
      <c r="A69" s="436">
        <v>1</v>
      </c>
      <c r="B69" s="437" t="s">
        <v>367</v>
      </c>
      <c r="C69" s="464">
        <f>Capex!B71/100/2</f>
        <v>293.12272875000002</v>
      </c>
      <c r="D69" s="464">
        <f>C69</f>
        <v>293.12272875000002</v>
      </c>
      <c r="E69" s="445">
        <v>0</v>
      </c>
      <c r="F69" s="270">
        <v>0</v>
      </c>
      <c r="G69" s="270">
        <v>0</v>
      </c>
      <c r="H69" s="270">
        <v>0</v>
      </c>
      <c r="I69" s="270">
        <v>0</v>
      </c>
      <c r="J69" s="270">
        <v>0</v>
      </c>
      <c r="K69" s="270">
        <v>0</v>
      </c>
      <c r="L69" s="270">
        <v>0</v>
      </c>
      <c r="M69" s="270">
        <v>0</v>
      </c>
      <c r="N69" s="270">
        <v>0</v>
      </c>
      <c r="O69" s="270">
        <v>0</v>
      </c>
      <c r="P69" s="270">
        <v>0</v>
      </c>
      <c r="Q69" s="270">
        <v>0</v>
      </c>
      <c r="R69" s="270">
        <v>0</v>
      </c>
      <c r="S69" s="270">
        <v>0</v>
      </c>
      <c r="T69" s="270">
        <v>1</v>
      </c>
    </row>
    <row r="70" spans="1:20" s="1" customFormat="1" x14ac:dyDescent="0.2">
      <c r="A70" s="436">
        <v>2</v>
      </c>
      <c r="B70" s="372" t="s">
        <v>523</v>
      </c>
      <c r="C70" s="270"/>
      <c r="D70" s="270"/>
      <c r="E70" s="446">
        <f>'Working Capital'!D13</f>
        <v>13.301991678141194</v>
      </c>
      <c r="F70" s="271">
        <f>'Working Capital'!E13-'Working Capital'!D13</f>
        <v>1.6876165982954543</v>
      </c>
      <c r="G70" s="271">
        <f>'Working Capital'!F13-'Working Capital'!E13</f>
        <v>2.5314248974431806</v>
      </c>
      <c r="H70" s="271">
        <f>'Working Capital'!G13-'Working Capital'!F13</f>
        <v>0</v>
      </c>
      <c r="I70" s="271">
        <f>'Working Capital'!H13-'Working Capital'!G13</f>
        <v>0</v>
      </c>
      <c r="J70" s="271">
        <f>'Working Capital'!I13-'Working Capital'!H13</f>
        <v>0</v>
      </c>
      <c r="K70" s="271">
        <f>'Working Capital'!J13-'Working Capital'!I13</f>
        <v>0</v>
      </c>
      <c r="L70" s="271">
        <f>'Working Capital'!K13-'Working Capital'!J13</f>
        <v>0</v>
      </c>
      <c r="M70" s="271">
        <f>'Working Capital'!L13-'Working Capital'!K13</f>
        <v>0</v>
      </c>
      <c r="N70" s="271">
        <f>'Working Capital'!M13-'Working Capital'!L13</f>
        <v>0</v>
      </c>
      <c r="O70" s="271">
        <f>'Working Capital'!N13-'Working Capital'!M13</f>
        <v>0</v>
      </c>
      <c r="P70" s="271">
        <f>'Working Capital'!O13-'Working Capital'!N13</f>
        <v>-0.35514257191051257</v>
      </c>
      <c r="Q70" s="271">
        <f>'Working Capital'!P13-'Working Capital'!O13</f>
        <v>0</v>
      </c>
      <c r="R70" s="271">
        <f>'Working Capital'!Q13-'Working Capital'!P13</f>
        <v>0.35514257191051257</v>
      </c>
      <c r="S70" s="271">
        <f>'Working Capital'!R13-'Working Capital'!Q13</f>
        <v>0</v>
      </c>
      <c r="T70" s="271">
        <f>'Working Capital'!S13-'Working Capital'!R13</f>
        <v>-17.521033173879829</v>
      </c>
    </row>
    <row r="71" spans="1:20" s="1" customFormat="1" x14ac:dyDescent="0.2">
      <c r="A71" s="436">
        <v>3</v>
      </c>
      <c r="B71" s="372" t="s">
        <v>524</v>
      </c>
      <c r="C71" s="435"/>
      <c r="D71" s="435"/>
      <c r="E71" s="435">
        <f>E89</f>
        <v>60.071839223203135</v>
      </c>
      <c r="F71" s="435">
        <f t="shared" ref="F71:T71" si="41">F89</f>
        <v>60.071839223203135</v>
      </c>
      <c r="G71" s="435">
        <f t="shared" si="41"/>
        <v>60.071839223203135</v>
      </c>
      <c r="H71" s="435">
        <f t="shared" si="41"/>
        <v>60.071839223203135</v>
      </c>
      <c r="I71" s="435">
        <f t="shared" si="41"/>
        <v>60.071839223203135</v>
      </c>
      <c r="J71" s="435">
        <f t="shared" si="41"/>
        <v>60.071839223203135</v>
      </c>
      <c r="K71" s="435">
        <f t="shared" si="41"/>
        <v>60.071839223203135</v>
      </c>
      <c r="L71" s="435">
        <f t="shared" si="41"/>
        <v>60.071839223203135</v>
      </c>
      <c r="M71" s="435">
        <f>M89</f>
        <v>0</v>
      </c>
      <c r="N71" s="435">
        <f t="shared" si="41"/>
        <v>0</v>
      </c>
      <c r="O71" s="435">
        <f t="shared" si="41"/>
        <v>0</v>
      </c>
      <c r="P71" s="435">
        <f t="shared" si="41"/>
        <v>0</v>
      </c>
      <c r="Q71" s="435">
        <f t="shared" si="41"/>
        <v>0</v>
      </c>
      <c r="R71" s="435">
        <f t="shared" si="41"/>
        <v>0</v>
      </c>
      <c r="S71" s="435">
        <f t="shared" si="41"/>
        <v>0</v>
      </c>
      <c r="T71" s="435">
        <f t="shared" si="41"/>
        <v>0</v>
      </c>
    </row>
    <row r="72" spans="1:20" s="1" customFormat="1" x14ac:dyDescent="0.2">
      <c r="A72" s="436">
        <v>4</v>
      </c>
      <c r="B72" s="372" t="s">
        <v>368</v>
      </c>
      <c r="C72" s="270"/>
      <c r="D72" s="270"/>
      <c r="E72" s="435">
        <f t="shared" ref="E72:T72" si="42">F26</f>
        <v>43.251724240706253</v>
      </c>
      <c r="F72" s="435">
        <f t="shared" si="42"/>
        <v>37.845258710617976</v>
      </c>
      <c r="G72" s="435">
        <f t="shared" si="42"/>
        <v>32.438793180529693</v>
      </c>
      <c r="H72" s="435">
        <f t="shared" si="42"/>
        <v>27.032327650441406</v>
      </c>
      <c r="I72" s="435">
        <f t="shared" si="42"/>
        <v>21.625862120353126</v>
      </c>
      <c r="J72" s="435">
        <f t="shared" si="42"/>
        <v>16.219396590264843</v>
      </c>
      <c r="K72" s="435">
        <f t="shared" si="42"/>
        <v>10.81293106017656</v>
      </c>
      <c r="L72" s="435">
        <f t="shared" si="42"/>
        <v>5.406465530088278</v>
      </c>
      <c r="M72" s="435">
        <f t="shared" si="42"/>
        <v>0</v>
      </c>
      <c r="N72" s="435">
        <f t="shared" si="42"/>
        <v>0</v>
      </c>
      <c r="O72" s="435">
        <f t="shared" si="42"/>
        <v>0</v>
      </c>
      <c r="P72" s="435">
        <f t="shared" si="42"/>
        <v>0</v>
      </c>
      <c r="Q72" s="435">
        <f t="shared" si="42"/>
        <v>0</v>
      </c>
      <c r="R72" s="435">
        <f t="shared" si="42"/>
        <v>0</v>
      </c>
      <c r="S72" s="435">
        <f t="shared" si="42"/>
        <v>0</v>
      </c>
      <c r="T72" s="435">
        <f t="shared" si="42"/>
        <v>0</v>
      </c>
    </row>
    <row r="73" spans="1:20" s="1" customFormat="1" x14ac:dyDescent="0.2">
      <c r="A73" s="436">
        <v>5</v>
      </c>
      <c r="B73" s="372" t="s">
        <v>525</v>
      </c>
      <c r="C73" s="270"/>
      <c r="D73" s="271"/>
      <c r="E73" s="446">
        <f t="shared" ref="E73:T73" si="43">F25</f>
        <v>0.79811950068847171</v>
      </c>
      <c r="F73" s="446">
        <f t="shared" si="43"/>
        <v>0.89937649658619889</v>
      </c>
      <c r="G73" s="446">
        <f t="shared" si="43"/>
        <v>1.0512619904327898</v>
      </c>
      <c r="H73" s="446">
        <f t="shared" si="43"/>
        <v>1.0512619904327898</v>
      </c>
      <c r="I73" s="446">
        <f t="shared" si="43"/>
        <v>1.0512619904327898</v>
      </c>
      <c r="J73" s="446">
        <f t="shared" si="43"/>
        <v>1.0512619904327898</v>
      </c>
      <c r="K73" s="446">
        <f t="shared" si="43"/>
        <v>1.0512619904327898</v>
      </c>
      <c r="L73" s="446">
        <f t="shared" si="43"/>
        <v>1.0512619904327898</v>
      </c>
      <c r="M73" s="446">
        <f t="shared" si="43"/>
        <v>1.0512619904327898</v>
      </c>
      <c r="N73" s="446">
        <f t="shared" si="43"/>
        <v>1.0512619904327898</v>
      </c>
      <c r="O73" s="446">
        <f t="shared" si="43"/>
        <v>1.0512619904327898</v>
      </c>
      <c r="P73" s="446">
        <f t="shared" si="43"/>
        <v>1.029953436118159</v>
      </c>
      <c r="Q73" s="446">
        <f t="shared" si="43"/>
        <v>1.029953436118159</v>
      </c>
      <c r="R73" s="446">
        <f t="shared" si="43"/>
        <v>1.0512619904327898</v>
      </c>
      <c r="S73" s="446">
        <f t="shared" si="43"/>
        <v>1.0512619904327898</v>
      </c>
      <c r="T73" s="446">
        <f t="shared" si="43"/>
        <v>0</v>
      </c>
    </row>
    <row r="74" spans="1:20" s="1" customFormat="1" x14ac:dyDescent="0.2">
      <c r="A74" s="436">
        <v>6</v>
      </c>
      <c r="B74" s="385" t="s">
        <v>526</v>
      </c>
      <c r="C74" s="270"/>
      <c r="D74" s="270"/>
      <c r="E74" s="435">
        <f t="shared" ref="E74:T74" si="44">F29</f>
        <v>28.564364061392798</v>
      </c>
      <c r="F74" s="435">
        <f t="shared" si="44"/>
        <v>51.690676378149249</v>
      </c>
      <c r="G74" s="435">
        <f t="shared" si="44"/>
        <v>58.844990035203203</v>
      </c>
      <c r="H74" s="435">
        <f t="shared" si="44"/>
        <v>62.151678860550383</v>
      </c>
      <c r="I74" s="435">
        <f t="shared" si="44"/>
        <v>64.963532636111481</v>
      </c>
      <c r="J74" s="435">
        <f t="shared" si="44"/>
        <v>67.354659791952827</v>
      </c>
      <c r="K74" s="435">
        <f t="shared" si="44"/>
        <v>69.388064176370918</v>
      </c>
      <c r="L74" s="435">
        <f t="shared" si="44"/>
        <v>71.117309574883976</v>
      </c>
      <c r="M74" s="435">
        <f t="shared" si="44"/>
        <v>72.587934668201967</v>
      </c>
      <c r="N74" s="435">
        <f t="shared" si="44"/>
        <v>73.838655851645953</v>
      </c>
      <c r="O74" s="435">
        <f t="shared" si="44"/>
        <v>74.902389726284696</v>
      </c>
      <c r="P74" s="435">
        <f t="shared" si="44"/>
        <v>73.076899854342827</v>
      </c>
      <c r="Q74" s="435">
        <f t="shared" si="44"/>
        <v>73.84642544698967</v>
      </c>
      <c r="R74" s="435">
        <f t="shared" si="44"/>
        <v>77.231197261255033</v>
      </c>
      <c r="S74" s="435">
        <f t="shared" si="44"/>
        <v>77.787971575200871</v>
      </c>
      <c r="T74" s="435">
        <f t="shared" si="44"/>
        <v>0</v>
      </c>
    </row>
    <row r="75" spans="1:20" s="1" customFormat="1" x14ac:dyDescent="0.2">
      <c r="A75" s="436"/>
      <c r="B75" s="443" t="s">
        <v>369</v>
      </c>
      <c r="C75" s="435">
        <f t="shared" ref="C75:T75" si="45">SUM(C69:C74)</f>
        <v>293.12272875000002</v>
      </c>
      <c r="D75" s="435">
        <f t="shared" si="45"/>
        <v>293.12272875000002</v>
      </c>
      <c r="E75" s="435">
        <f t="shared" si="45"/>
        <v>145.98803870413187</v>
      </c>
      <c r="F75" s="271">
        <f t="shared" si="45"/>
        <v>152.19476740685201</v>
      </c>
      <c r="G75" s="271">
        <f t="shared" si="45"/>
        <v>154.938309326812</v>
      </c>
      <c r="H75" s="271">
        <f t="shared" si="45"/>
        <v>150.30710772462771</v>
      </c>
      <c r="I75" s="271">
        <f t="shared" si="45"/>
        <v>147.71249597010052</v>
      </c>
      <c r="J75" s="271">
        <f t="shared" si="45"/>
        <v>144.69715759585358</v>
      </c>
      <c r="K75" s="271">
        <f t="shared" si="45"/>
        <v>141.32409645018339</v>
      </c>
      <c r="L75" s="271">
        <f t="shared" si="45"/>
        <v>137.64687631860818</v>
      </c>
      <c r="M75" s="271">
        <f t="shared" si="45"/>
        <v>73.639196658634759</v>
      </c>
      <c r="N75" s="271">
        <f t="shared" si="45"/>
        <v>74.889917842078745</v>
      </c>
      <c r="O75" s="271">
        <f t="shared" si="45"/>
        <v>75.953651716717488</v>
      </c>
      <c r="P75" s="271">
        <f t="shared" si="45"/>
        <v>73.75171071855047</v>
      </c>
      <c r="Q75" s="271">
        <f t="shared" si="45"/>
        <v>74.876378883107833</v>
      </c>
      <c r="R75" s="271">
        <f t="shared" si="45"/>
        <v>78.637601823598331</v>
      </c>
      <c r="S75" s="271">
        <f t="shared" si="45"/>
        <v>78.839233565633663</v>
      </c>
      <c r="T75" s="271">
        <f t="shared" si="45"/>
        <v>-16.521033173879829</v>
      </c>
    </row>
    <row r="76" spans="1:20" s="1" customFormat="1" x14ac:dyDescent="0.2">
      <c r="A76" s="436" t="s">
        <v>370</v>
      </c>
      <c r="B76" s="443" t="s">
        <v>371</v>
      </c>
      <c r="C76" s="435">
        <f t="shared" ref="C76:T76" si="46">C66-C75</f>
        <v>0</v>
      </c>
      <c r="D76" s="435">
        <f t="shared" si="46"/>
        <v>0</v>
      </c>
      <c r="E76" s="435">
        <f t="shared" si="46"/>
        <v>33.255781639045921</v>
      </c>
      <c r="F76" s="435">
        <f t="shared" si="46"/>
        <v>71.432004088977067</v>
      </c>
      <c r="G76" s="435">
        <f t="shared" si="46"/>
        <v>78.666609903116779</v>
      </c>
      <c r="H76" s="435">
        <f t="shared" si="46"/>
        <v>81.399242832218675</v>
      </c>
      <c r="I76" s="435">
        <f t="shared" si="46"/>
        <v>83.993854586745869</v>
      </c>
      <c r="J76" s="435">
        <f t="shared" si="46"/>
        <v>87.009192960992806</v>
      </c>
      <c r="K76" s="435">
        <f t="shared" si="46"/>
        <v>90.382254106662998</v>
      </c>
      <c r="L76" s="435">
        <f t="shared" si="46"/>
        <v>94.059474238238209</v>
      </c>
      <c r="M76" s="435">
        <f t="shared" si="46"/>
        <v>158.06715389821164</v>
      </c>
      <c r="N76" s="435">
        <f t="shared" si="46"/>
        <v>156.81643271476764</v>
      </c>
      <c r="O76" s="435">
        <f t="shared" si="46"/>
        <v>155.75269884012891</v>
      </c>
      <c r="P76" s="435">
        <f t="shared" si="46"/>
        <v>149.87514632733181</v>
      </c>
      <c r="Q76" s="435">
        <f t="shared" si="46"/>
        <v>149.01683509170732</v>
      </c>
      <c r="R76" s="435">
        <f t="shared" si="46"/>
        <v>153.33510566218092</v>
      </c>
      <c r="S76" s="435">
        <f t="shared" si="46"/>
        <v>152.86711699121273</v>
      </c>
      <c r="T76" s="435">
        <f t="shared" si="46"/>
        <v>16.521033173879829</v>
      </c>
    </row>
    <row r="77" spans="1:20" s="1" customFormat="1" x14ac:dyDescent="0.2">
      <c r="A77" s="436" t="s">
        <v>372</v>
      </c>
      <c r="B77" s="443" t="s">
        <v>527</v>
      </c>
      <c r="C77" s="270"/>
      <c r="D77" s="270"/>
      <c r="E77" s="435">
        <f>E76</f>
        <v>33.255781639045921</v>
      </c>
      <c r="F77" s="271">
        <f>F76+E77</f>
        <v>104.68778572802299</v>
      </c>
      <c r="G77" s="271">
        <f t="shared" ref="G77:T77" si="47">G76+F77</f>
        <v>183.35439563113977</v>
      </c>
      <c r="H77" s="271">
        <f t="shared" si="47"/>
        <v>264.75363846335847</v>
      </c>
      <c r="I77" s="271">
        <f t="shared" si="47"/>
        <v>348.74749305010437</v>
      </c>
      <c r="J77" s="271">
        <f t="shared" si="47"/>
        <v>435.75668601109714</v>
      </c>
      <c r="K77" s="271">
        <f t="shared" si="47"/>
        <v>526.13894011776017</v>
      </c>
      <c r="L77" s="271">
        <f t="shared" si="47"/>
        <v>620.19841435599835</v>
      </c>
      <c r="M77" s="271">
        <f t="shared" si="47"/>
        <v>778.26556825420994</v>
      </c>
      <c r="N77" s="271">
        <f t="shared" si="47"/>
        <v>935.08200096897758</v>
      </c>
      <c r="O77" s="271">
        <f t="shared" si="47"/>
        <v>1090.8346998091065</v>
      </c>
      <c r="P77" s="271">
        <f t="shared" si="47"/>
        <v>1240.7098461364383</v>
      </c>
      <c r="Q77" s="271">
        <f t="shared" si="47"/>
        <v>1389.7266812281455</v>
      </c>
      <c r="R77" s="271">
        <f t="shared" si="47"/>
        <v>1543.0617868903264</v>
      </c>
      <c r="S77" s="271">
        <f t="shared" si="47"/>
        <v>1695.9289038815391</v>
      </c>
      <c r="T77" s="271">
        <f t="shared" si="47"/>
        <v>1712.449937055419</v>
      </c>
    </row>
    <row r="78" spans="1:20" s="1" customFormat="1" x14ac:dyDescent="0.2">
      <c r="E78" s="166"/>
      <c r="F78" s="166"/>
      <c r="G78" s="166"/>
      <c r="H78" s="166"/>
      <c r="I78" s="166"/>
      <c r="J78" s="166"/>
      <c r="K78" s="166"/>
      <c r="L78" s="166"/>
      <c r="M78" s="166"/>
      <c r="N78" s="166"/>
      <c r="O78" s="166"/>
      <c r="P78" s="166"/>
      <c r="Q78" s="166"/>
      <c r="R78" s="166"/>
      <c r="S78" s="166"/>
    </row>
    <row r="79" spans="1:20" s="1" customFormat="1" x14ac:dyDescent="0.2">
      <c r="F79" s="447"/>
    </row>
    <row r="80" spans="1:20" s="1" customFormat="1" x14ac:dyDescent="0.2">
      <c r="A80" s="557"/>
      <c r="B80" s="557" t="s">
        <v>287</v>
      </c>
      <c r="C80" s="448"/>
      <c r="D80" s="448"/>
      <c r="E80" s="448"/>
      <c r="F80" s="448"/>
      <c r="G80" s="448"/>
      <c r="H80" s="448"/>
      <c r="I80" s="448"/>
      <c r="J80" s="448"/>
      <c r="K80" s="448"/>
      <c r="L80" s="448"/>
      <c r="M80" s="448"/>
      <c r="N80" s="448"/>
      <c r="O80" s="448"/>
      <c r="P80" s="448"/>
      <c r="Q80" s="448"/>
      <c r="R80" s="448"/>
    </row>
    <row r="81" spans="1:20" s="319" customFormat="1" x14ac:dyDescent="0.2">
      <c r="A81" s="558"/>
      <c r="B81" s="559"/>
      <c r="C81" s="448"/>
      <c r="D81" s="448"/>
      <c r="E81" s="448"/>
      <c r="F81" s="448"/>
      <c r="G81" s="448"/>
      <c r="H81" s="448"/>
      <c r="I81" s="448"/>
      <c r="J81" s="448"/>
      <c r="K81" s="448"/>
      <c r="L81" s="448"/>
      <c r="M81" s="448"/>
      <c r="N81" s="448"/>
      <c r="O81" s="448"/>
      <c r="P81" s="448"/>
      <c r="Q81" s="448"/>
      <c r="R81" s="448"/>
    </row>
    <row r="82" spans="1:20" s="319" customFormat="1" x14ac:dyDescent="0.2">
      <c r="A82" s="448"/>
      <c r="B82" s="560" t="s">
        <v>288</v>
      </c>
      <c r="C82" s="561">
        <v>1</v>
      </c>
      <c r="D82" s="448"/>
      <c r="E82" s="448"/>
      <c r="F82" s="448"/>
      <c r="G82" s="448"/>
      <c r="H82" s="448"/>
      <c r="I82" s="448"/>
      <c r="J82" s="448"/>
      <c r="K82" s="448"/>
      <c r="L82" s="448"/>
      <c r="M82" s="448"/>
      <c r="N82" s="448"/>
      <c r="O82" s="448"/>
      <c r="P82" s="448"/>
      <c r="Q82" s="448"/>
      <c r="R82" s="448"/>
    </row>
    <row r="83" spans="1:20" s="319" customFormat="1" x14ac:dyDescent="0.2">
      <c r="A83" s="448"/>
      <c r="B83" s="562" t="s">
        <v>289</v>
      </c>
      <c r="C83" s="563">
        <v>8</v>
      </c>
      <c r="D83" s="448"/>
      <c r="E83" s="448"/>
      <c r="F83" s="448"/>
      <c r="G83" s="448"/>
      <c r="H83" s="448"/>
      <c r="I83" s="448"/>
      <c r="J83" s="448"/>
      <c r="K83" s="448"/>
      <c r="L83" s="448"/>
      <c r="M83" s="448"/>
      <c r="N83" s="448"/>
      <c r="O83" s="448"/>
      <c r="P83" s="448"/>
      <c r="Q83" s="448"/>
      <c r="R83" s="448"/>
    </row>
    <row r="84" spans="1:20" s="319" customFormat="1" x14ac:dyDescent="0.2">
      <c r="A84" s="448"/>
      <c r="B84" s="562" t="s">
        <v>280</v>
      </c>
      <c r="C84" s="564">
        <f>Norms!B52</f>
        <v>0.09</v>
      </c>
      <c r="D84" s="448"/>
      <c r="E84" s="448"/>
      <c r="F84" s="448"/>
      <c r="G84" s="448"/>
      <c r="H84" s="448"/>
      <c r="I84" s="448"/>
      <c r="J84" s="448"/>
      <c r="K84" s="448"/>
      <c r="L84" s="448"/>
      <c r="M84" s="448"/>
      <c r="N84" s="448"/>
      <c r="O84" s="448"/>
      <c r="P84" s="448"/>
      <c r="Q84" s="448"/>
      <c r="R84" s="448"/>
    </row>
    <row r="85" spans="1:20" s="319" customFormat="1" x14ac:dyDescent="0.2">
      <c r="A85" s="448"/>
      <c r="B85" s="562" t="s">
        <v>290</v>
      </c>
      <c r="C85" s="565">
        <f>Capex!B76/100</f>
        <v>480.57471378562508</v>
      </c>
      <c r="D85" s="566"/>
      <c r="E85" s="448"/>
      <c r="F85" s="448"/>
      <c r="G85" s="448"/>
      <c r="H85" s="448"/>
      <c r="I85" s="448"/>
      <c r="J85" s="448"/>
      <c r="K85" s="448"/>
      <c r="L85" s="448"/>
      <c r="M85" s="448"/>
      <c r="N85" s="448"/>
      <c r="O85" s="448"/>
      <c r="P85" s="448"/>
      <c r="Q85" s="448"/>
      <c r="R85" s="448"/>
    </row>
    <row r="86" spans="1:20" s="319" customFormat="1" x14ac:dyDescent="0.2">
      <c r="A86" s="448"/>
      <c r="B86" s="562" t="s">
        <v>291</v>
      </c>
      <c r="C86" s="565">
        <f>C85/C83</f>
        <v>60.071839223203135</v>
      </c>
      <c r="D86" s="448"/>
      <c r="E86" s="448"/>
      <c r="F86" s="448"/>
      <c r="G86" s="448"/>
      <c r="H86" s="448"/>
      <c r="I86" s="448"/>
      <c r="J86" s="448"/>
      <c r="K86" s="448"/>
      <c r="L86" s="448"/>
      <c r="M86" s="448"/>
      <c r="N86" s="448"/>
      <c r="O86" s="448"/>
      <c r="P86" s="448"/>
      <c r="Q86" s="448"/>
      <c r="R86" s="448"/>
    </row>
    <row r="87" spans="1:20" s="319" customFormat="1" x14ac:dyDescent="0.2">
      <c r="A87" s="448"/>
      <c r="B87" s="448"/>
      <c r="C87" s="448"/>
      <c r="D87" s="448"/>
      <c r="E87" s="448"/>
      <c r="F87" s="448"/>
      <c r="G87" s="448"/>
      <c r="H87" s="448"/>
      <c r="I87" s="448"/>
      <c r="J87" s="448"/>
      <c r="K87" s="448"/>
      <c r="L87" s="448"/>
      <c r="M87" s="448"/>
      <c r="N87" s="448"/>
      <c r="O87" s="448"/>
      <c r="P87" s="448"/>
      <c r="Q87" s="448"/>
      <c r="R87" s="448"/>
    </row>
    <row r="88" spans="1:20" s="319" customFormat="1" x14ac:dyDescent="0.2">
      <c r="A88" s="567"/>
      <c r="B88" s="567"/>
      <c r="C88" s="568" t="s">
        <v>501</v>
      </c>
      <c r="D88" s="569">
        <v>-1</v>
      </c>
      <c r="E88" s="569">
        <v>1</v>
      </c>
      <c r="F88" s="569">
        <v>2</v>
      </c>
      <c r="G88" s="569">
        <v>3</v>
      </c>
      <c r="H88" s="569">
        <v>4</v>
      </c>
      <c r="I88" s="569">
        <v>5</v>
      </c>
      <c r="J88" s="569">
        <v>6</v>
      </c>
      <c r="K88" s="569">
        <v>7</v>
      </c>
      <c r="L88" s="569">
        <v>8</v>
      </c>
      <c r="M88" s="569">
        <v>9</v>
      </c>
      <c r="N88" s="569">
        <v>10</v>
      </c>
      <c r="O88" s="569">
        <v>11</v>
      </c>
      <c r="P88" s="569">
        <v>12</v>
      </c>
      <c r="Q88" s="569">
        <v>13</v>
      </c>
      <c r="R88" s="569">
        <v>14</v>
      </c>
      <c r="S88" s="451">
        <v>15</v>
      </c>
    </row>
    <row r="89" spans="1:20" s="319" customFormat="1" x14ac:dyDescent="0.2">
      <c r="A89" s="562"/>
      <c r="B89" s="562" t="s">
        <v>293</v>
      </c>
      <c r="C89" s="561"/>
      <c r="D89" s="561"/>
      <c r="E89" s="563">
        <f>IF(E88&lt;=$C$83,$C$86,0)</f>
        <v>60.071839223203135</v>
      </c>
      <c r="F89" s="563">
        <f t="shared" ref="F89:S89" si="48">IF(F88&lt;=$C$83,$C$86,0)</f>
        <v>60.071839223203135</v>
      </c>
      <c r="G89" s="563">
        <f t="shared" si="48"/>
        <v>60.071839223203135</v>
      </c>
      <c r="H89" s="563">
        <f t="shared" si="48"/>
        <v>60.071839223203135</v>
      </c>
      <c r="I89" s="563">
        <f t="shared" si="48"/>
        <v>60.071839223203135</v>
      </c>
      <c r="J89" s="563">
        <f t="shared" si="48"/>
        <v>60.071839223203135</v>
      </c>
      <c r="K89" s="563">
        <f t="shared" si="48"/>
        <v>60.071839223203135</v>
      </c>
      <c r="L89" s="563">
        <f t="shared" si="48"/>
        <v>60.071839223203135</v>
      </c>
      <c r="M89" s="563">
        <f t="shared" si="48"/>
        <v>0</v>
      </c>
      <c r="N89" s="563">
        <f t="shared" si="48"/>
        <v>0</v>
      </c>
      <c r="O89" s="563">
        <f t="shared" si="48"/>
        <v>0</v>
      </c>
      <c r="P89" s="563">
        <f t="shared" si="48"/>
        <v>0</v>
      </c>
      <c r="Q89" s="563">
        <f t="shared" si="48"/>
        <v>0</v>
      </c>
      <c r="R89" s="563">
        <f t="shared" si="48"/>
        <v>0</v>
      </c>
      <c r="S89" s="449">
        <f t="shared" si="48"/>
        <v>0</v>
      </c>
    </row>
    <row r="90" spans="1:20" s="319" customFormat="1" x14ac:dyDescent="0.2">
      <c r="A90" s="562"/>
      <c r="B90" s="562" t="s">
        <v>294</v>
      </c>
      <c r="C90" s="565"/>
      <c r="D90" s="565"/>
      <c r="E90" s="565">
        <f>C85</f>
        <v>480.57471378562508</v>
      </c>
      <c r="F90" s="565">
        <f>E90-E89</f>
        <v>420.50287456242194</v>
      </c>
      <c r="G90" s="565">
        <f t="shared" ref="G90:S90" si="49">F90-F89</f>
        <v>360.43103533921879</v>
      </c>
      <c r="H90" s="565">
        <f t="shared" si="49"/>
        <v>300.35919611601565</v>
      </c>
      <c r="I90" s="565">
        <f t="shared" si="49"/>
        <v>240.28735689281251</v>
      </c>
      <c r="J90" s="565">
        <f t="shared" si="49"/>
        <v>180.21551766960937</v>
      </c>
      <c r="K90" s="565">
        <f t="shared" si="49"/>
        <v>120.14367844640623</v>
      </c>
      <c r="L90" s="565">
        <f t="shared" si="49"/>
        <v>60.071839223203092</v>
      </c>
      <c r="M90" s="565">
        <f t="shared" si="49"/>
        <v>0</v>
      </c>
      <c r="N90" s="565">
        <f t="shared" si="49"/>
        <v>0</v>
      </c>
      <c r="O90" s="565">
        <f t="shared" si="49"/>
        <v>0</v>
      </c>
      <c r="P90" s="565">
        <f t="shared" si="49"/>
        <v>0</v>
      </c>
      <c r="Q90" s="565">
        <f t="shared" si="49"/>
        <v>0</v>
      </c>
      <c r="R90" s="565">
        <f t="shared" si="49"/>
        <v>0</v>
      </c>
      <c r="S90" s="450">
        <f t="shared" si="49"/>
        <v>0</v>
      </c>
    </row>
    <row r="91" spans="1:20" s="319" customFormat="1" x14ac:dyDescent="0.2">
      <c r="A91" s="562"/>
      <c r="B91" s="562" t="s">
        <v>500</v>
      </c>
      <c r="C91" s="563"/>
      <c r="D91" s="563"/>
      <c r="E91" s="563">
        <f t="shared" ref="E91:S91" si="50">E90*$C$84</f>
        <v>43.251724240706253</v>
      </c>
      <c r="F91" s="563">
        <f t="shared" si="50"/>
        <v>37.845258710617976</v>
      </c>
      <c r="G91" s="563">
        <f t="shared" si="50"/>
        <v>32.438793180529693</v>
      </c>
      <c r="H91" s="563">
        <f t="shared" si="50"/>
        <v>27.032327650441406</v>
      </c>
      <c r="I91" s="563">
        <f t="shared" si="50"/>
        <v>21.625862120353126</v>
      </c>
      <c r="J91" s="563">
        <f t="shared" si="50"/>
        <v>16.219396590264843</v>
      </c>
      <c r="K91" s="563">
        <f t="shared" si="50"/>
        <v>10.81293106017656</v>
      </c>
      <c r="L91" s="563">
        <f t="shared" si="50"/>
        <v>5.406465530088278</v>
      </c>
      <c r="M91" s="563">
        <f t="shared" si="50"/>
        <v>0</v>
      </c>
      <c r="N91" s="563">
        <f t="shared" si="50"/>
        <v>0</v>
      </c>
      <c r="O91" s="563">
        <f t="shared" si="50"/>
        <v>0</v>
      </c>
      <c r="P91" s="563">
        <f t="shared" si="50"/>
        <v>0</v>
      </c>
      <c r="Q91" s="563">
        <f t="shared" si="50"/>
        <v>0</v>
      </c>
      <c r="R91" s="563">
        <f t="shared" si="50"/>
        <v>0</v>
      </c>
      <c r="S91" s="449">
        <f t="shared" si="50"/>
        <v>0</v>
      </c>
    </row>
    <row r="92" spans="1:20" s="319" customFormat="1" x14ac:dyDescent="0.2">
      <c r="A92" s="349"/>
      <c r="B92" s="349"/>
      <c r="C92" s="349"/>
      <c r="D92" s="349"/>
      <c r="E92" s="349"/>
      <c r="F92" s="349"/>
      <c r="G92" s="349"/>
      <c r="H92" s="349"/>
      <c r="I92" s="349"/>
      <c r="J92" s="349"/>
      <c r="K92" s="349"/>
      <c r="L92" s="349"/>
      <c r="M92" s="349"/>
      <c r="N92" s="349"/>
      <c r="O92" s="349"/>
      <c r="P92" s="349"/>
      <c r="Q92" s="349"/>
      <c r="R92" s="349"/>
    </row>
    <row r="93" spans="1:20" s="1" customFormat="1" x14ac:dyDescent="0.2">
      <c r="A93" s="349"/>
      <c r="B93" s="349"/>
      <c r="C93" s="349"/>
      <c r="D93" s="349"/>
      <c r="E93" s="349"/>
      <c r="F93" s="349"/>
      <c r="G93" s="349"/>
      <c r="H93" s="349"/>
      <c r="I93" s="349"/>
      <c r="J93" s="349"/>
      <c r="K93" s="349"/>
      <c r="L93" s="349"/>
      <c r="M93" s="349"/>
      <c r="N93" s="349"/>
      <c r="O93" s="349"/>
      <c r="P93" s="349"/>
      <c r="Q93" s="349"/>
      <c r="R93" s="349"/>
    </row>
    <row r="94" spans="1:20" s="319" customFormat="1" x14ac:dyDescent="0.2">
      <c r="A94" s="758" t="s">
        <v>373</v>
      </c>
      <c r="B94" s="758"/>
      <c r="C94" s="758"/>
      <c r="D94" s="758"/>
      <c r="E94" s="758"/>
      <c r="F94" s="758"/>
      <c r="G94" s="758"/>
      <c r="H94" s="758"/>
      <c r="I94" s="758"/>
      <c r="J94" s="758"/>
      <c r="K94" s="758"/>
      <c r="L94" s="758"/>
      <c r="M94" s="758"/>
      <c r="N94" s="758"/>
      <c r="O94" s="758"/>
      <c r="P94" s="758"/>
      <c r="Q94" s="758"/>
      <c r="R94" s="349"/>
    </row>
    <row r="95" spans="1:20" s="319" customFormat="1" x14ac:dyDescent="0.2">
      <c r="A95" s="570" t="s">
        <v>332</v>
      </c>
      <c r="B95" s="571" t="s">
        <v>333</v>
      </c>
      <c r="C95" s="572" t="s">
        <v>362</v>
      </c>
      <c r="D95" s="572" t="s">
        <v>334</v>
      </c>
      <c r="E95" s="572" t="s">
        <v>335</v>
      </c>
      <c r="F95" s="572" t="s">
        <v>336</v>
      </c>
      <c r="G95" s="572" t="s">
        <v>337</v>
      </c>
      <c r="H95" s="572" t="s">
        <v>338</v>
      </c>
      <c r="I95" s="572" t="s">
        <v>339</v>
      </c>
      <c r="J95" s="572" t="s">
        <v>340</v>
      </c>
      <c r="K95" s="572" t="s">
        <v>341</v>
      </c>
      <c r="L95" s="572" t="s">
        <v>342</v>
      </c>
      <c r="M95" s="572">
        <v>11</v>
      </c>
      <c r="N95" s="572" t="s">
        <v>344</v>
      </c>
      <c r="O95" s="572" t="s">
        <v>345</v>
      </c>
      <c r="P95" s="572" t="s">
        <v>346</v>
      </c>
      <c r="Q95" s="572" t="s">
        <v>347</v>
      </c>
      <c r="R95" s="572" t="s">
        <v>374</v>
      </c>
      <c r="S95" s="452" t="s">
        <v>375</v>
      </c>
      <c r="T95" s="452" t="s">
        <v>376</v>
      </c>
    </row>
    <row r="96" spans="1:20" s="319" customFormat="1" x14ac:dyDescent="0.2">
      <c r="A96" s="570" t="s">
        <v>348</v>
      </c>
      <c r="B96" s="571"/>
      <c r="C96" s="573"/>
      <c r="D96" s="573"/>
      <c r="E96" s="573"/>
      <c r="F96" s="573"/>
      <c r="G96" s="573"/>
      <c r="H96" s="573"/>
      <c r="I96" s="573"/>
      <c r="J96" s="573"/>
      <c r="K96" s="573"/>
      <c r="L96" s="573"/>
      <c r="M96" s="573"/>
      <c r="N96" s="573"/>
      <c r="O96" s="573"/>
      <c r="P96" s="573"/>
      <c r="Q96" s="573"/>
      <c r="R96" s="573"/>
      <c r="S96" s="453"/>
      <c r="T96" s="453"/>
    </row>
    <row r="97" spans="1:21" s="319" customFormat="1" x14ac:dyDescent="0.2">
      <c r="A97" s="574">
        <v>1</v>
      </c>
      <c r="B97" s="575" t="s">
        <v>377</v>
      </c>
      <c r="C97" s="576">
        <f t="shared" ref="C97:T97" si="51">F24</f>
        <v>132.41884712482189</v>
      </c>
      <c r="D97" s="576">
        <f t="shared" si="51"/>
        <v>185.51257958735749</v>
      </c>
      <c r="E97" s="576">
        <f t="shared" si="51"/>
        <v>194.85787109709639</v>
      </c>
      <c r="F97" s="576">
        <f t="shared" si="51"/>
        <v>194.85787109709639</v>
      </c>
      <c r="G97" s="576">
        <f t="shared" si="51"/>
        <v>194.85787109709639</v>
      </c>
      <c r="H97" s="576">
        <f t="shared" si="51"/>
        <v>194.85787109709639</v>
      </c>
      <c r="I97" s="576">
        <f t="shared" si="51"/>
        <v>194.85787109709639</v>
      </c>
      <c r="J97" s="576">
        <f t="shared" si="51"/>
        <v>194.85787109709639</v>
      </c>
      <c r="K97" s="576">
        <f t="shared" si="51"/>
        <v>194.85787109709639</v>
      </c>
      <c r="L97" s="576">
        <f t="shared" si="51"/>
        <v>194.85787109709639</v>
      </c>
      <c r="M97" s="576">
        <f t="shared" si="51"/>
        <v>194.85787109709639</v>
      </c>
      <c r="N97" s="576">
        <f t="shared" si="51"/>
        <v>187.04473451506516</v>
      </c>
      <c r="O97" s="576">
        <f t="shared" si="51"/>
        <v>187.04473451506516</v>
      </c>
      <c r="P97" s="576">
        <f t="shared" si="51"/>
        <v>194.85787109709639</v>
      </c>
      <c r="Q97" s="576">
        <f t="shared" si="51"/>
        <v>194.85787109709639</v>
      </c>
      <c r="R97" s="576">
        <f t="shared" si="51"/>
        <v>0</v>
      </c>
      <c r="S97" s="454">
        <f t="shared" si="51"/>
        <v>0</v>
      </c>
      <c r="T97" s="454">
        <f t="shared" si="51"/>
        <v>0</v>
      </c>
    </row>
    <row r="98" spans="1:21" s="319" customFormat="1" x14ac:dyDescent="0.2">
      <c r="A98" s="574">
        <v>2</v>
      </c>
      <c r="B98" s="575" t="s">
        <v>378</v>
      </c>
      <c r="C98" s="576">
        <f t="shared" ref="C98:T98" si="52">F27</f>
        <v>36.848479459750003</v>
      </c>
      <c r="D98" s="576">
        <f t="shared" si="52"/>
        <v>36.848479459750003</v>
      </c>
      <c r="E98" s="576">
        <f t="shared" si="52"/>
        <v>36.848479459750003</v>
      </c>
      <c r="F98" s="576">
        <f t="shared" si="52"/>
        <v>36.848479459750003</v>
      </c>
      <c r="G98" s="576">
        <f t="shared" si="52"/>
        <v>36.848479459750003</v>
      </c>
      <c r="H98" s="576">
        <f t="shared" si="52"/>
        <v>36.848479459750003</v>
      </c>
      <c r="I98" s="576">
        <f t="shared" si="52"/>
        <v>36.848479459750003</v>
      </c>
      <c r="J98" s="576">
        <f t="shared" si="52"/>
        <v>36.848479459750003</v>
      </c>
      <c r="K98" s="576">
        <f t="shared" si="52"/>
        <v>36.848479459750003</v>
      </c>
      <c r="L98" s="576">
        <f t="shared" si="52"/>
        <v>36.848479459750003</v>
      </c>
      <c r="M98" s="576">
        <f t="shared" si="52"/>
        <v>36.848479459750003</v>
      </c>
      <c r="N98" s="576">
        <f t="shared" si="52"/>
        <v>36.848479459750003</v>
      </c>
      <c r="O98" s="576">
        <f t="shared" si="52"/>
        <v>36.848479459750003</v>
      </c>
      <c r="P98" s="576">
        <f t="shared" si="52"/>
        <v>36.848479459750003</v>
      </c>
      <c r="Q98" s="576">
        <f t="shared" si="52"/>
        <v>36.848479459750003</v>
      </c>
      <c r="R98" s="576">
        <f t="shared" si="52"/>
        <v>0</v>
      </c>
      <c r="S98" s="454">
        <f t="shared" si="52"/>
        <v>0</v>
      </c>
      <c r="T98" s="454">
        <f t="shared" si="52"/>
        <v>0</v>
      </c>
    </row>
    <row r="99" spans="1:21" s="319" customFormat="1" x14ac:dyDescent="0.2">
      <c r="A99" s="574">
        <v>3</v>
      </c>
      <c r="B99" s="577" t="s">
        <v>379</v>
      </c>
      <c r="C99" s="576">
        <f>Depreciation!D20</f>
        <v>87.524068625000012</v>
      </c>
      <c r="D99" s="576">
        <f>Depreciation!E20</f>
        <v>74.436733331250011</v>
      </c>
      <c r="E99" s="576">
        <f>Depreciation!F20</f>
        <v>63.308370831562506</v>
      </c>
      <c r="F99" s="576">
        <f>Depreciation!G20</f>
        <v>53.845547956828142</v>
      </c>
      <c r="G99" s="576">
        <f>Depreciation!H20</f>
        <v>45.798805238303913</v>
      </c>
      <c r="H99" s="576">
        <f>Depreciation!I20</f>
        <v>38.956064980058329</v>
      </c>
      <c r="I99" s="576">
        <f>Depreciation!J20</f>
        <v>33.137027707799575</v>
      </c>
      <c r="J99" s="576">
        <f>Depreciation!K20</f>
        <v>28.188408778904638</v>
      </c>
      <c r="K99" s="576">
        <f>Depreciation!L20</f>
        <v>23.979889166616442</v>
      </c>
      <c r="L99" s="576">
        <f>Depreciation!M20</f>
        <v>20.400673325716728</v>
      </c>
      <c r="M99" s="576">
        <f>Depreciation!N20</f>
        <v>17.356563107542694</v>
      </c>
      <c r="N99" s="576">
        <f>Depreciation!O20</f>
        <v>14.767470344026414</v>
      </c>
      <c r="O99" s="576">
        <f>Depreciation!P20</f>
        <v>12.56530232477607</v>
      </c>
      <c r="P99" s="576">
        <f>Depreciation!Q20</f>
        <v>10.692164255177907</v>
      </c>
      <c r="Q99" s="576">
        <f>Depreciation!R20</f>
        <v>9.0988311681076475</v>
      </c>
      <c r="R99" s="576">
        <f>Depreciation!S20</f>
        <v>0</v>
      </c>
      <c r="S99" s="454">
        <f>Depreciation!T20</f>
        <v>0</v>
      </c>
      <c r="T99" s="454">
        <f>Depreciation!U20</f>
        <v>0</v>
      </c>
    </row>
    <row r="100" spans="1:21" s="319" customFormat="1" x14ac:dyDescent="0.2">
      <c r="A100" s="574">
        <v>4</v>
      </c>
      <c r="B100" s="575" t="s">
        <v>502</v>
      </c>
      <c r="C100" s="576">
        <f>C97+C98-C99</f>
        <v>81.743257959571878</v>
      </c>
      <c r="D100" s="576">
        <f t="shared" ref="D100:K100" si="53">D97+D98-D99</f>
        <v>147.92432571585749</v>
      </c>
      <c r="E100" s="576">
        <f t="shared" si="53"/>
        <v>168.39797972528388</v>
      </c>
      <c r="F100" s="576">
        <f t="shared" si="53"/>
        <v>177.86080260001825</v>
      </c>
      <c r="G100" s="576">
        <f t="shared" si="53"/>
        <v>185.90754531854247</v>
      </c>
      <c r="H100" s="576">
        <f t="shared" si="53"/>
        <v>192.75028557678806</v>
      </c>
      <c r="I100" s="576">
        <f t="shared" si="53"/>
        <v>198.56932284904681</v>
      </c>
      <c r="J100" s="576">
        <f t="shared" si="53"/>
        <v>203.51794177794176</v>
      </c>
      <c r="K100" s="576">
        <f t="shared" si="53"/>
        <v>207.72646139022996</v>
      </c>
      <c r="L100" s="576">
        <f>L97+L98-L99</f>
        <v>211.30567723112966</v>
      </c>
      <c r="M100" s="576">
        <f t="shared" ref="M100" si="54">M97+M98-M99</f>
        <v>214.3497874493037</v>
      </c>
      <c r="N100" s="576">
        <f t="shared" ref="N100" si="55">N97+N98-N99</f>
        <v>209.12574363078875</v>
      </c>
      <c r="O100" s="576">
        <f t="shared" ref="O100" si="56">O97+O98-O99</f>
        <v>211.32791165003908</v>
      </c>
      <c r="P100" s="576">
        <f t="shared" ref="P100" si="57">P97+P98-P99</f>
        <v>221.01418630166847</v>
      </c>
      <c r="Q100" s="576">
        <f t="shared" ref="Q100" si="58">Q97+Q98-Q99</f>
        <v>222.60751938873875</v>
      </c>
      <c r="R100" s="576">
        <f t="shared" ref="R100" si="59">R97+R98-R99</f>
        <v>0</v>
      </c>
      <c r="S100" s="454">
        <f t="shared" ref="S100" si="60">S97+S98-S99</f>
        <v>0</v>
      </c>
      <c r="T100" s="455">
        <f t="shared" ref="T100" si="61">T97+T98-T99</f>
        <v>0</v>
      </c>
    </row>
    <row r="101" spans="1:21" s="319" customFormat="1" x14ac:dyDescent="0.2">
      <c r="A101" s="574">
        <v>5</v>
      </c>
      <c r="B101" s="575" t="s">
        <v>380</v>
      </c>
      <c r="C101" s="576">
        <v>0</v>
      </c>
      <c r="D101" s="576">
        <f>IF(C102&gt;0,0,C102)</f>
        <v>0</v>
      </c>
      <c r="E101" s="576">
        <f t="shared" ref="E101:T101" si="62">IF(D102&gt;0,0,D102)</f>
        <v>0</v>
      </c>
      <c r="F101" s="576">
        <f t="shared" si="62"/>
        <v>0</v>
      </c>
      <c r="G101" s="576">
        <f t="shared" si="62"/>
        <v>0</v>
      </c>
      <c r="H101" s="576">
        <f t="shared" si="62"/>
        <v>0</v>
      </c>
      <c r="I101" s="576">
        <f t="shared" si="62"/>
        <v>0</v>
      </c>
      <c r="J101" s="576">
        <f t="shared" si="62"/>
        <v>0</v>
      </c>
      <c r="K101" s="576">
        <f t="shared" si="62"/>
        <v>0</v>
      </c>
      <c r="L101" s="576">
        <f t="shared" si="62"/>
        <v>0</v>
      </c>
      <c r="M101" s="576">
        <f t="shared" si="62"/>
        <v>0</v>
      </c>
      <c r="N101" s="576">
        <f t="shared" si="62"/>
        <v>0</v>
      </c>
      <c r="O101" s="576">
        <f t="shared" si="62"/>
        <v>0</v>
      </c>
      <c r="P101" s="576">
        <f t="shared" si="62"/>
        <v>0</v>
      </c>
      <c r="Q101" s="576">
        <f t="shared" si="62"/>
        <v>0</v>
      </c>
      <c r="R101" s="576">
        <f t="shared" si="62"/>
        <v>0</v>
      </c>
      <c r="S101" s="455">
        <f t="shared" si="62"/>
        <v>0</v>
      </c>
      <c r="T101" s="455">
        <f t="shared" si="62"/>
        <v>0</v>
      </c>
    </row>
    <row r="102" spans="1:21" s="319" customFormat="1" x14ac:dyDescent="0.2">
      <c r="A102" s="574">
        <v>6</v>
      </c>
      <c r="B102" s="575" t="s">
        <v>381</v>
      </c>
      <c r="C102" s="576">
        <f>C100+C101</f>
        <v>81.743257959571878</v>
      </c>
      <c r="D102" s="576">
        <f t="shared" ref="D102:T102" si="63">D100+D101</f>
        <v>147.92432571585749</v>
      </c>
      <c r="E102" s="576">
        <f t="shared" si="63"/>
        <v>168.39797972528388</v>
      </c>
      <c r="F102" s="576">
        <f t="shared" si="63"/>
        <v>177.86080260001825</v>
      </c>
      <c r="G102" s="576">
        <f t="shared" si="63"/>
        <v>185.90754531854247</v>
      </c>
      <c r="H102" s="576">
        <f t="shared" si="63"/>
        <v>192.75028557678806</v>
      </c>
      <c r="I102" s="576">
        <f t="shared" si="63"/>
        <v>198.56932284904681</v>
      </c>
      <c r="J102" s="576">
        <f t="shared" si="63"/>
        <v>203.51794177794176</v>
      </c>
      <c r="K102" s="576">
        <f t="shared" si="63"/>
        <v>207.72646139022996</v>
      </c>
      <c r="L102" s="576">
        <f t="shared" si="63"/>
        <v>211.30567723112966</v>
      </c>
      <c r="M102" s="576">
        <f t="shared" si="63"/>
        <v>214.3497874493037</v>
      </c>
      <c r="N102" s="576">
        <f t="shared" si="63"/>
        <v>209.12574363078875</v>
      </c>
      <c r="O102" s="576">
        <f t="shared" si="63"/>
        <v>211.32791165003908</v>
      </c>
      <c r="P102" s="576">
        <f t="shared" si="63"/>
        <v>221.01418630166847</v>
      </c>
      <c r="Q102" s="576">
        <f t="shared" si="63"/>
        <v>222.60751938873875</v>
      </c>
      <c r="R102" s="576">
        <f t="shared" si="63"/>
        <v>0</v>
      </c>
      <c r="S102" s="455">
        <f t="shared" si="63"/>
        <v>0</v>
      </c>
      <c r="T102" s="455">
        <f t="shared" si="63"/>
        <v>0</v>
      </c>
    </row>
    <row r="103" spans="1:21" s="319" customFormat="1" x14ac:dyDescent="0.2">
      <c r="A103" s="574">
        <v>7</v>
      </c>
      <c r="B103" s="575" t="s">
        <v>382</v>
      </c>
      <c r="C103" s="576">
        <f>IF(C102&gt;0,C102*$C$51,0)</f>
        <v>28.564364061392798</v>
      </c>
      <c r="D103" s="576">
        <f t="shared" ref="D103:R103" si="64">IF(D102&gt;0,D102*$C$51,0)</f>
        <v>51.690676378149249</v>
      </c>
      <c r="E103" s="576">
        <f t="shared" si="64"/>
        <v>58.844990035203203</v>
      </c>
      <c r="F103" s="576">
        <f t="shared" si="64"/>
        <v>62.151678860550383</v>
      </c>
      <c r="G103" s="576">
        <f t="shared" si="64"/>
        <v>64.963532636111481</v>
      </c>
      <c r="H103" s="576">
        <f t="shared" si="64"/>
        <v>67.354659791952827</v>
      </c>
      <c r="I103" s="576">
        <f t="shared" si="64"/>
        <v>69.388064176370918</v>
      </c>
      <c r="J103" s="576">
        <f t="shared" si="64"/>
        <v>71.117309574883976</v>
      </c>
      <c r="K103" s="576">
        <f t="shared" si="64"/>
        <v>72.587934668201967</v>
      </c>
      <c r="L103" s="576">
        <f t="shared" si="64"/>
        <v>73.838655851645953</v>
      </c>
      <c r="M103" s="576">
        <f t="shared" si="64"/>
        <v>74.902389726284696</v>
      </c>
      <c r="N103" s="576">
        <f t="shared" si="64"/>
        <v>73.076899854342827</v>
      </c>
      <c r="O103" s="576">
        <f t="shared" si="64"/>
        <v>73.84642544698967</v>
      </c>
      <c r="P103" s="576">
        <f t="shared" si="64"/>
        <v>77.231197261255033</v>
      </c>
      <c r="Q103" s="576">
        <f t="shared" si="64"/>
        <v>77.787971575200871</v>
      </c>
      <c r="R103" s="576">
        <f t="shared" si="64"/>
        <v>0</v>
      </c>
      <c r="S103" s="454">
        <f>IF(S102&gt;0,S102*$C$84,0)</f>
        <v>0</v>
      </c>
      <c r="T103" s="454">
        <f>IF(T102&gt;0,T102*$C$84,0)</f>
        <v>0</v>
      </c>
    </row>
    <row r="104" spans="1:21" s="319" customFormat="1" x14ac:dyDescent="0.2">
      <c r="A104" s="574">
        <v>8</v>
      </c>
      <c r="B104" s="575" t="s">
        <v>383</v>
      </c>
      <c r="C104" s="576">
        <f t="shared" ref="C104:T104" si="65">IF(F28&gt;0,F28*$D$51,0)</f>
        <v>9.0016659399448749</v>
      </c>
      <c r="D104" s="576">
        <f t="shared" si="65"/>
        <v>19.205128910892871</v>
      </c>
      <c r="E104" s="576">
        <f t="shared" si="65"/>
        <v>21.756018467406602</v>
      </c>
      <c r="F104" s="576">
        <f t="shared" si="65"/>
        <v>22.700636124823628</v>
      </c>
      <c r="G104" s="576">
        <f t="shared" si="65"/>
        <v>23.645253782240651</v>
      </c>
      <c r="H104" s="576">
        <f t="shared" si="65"/>
        <v>24.589871439657678</v>
      </c>
      <c r="I104" s="576">
        <f t="shared" si="65"/>
        <v>25.534489097074701</v>
      </c>
      <c r="J104" s="576">
        <f t="shared" si="65"/>
        <v>26.479106754491728</v>
      </c>
      <c r="K104" s="576">
        <f t="shared" si="65"/>
        <v>27.423724411908751</v>
      </c>
      <c r="L104" s="576">
        <f t="shared" si="65"/>
        <v>27.423724411908751</v>
      </c>
      <c r="M104" s="576">
        <f t="shared" si="65"/>
        <v>27.423724411908751</v>
      </c>
      <c r="N104" s="576">
        <f t="shared" si="65"/>
        <v>26.062336218906104</v>
      </c>
      <c r="O104" s="576">
        <f t="shared" si="65"/>
        <v>26.062336218906104</v>
      </c>
      <c r="P104" s="576">
        <f t="shared" si="65"/>
        <v>27.423724411908751</v>
      </c>
      <c r="Q104" s="576">
        <f t="shared" si="65"/>
        <v>27.423724411908751</v>
      </c>
      <c r="R104" s="576">
        <f t="shared" si="65"/>
        <v>0</v>
      </c>
      <c r="S104" s="454">
        <f t="shared" si="65"/>
        <v>0</v>
      </c>
      <c r="T104" s="454">
        <f t="shared" si="65"/>
        <v>0</v>
      </c>
    </row>
    <row r="105" spans="1:21" s="319" customFormat="1" x14ac:dyDescent="0.2">
      <c r="A105" s="574">
        <v>9</v>
      </c>
      <c r="B105" s="575" t="s">
        <v>384</v>
      </c>
      <c r="C105" s="578">
        <f>IF(C103&gt;C104,C103,C104)</f>
        <v>28.564364061392798</v>
      </c>
      <c r="D105" s="578">
        <f t="shared" ref="D105:T105" si="66">IF(D103&gt;D104,D103,D104)</f>
        <v>51.690676378149249</v>
      </c>
      <c r="E105" s="578">
        <f t="shared" si="66"/>
        <v>58.844990035203203</v>
      </c>
      <c r="F105" s="578">
        <f t="shared" si="66"/>
        <v>62.151678860550383</v>
      </c>
      <c r="G105" s="578">
        <f t="shared" si="66"/>
        <v>64.963532636111481</v>
      </c>
      <c r="H105" s="578">
        <f t="shared" si="66"/>
        <v>67.354659791952827</v>
      </c>
      <c r="I105" s="578">
        <f t="shared" si="66"/>
        <v>69.388064176370918</v>
      </c>
      <c r="J105" s="578">
        <f t="shared" si="66"/>
        <v>71.117309574883976</v>
      </c>
      <c r="K105" s="578">
        <f t="shared" si="66"/>
        <v>72.587934668201967</v>
      </c>
      <c r="L105" s="578">
        <f t="shared" si="66"/>
        <v>73.838655851645953</v>
      </c>
      <c r="M105" s="578">
        <f t="shared" si="66"/>
        <v>74.902389726284696</v>
      </c>
      <c r="N105" s="578">
        <f t="shared" si="66"/>
        <v>73.076899854342827</v>
      </c>
      <c r="O105" s="578">
        <f t="shared" si="66"/>
        <v>73.84642544698967</v>
      </c>
      <c r="P105" s="578">
        <f t="shared" si="66"/>
        <v>77.231197261255033</v>
      </c>
      <c r="Q105" s="578">
        <f t="shared" si="66"/>
        <v>77.787971575200871</v>
      </c>
      <c r="R105" s="578">
        <f t="shared" si="66"/>
        <v>0</v>
      </c>
      <c r="S105" s="456">
        <f t="shared" si="66"/>
        <v>0</v>
      </c>
      <c r="T105" s="456">
        <f t="shared" si="66"/>
        <v>0</v>
      </c>
    </row>
    <row r="106" spans="1:21" s="319" customFormat="1" x14ac:dyDescent="0.2">
      <c r="A106" s="574">
        <v>10</v>
      </c>
      <c r="B106" s="579" t="s">
        <v>385</v>
      </c>
      <c r="C106" s="580">
        <f>IF(C104&gt;C103,SUM($C$104:C104),0)</f>
        <v>0</v>
      </c>
      <c r="D106" s="580">
        <f>IF(D104&gt;D103,SUM($C$104:D104),0)</f>
        <v>0</v>
      </c>
      <c r="E106" s="580">
        <f>IF(E104&gt;E103,SUM($C$104:E104),0)</f>
        <v>0</v>
      </c>
      <c r="F106" s="580">
        <f>IF(F104&gt;F103,SUM($C$104:F104),0)</f>
        <v>0</v>
      </c>
      <c r="G106" s="580">
        <f>IF(G104&gt;G103,SUM($C$104:G104),0)</f>
        <v>0</v>
      </c>
      <c r="H106" s="580">
        <f>IF(H104&gt;H103,SUM($C$104:H104),0)</f>
        <v>0</v>
      </c>
      <c r="I106" s="580">
        <f>IF(I104&gt;I103,SUM($C$104:I104),0)</f>
        <v>0</v>
      </c>
      <c r="J106" s="580">
        <f>IF(J104&gt;J103,SUM($C$104:J104),0)</f>
        <v>0</v>
      </c>
      <c r="K106" s="580">
        <f>IF(K104&gt;K103,SUM($C$104:K104),0)</f>
        <v>0</v>
      </c>
      <c r="L106" s="580">
        <f>IF(L104&gt;L103,SUM($C$104:L104),0)</f>
        <v>0</v>
      </c>
      <c r="M106" s="580">
        <f>IF(M104&gt;M103,SUM($C$104:M104),0)</f>
        <v>0</v>
      </c>
      <c r="N106" s="580">
        <f>IF(N104&gt;N103,SUM($C$104:N104),0)</f>
        <v>0</v>
      </c>
      <c r="O106" s="580">
        <f>IF(O104&gt;O103,SUM($C$104:O104),0)</f>
        <v>0</v>
      </c>
      <c r="P106" s="580">
        <f>IF(P104&gt;P103,SUM($C$104:P104),0)</f>
        <v>0</v>
      </c>
      <c r="Q106" s="580">
        <f>IF(Q104&gt;Q103,SUM($C$104:Q104),0)</f>
        <v>0</v>
      </c>
      <c r="R106" s="580">
        <f>IF(R104&gt;R103,SUM($C$104:R104),0)</f>
        <v>0</v>
      </c>
      <c r="S106" s="457">
        <f>IF(S104&gt;S103,SUM($C104:S$200),0)</f>
        <v>0</v>
      </c>
      <c r="T106" s="457">
        <f>IF(T104&gt;T103,SUM($C104:T$200),0)</f>
        <v>0</v>
      </c>
    </row>
    <row r="107" spans="1:21" s="319" customFormat="1" x14ac:dyDescent="0.2">
      <c r="A107" s="574">
        <v>11</v>
      </c>
      <c r="B107" s="575" t="s">
        <v>386</v>
      </c>
      <c r="C107" s="581">
        <f t="shared" ref="C107:T107" si="67">IF(C113&gt;0,C113,0)</f>
        <v>0</v>
      </c>
      <c r="D107" s="581">
        <f t="shared" si="67"/>
        <v>0</v>
      </c>
      <c r="E107" s="581">
        <f t="shared" si="67"/>
        <v>0</v>
      </c>
      <c r="F107" s="581">
        <f t="shared" si="67"/>
        <v>0</v>
      </c>
      <c r="G107" s="581">
        <f t="shared" si="67"/>
        <v>0</v>
      </c>
      <c r="H107" s="581">
        <f t="shared" si="67"/>
        <v>0</v>
      </c>
      <c r="I107" s="581">
        <f t="shared" si="67"/>
        <v>0</v>
      </c>
      <c r="J107" s="581">
        <f t="shared" si="67"/>
        <v>0</v>
      </c>
      <c r="K107" s="581">
        <f t="shared" si="67"/>
        <v>0</v>
      </c>
      <c r="L107" s="581">
        <f t="shared" si="67"/>
        <v>0</v>
      </c>
      <c r="M107" s="581">
        <f t="shared" si="67"/>
        <v>0</v>
      </c>
      <c r="N107" s="581">
        <f t="shared" si="67"/>
        <v>0</v>
      </c>
      <c r="O107" s="581">
        <f t="shared" si="67"/>
        <v>0</v>
      </c>
      <c r="P107" s="581">
        <f t="shared" si="67"/>
        <v>0</v>
      </c>
      <c r="Q107" s="581">
        <f t="shared" si="67"/>
        <v>0</v>
      </c>
      <c r="R107" s="581">
        <f t="shared" si="67"/>
        <v>0</v>
      </c>
      <c r="S107" s="458" t="e">
        <f t="shared" si="67"/>
        <v>#REF!</v>
      </c>
      <c r="T107" s="458" t="e">
        <f t="shared" si="67"/>
        <v>#REF!</v>
      </c>
    </row>
    <row r="108" spans="1:21" s="319" customFormat="1" x14ac:dyDescent="0.2">
      <c r="A108" s="574">
        <v>12</v>
      </c>
      <c r="B108" s="571" t="s">
        <v>387</v>
      </c>
      <c r="C108" s="580">
        <f>IF(C104&gt;C103,C104,C103)-C107</f>
        <v>28.564364061392798</v>
      </c>
      <c r="D108" s="580">
        <f t="shared" ref="D108:T108" si="68">IF(D104&gt;D103,D104,D103)-D107</f>
        <v>51.690676378149249</v>
      </c>
      <c r="E108" s="580">
        <f t="shared" si="68"/>
        <v>58.844990035203203</v>
      </c>
      <c r="F108" s="580">
        <f t="shared" si="68"/>
        <v>62.151678860550383</v>
      </c>
      <c r="G108" s="580">
        <f t="shared" si="68"/>
        <v>64.963532636111481</v>
      </c>
      <c r="H108" s="580">
        <f t="shared" si="68"/>
        <v>67.354659791952827</v>
      </c>
      <c r="I108" s="580">
        <f>IF(I104&gt;I103,I104,I103)-I107</f>
        <v>69.388064176370918</v>
      </c>
      <c r="J108" s="580">
        <f t="shared" si="68"/>
        <v>71.117309574883976</v>
      </c>
      <c r="K108" s="580">
        <f t="shared" si="68"/>
        <v>72.587934668201967</v>
      </c>
      <c r="L108" s="580">
        <f t="shared" si="68"/>
        <v>73.838655851645953</v>
      </c>
      <c r="M108" s="580">
        <f t="shared" si="68"/>
        <v>74.902389726284696</v>
      </c>
      <c r="N108" s="580">
        <f t="shared" si="68"/>
        <v>73.076899854342827</v>
      </c>
      <c r="O108" s="580">
        <f t="shared" si="68"/>
        <v>73.84642544698967</v>
      </c>
      <c r="P108" s="580">
        <f t="shared" si="68"/>
        <v>77.231197261255033</v>
      </c>
      <c r="Q108" s="580">
        <f t="shared" si="68"/>
        <v>77.787971575200871</v>
      </c>
      <c r="R108" s="580">
        <f t="shared" si="68"/>
        <v>0</v>
      </c>
      <c r="S108" s="459" t="e">
        <f t="shared" si="68"/>
        <v>#REF!</v>
      </c>
      <c r="T108" s="459" t="e">
        <f t="shared" si="68"/>
        <v>#REF!</v>
      </c>
    </row>
    <row r="109" spans="1:21" s="319" customFormat="1" x14ac:dyDescent="0.2">
      <c r="A109" s="631"/>
      <c r="B109" s="631"/>
      <c r="C109" s="454"/>
      <c r="D109" s="454"/>
      <c r="E109" s="454"/>
      <c r="F109" s="454"/>
      <c r="G109" s="454"/>
      <c r="H109" s="454"/>
      <c r="I109" s="454"/>
      <c r="J109" s="454"/>
      <c r="K109" s="454"/>
      <c r="L109" s="454"/>
      <c r="M109" s="454"/>
      <c r="N109" s="454"/>
      <c r="O109" s="454"/>
      <c r="P109" s="454"/>
      <c r="Q109" s="454"/>
      <c r="R109" s="454"/>
      <c r="S109" s="454"/>
      <c r="T109" s="454"/>
    </row>
    <row r="110" spans="1:21" s="1" customFormat="1" x14ac:dyDescent="0.2">
      <c r="A110" s="632"/>
      <c r="B110" s="633" t="s">
        <v>388</v>
      </c>
      <c r="C110" s="634">
        <f>IF((C103-C104)&lt;0,0,(C103-C104))</f>
        <v>19.562698121447923</v>
      </c>
      <c r="D110" s="634">
        <f t="shared" ref="D110:T110" si="69">IF((D103-D104)&lt;0,0,(D103-D104))</f>
        <v>32.485547467256382</v>
      </c>
      <c r="E110" s="634">
        <f t="shared" si="69"/>
        <v>37.088971567796605</v>
      </c>
      <c r="F110" s="634">
        <f t="shared" si="69"/>
        <v>39.451042735726759</v>
      </c>
      <c r="G110" s="634">
        <f t="shared" si="69"/>
        <v>41.318278853870829</v>
      </c>
      <c r="H110" s="634">
        <f t="shared" si="69"/>
        <v>42.764788352295149</v>
      </c>
      <c r="I110" s="634">
        <f t="shared" si="69"/>
        <v>43.85357507929622</v>
      </c>
      <c r="J110" s="634">
        <f>IF((J103-J104)&lt;0,0,(J103-J104))</f>
        <v>44.638202820392252</v>
      </c>
      <c r="K110" s="634">
        <f t="shared" si="69"/>
        <v>45.164210256293217</v>
      </c>
      <c r="L110" s="634">
        <f t="shared" si="69"/>
        <v>46.414931439737202</v>
      </c>
      <c r="M110" s="634">
        <f t="shared" si="69"/>
        <v>47.478665314375945</v>
      </c>
      <c r="N110" s="634">
        <f t="shared" si="69"/>
        <v>47.014563635436723</v>
      </c>
      <c r="O110" s="634">
        <f t="shared" si="69"/>
        <v>47.784089228083566</v>
      </c>
      <c r="P110" s="634">
        <f t="shared" si="69"/>
        <v>49.807472849346283</v>
      </c>
      <c r="Q110" s="634">
        <f t="shared" si="69"/>
        <v>50.36424716329212</v>
      </c>
      <c r="R110" s="634">
        <f t="shared" si="69"/>
        <v>0</v>
      </c>
      <c r="S110" s="635">
        <f t="shared" si="69"/>
        <v>0</v>
      </c>
      <c r="T110" s="635">
        <f t="shared" si="69"/>
        <v>0</v>
      </c>
    </row>
    <row r="111" spans="1:21" s="1" customFormat="1" x14ac:dyDescent="0.2">
      <c r="A111" s="632"/>
      <c r="B111" s="633" t="s">
        <v>389</v>
      </c>
      <c r="C111" s="634">
        <f>C110</f>
        <v>19.562698121447923</v>
      </c>
      <c r="D111" s="634">
        <f>C111+D110</f>
        <v>52.048245588704305</v>
      </c>
      <c r="E111" s="634">
        <f t="shared" ref="E111:T111" si="70">D111+E110</f>
        <v>89.13721715650091</v>
      </c>
      <c r="F111" s="634">
        <f t="shared" si="70"/>
        <v>128.58825989222765</v>
      </c>
      <c r="G111" s="634">
        <f t="shared" si="70"/>
        <v>169.90653874609848</v>
      </c>
      <c r="H111" s="634">
        <f t="shared" si="70"/>
        <v>212.67132709839362</v>
      </c>
      <c r="I111" s="634">
        <f t="shared" si="70"/>
        <v>256.52490217768985</v>
      </c>
      <c r="J111" s="634">
        <f t="shared" si="70"/>
        <v>301.16310499808208</v>
      </c>
      <c r="K111" s="634">
        <f t="shared" si="70"/>
        <v>346.32731525437532</v>
      </c>
      <c r="L111" s="634">
        <f t="shared" si="70"/>
        <v>392.74224669411251</v>
      </c>
      <c r="M111" s="634">
        <f t="shared" si="70"/>
        <v>440.22091200848843</v>
      </c>
      <c r="N111" s="634">
        <f t="shared" si="70"/>
        <v>487.23547564392516</v>
      </c>
      <c r="O111" s="634">
        <f t="shared" si="70"/>
        <v>535.01956487200869</v>
      </c>
      <c r="P111" s="634">
        <f t="shared" si="70"/>
        <v>584.82703772135494</v>
      </c>
      <c r="Q111" s="634">
        <f t="shared" si="70"/>
        <v>635.19128488464708</v>
      </c>
      <c r="R111" s="634">
        <f t="shared" si="70"/>
        <v>635.19128488464708</v>
      </c>
      <c r="S111" s="635">
        <f t="shared" si="70"/>
        <v>635.19128488464708</v>
      </c>
      <c r="T111" s="635">
        <f t="shared" si="70"/>
        <v>635.19128488464708</v>
      </c>
    </row>
    <row r="112" spans="1:21" s="1" customFormat="1" x14ac:dyDescent="0.2">
      <c r="A112" s="632"/>
      <c r="B112" s="633" t="s">
        <v>390</v>
      </c>
      <c r="C112" s="634">
        <f>IF(C104&gt;C103,C104,0)</f>
        <v>0</v>
      </c>
      <c r="D112" s="634">
        <f t="shared" ref="D112:T112" si="71">IF(D104&gt;D103,D104,0)</f>
        <v>0</v>
      </c>
      <c r="E112" s="634">
        <f t="shared" si="71"/>
        <v>0</v>
      </c>
      <c r="F112" s="634">
        <f t="shared" si="71"/>
        <v>0</v>
      </c>
      <c r="G112" s="634">
        <f t="shared" si="71"/>
        <v>0</v>
      </c>
      <c r="H112" s="634">
        <f t="shared" si="71"/>
        <v>0</v>
      </c>
      <c r="I112" s="634">
        <f t="shared" si="71"/>
        <v>0</v>
      </c>
      <c r="J112" s="634">
        <f t="shared" si="71"/>
        <v>0</v>
      </c>
      <c r="K112" s="634">
        <f t="shared" si="71"/>
        <v>0</v>
      </c>
      <c r="L112" s="634">
        <f t="shared" si="71"/>
        <v>0</v>
      </c>
      <c r="M112" s="634">
        <f t="shared" si="71"/>
        <v>0</v>
      </c>
      <c r="N112" s="634">
        <f t="shared" si="71"/>
        <v>0</v>
      </c>
      <c r="O112" s="634">
        <f t="shared" si="71"/>
        <v>0</v>
      </c>
      <c r="P112" s="634">
        <f t="shared" si="71"/>
        <v>0</v>
      </c>
      <c r="Q112" s="634">
        <f t="shared" si="71"/>
        <v>0</v>
      </c>
      <c r="R112" s="634">
        <f t="shared" si="71"/>
        <v>0</v>
      </c>
      <c r="S112" s="635">
        <f t="shared" si="71"/>
        <v>0</v>
      </c>
      <c r="T112" s="635">
        <f t="shared" si="71"/>
        <v>0</v>
      </c>
      <c r="U112" s="292">
        <f>SUM(C112:R112)</f>
        <v>0</v>
      </c>
    </row>
    <row r="113" spans="1:20" s="1" customFormat="1" x14ac:dyDescent="0.2">
      <c r="A113" s="636"/>
      <c r="B113" s="633" t="s">
        <v>391</v>
      </c>
      <c r="C113" s="634">
        <f>IF(C111&lt;$U$112,C110,C110-(C111-$U$112))</f>
        <v>0</v>
      </c>
      <c r="D113" s="634">
        <f t="shared" ref="D113:R113" si="72">IF(D111&lt;$U$112,D110,D110-(D111-$U$112))</f>
        <v>-19.562698121447923</v>
      </c>
      <c r="E113" s="634">
        <f t="shared" si="72"/>
        <v>-52.048245588704305</v>
      </c>
      <c r="F113" s="634">
        <f t="shared" si="72"/>
        <v>-89.137217156500895</v>
      </c>
      <c r="G113" s="634">
        <f t="shared" si="72"/>
        <v>-128.58825989222765</v>
      </c>
      <c r="H113" s="634">
        <f t="shared" si="72"/>
        <v>-169.90653874609848</v>
      </c>
      <c r="I113" s="634">
        <f t="shared" si="72"/>
        <v>-212.67132709839365</v>
      </c>
      <c r="J113" s="634">
        <f t="shared" si="72"/>
        <v>-256.5249021776898</v>
      </c>
      <c r="K113" s="634">
        <f t="shared" si="72"/>
        <v>-301.16310499808208</v>
      </c>
      <c r="L113" s="634">
        <f t="shared" si="72"/>
        <v>-346.32731525437532</v>
      </c>
      <c r="M113" s="634">
        <f t="shared" si="72"/>
        <v>-392.74224669411251</v>
      </c>
      <c r="N113" s="634">
        <f t="shared" si="72"/>
        <v>-440.22091200848843</v>
      </c>
      <c r="O113" s="634">
        <f t="shared" si="72"/>
        <v>-487.2354756439251</v>
      </c>
      <c r="P113" s="634">
        <f t="shared" si="72"/>
        <v>-535.01956487200869</v>
      </c>
      <c r="Q113" s="634">
        <f t="shared" si="72"/>
        <v>-584.82703772135494</v>
      </c>
      <c r="R113" s="634">
        <f t="shared" si="72"/>
        <v>-635.19128488464708</v>
      </c>
      <c r="S113" s="637" t="e">
        <f>IF(S111&lt;#REF!,S110,S110-(S111-#REF!))</f>
        <v>#REF!</v>
      </c>
      <c r="T113" s="637" t="e">
        <f>IF(T111&lt;#REF!,T110,T110-(T111-#REF!))</f>
        <v>#REF!</v>
      </c>
    </row>
    <row r="114" spans="1:20" s="1" customFormat="1" x14ac:dyDescent="0.2"/>
    <row r="115" spans="1:20" x14ac:dyDescent="0.2">
      <c r="A115" s="1"/>
      <c r="B115" s="1"/>
      <c r="C115" s="1"/>
      <c r="D115" s="1"/>
      <c r="E115" s="1"/>
      <c r="F115" s="9"/>
      <c r="G115" s="638"/>
      <c r="H115" s="747"/>
      <c r="I115" s="747"/>
      <c r="J115" s="747"/>
      <c r="K115" s="747"/>
      <c r="L115" s="747"/>
      <c r="M115" s="9"/>
      <c r="N115" s="9"/>
      <c r="O115" s="9"/>
      <c r="P115" s="9"/>
      <c r="S115" s="9"/>
      <c r="T115" s="9"/>
    </row>
    <row r="116" spans="1:20" x14ac:dyDescent="0.2">
      <c r="A116" s="1"/>
      <c r="B116" s="282" t="s">
        <v>122</v>
      </c>
      <c r="C116" s="639">
        <v>0</v>
      </c>
      <c r="D116" s="319"/>
      <c r="E116" s="1"/>
      <c r="F116" s="9"/>
      <c r="G116" s="9"/>
      <c r="H116" s="9"/>
      <c r="I116" s="9"/>
      <c r="J116" s="9"/>
      <c r="K116" s="9"/>
      <c r="L116" s="9"/>
      <c r="M116" s="9"/>
      <c r="N116" s="9"/>
      <c r="O116" s="9"/>
      <c r="P116" s="9"/>
      <c r="S116" s="9"/>
      <c r="T116" s="9"/>
    </row>
    <row r="117" spans="1:20" x14ac:dyDescent="0.2">
      <c r="A117" s="1"/>
      <c r="B117" s="282" t="s">
        <v>108</v>
      </c>
      <c r="C117" s="640">
        <v>2</v>
      </c>
      <c r="D117" s="319"/>
      <c r="E117" s="1"/>
      <c r="F117" s="9"/>
      <c r="G117" s="9"/>
      <c r="H117" s="9"/>
      <c r="I117" s="9"/>
      <c r="J117" s="641"/>
      <c r="K117" s="641"/>
      <c r="L117" s="641"/>
      <c r="M117" s="641"/>
      <c r="N117" s="641"/>
      <c r="O117" s="641"/>
      <c r="P117" s="9"/>
      <c r="S117" s="9"/>
      <c r="T117" s="9"/>
    </row>
    <row r="118" spans="1:20" x14ac:dyDescent="0.2">
      <c r="A118" s="1"/>
      <c r="B118" s="1"/>
      <c r="C118" s="1"/>
      <c r="D118" s="1"/>
      <c r="E118" s="1"/>
      <c r="F118" s="9"/>
      <c r="G118" s="9"/>
      <c r="H118" s="9"/>
      <c r="I118" s="9"/>
      <c r="J118" s="9"/>
      <c r="K118" s="9"/>
      <c r="L118" s="9"/>
      <c r="M118" s="9"/>
      <c r="N118" s="9"/>
      <c r="O118" s="9"/>
      <c r="P118" s="9"/>
      <c r="S118" s="9"/>
      <c r="T118" s="9"/>
    </row>
    <row r="119" spans="1:20" x14ac:dyDescent="0.2">
      <c r="F119" s="96"/>
      <c r="G119" s="96"/>
      <c r="H119" s="96"/>
      <c r="I119" s="96"/>
      <c r="J119" s="96"/>
      <c r="K119" s="96"/>
    </row>
  </sheetData>
  <mergeCells count="12">
    <mergeCell ref="H115:L115"/>
    <mergeCell ref="F4:T4"/>
    <mergeCell ref="A1:D1"/>
    <mergeCell ref="B5:B6"/>
    <mergeCell ref="A7:E7"/>
    <mergeCell ref="A4:B4"/>
    <mergeCell ref="A2:B2"/>
    <mergeCell ref="A3:B3"/>
    <mergeCell ref="A57:S57"/>
    <mergeCell ref="C58:D58"/>
    <mergeCell ref="A94:Q94"/>
    <mergeCell ref="B52:C5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65"/>
  <sheetViews>
    <sheetView showGridLines="0" workbookViewId="0">
      <selection activeCell="D40" sqref="D40"/>
    </sheetView>
  </sheetViews>
  <sheetFormatPr defaultColWidth="9.140625" defaultRowHeight="12.75" x14ac:dyDescent="0.2"/>
  <cols>
    <col min="1" max="1" width="9.140625" style="322"/>
    <col min="2" max="2" width="36.28515625" style="324" customWidth="1"/>
    <col min="3" max="20" width="12.7109375" style="324" customWidth="1"/>
    <col min="21" max="21" width="12" style="324" customWidth="1"/>
    <col min="22" max="22" width="11.85546875" style="324" customWidth="1"/>
    <col min="23" max="49" width="9.140625" style="349"/>
    <col min="50" max="16384" width="9.140625" style="324"/>
  </cols>
  <sheetData>
    <row r="1" spans="1:35" ht="15" customHeight="1" x14ac:dyDescent="0.2">
      <c r="B1" s="323" t="s">
        <v>540</v>
      </c>
      <c r="J1" s="325"/>
    </row>
    <row r="2" spans="1:35" ht="15" customHeight="1" x14ac:dyDescent="0.25">
      <c r="B2" s="582" t="s">
        <v>420</v>
      </c>
      <c r="D2" s="326"/>
      <c r="E2" s="326"/>
      <c r="J2" s="325"/>
    </row>
    <row r="3" spans="1:35" s="347" customFormat="1" ht="15" customHeight="1" x14ac:dyDescent="0.2">
      <c r="A3" s="462" t="s">
        <v>402</v>
      </c>
      <c r="B3" s="359" t="s">
        <v>6</v>
      </c>
      <c r="C3" s="462" t="s">
        <v>441</v>
      </c>
      <c r="D3" s="462">
        <v>-2</v>
      </c>
      <c r="E3" s="462">
        <v>-1</v>
      </c>
      <c r="F3" s="381">
        <v>1</v>
      </c>
      <c r="G3" s="381">
        <v>2</v>
      </c>
      <c r="H3" s="381">
        <v>3</v>
      </c>
      <c r="I3" s="381">
        <v>4</v>
      </c>
      <c r="J3" s="381">
        <v>5</v>
      </c>
      <c r="K3" s="381">
        <v>6</v>
      </c>
      <c r="L3" s="381">
        <v>7</v>
      </c>
      <c r="M3" s="381">
        <v>8</v>
      </c>
      <c r="N3" s="381">
        <v>9</v>
      </c>
      <c r="O3" s="381">
        <v>10</v>
      </c>
      <c r="P3" s="381">
        <v>11</v>
      </c>
      <c r="Q3" s="381">
        <v>12</v>
      </c>
      <c r="R3" s="381">
        <v>13</v>
      </c>
      <c r="S3" s="381">
        <v>14</v>
      </c>
      <c r="T3" s="381">
        <v>15</v>
      </c>
      <c r="U3" s="349"/>
      <c r="V3" s="349"/>
      <c r="W3" s="349"/>
      <c r="X3" s="349"/>
      <c r="Y3" s="349"/>
      <c r="Z3" s="349"/>
      <c r="AA3" s="349"/>
      <c r="AB3" s="349"/>
      <c r="AC3" s="349"/>
      <c r="AD3" s="349"/>
      <c r="AE3" s="349"/>
      <c r="AF3" s="349"/>
      <c r="AG3" s="349"/>
      <c r="AH3" s="349"/>
      <c r="AI3" s="350"/>
    </row>
    <row r="4" spans="1:35" s="349" customFormat="1" ht="15" customHeight="1" x14ac:dyDescent="0.2">
      <c r="A4" s="351">
        <v>1</v>
      </c>
      <c r="B4" s="364" t="s">
        <v>72</v>
      </c>
      <c r="C4" s="351" t="s">
        <v>541</v>
      </c>
      <c r="D4" s="351"/>
      <c r="E4" s="351"/>
      <c r="F4" s="355">
        <f>'Cashflow '!F30</f>
        <v>22.95615986228437</v>
      </c>
      <c r="G4" s="355">
        <f>'Cashflow '!G30</f>
        <v>58.22878854225408</v>
      </c>
      <c r="H4" s="355">
        <f>'Cashflow '!H30</f>
        <v>65.674346431180709</v>
      </c>
      <c r="I4" s="355">
        <f>'Cashflow '!I30</f>
        <v>67.774123135921826</v>
      </c>
      <c r="J4" s="355">
        <f>'Cashflow '!J30</f>
        <v>70.368734890449005</v>
      </c>
      <c r="K4" s="355">
        <f>'Cashflow '!K30</f>
        <v>73.384073264695957</v>
      </c>
      <c r="L4" s="355">
        <f>'Cashflow '!L30</f>
        <v>76.757134410366135</v>
      </c>
      <c r="M4" s="355">
        <f>'Cashflow '!M30</f>
        <v>80.434354541941374</v>
      </c>
      <c r="N4" s="355">
        <f>'Cashflow '!N30</f>
        <v>84.370194978711652</v>
      </c>
      <c r="O4" s="355">
        <f>'Cashflow '!O30</f>
        <v>83.119473795267666</v>
      </c>
      <c r="P4" s="355">
        <f>'Cashflow '!P30</f>
        <v>82.055739920628923</v>
      </c>
      <c r="Q4" s="355">
        <f>'Cashflow '!Q30</f>
        <v>76.089401764854188</v>
      </c>
      <c r="R4" s="355">
        <f>'Cashflow '!R30</f>
        <v>75.319876172207344</v>
      </c>
      <c r="S4" s="355">
        <f>'Cashflow '!S30</f>
        <v>79.726932385658586</v>
      </c>
      <c r="T4" s="355">
        <f>'Cashflow '!T30</f>
        <v>79.170158071712748</v>
      </c>
    </row>
    <row r="5" spans="1:35" s="349" customFormat="1" ht="15" customHeight="1" x14ac:dyDescent="0.2">
      <c r="A5" s="351">
        <v>2</v>
      </c>
      <c r="B5" s="364" t="s">
        <v>505</v>
      </c>
      <c r="C5" s="351" t="s">
        <v>541</v>
      </c>
      <c r="D5" s="351"/>
      <c r="E5" s="351"/>
      <c r="F5" s="355">
        <f>'Cashflow '!F27</f>
        <v>36.848479459750003</v>
      </c>
      <c r="G5" s="355">
        <f>'Cashflow '!G27</f>
        <v>36.848479459750003</v>
      </c>
      <c r="H5" s="355">
        <f>'Cashflow '!H27</f>
        <v>36.848479459750003</v>
      </c>
      <c r="I5" s="355">
        <f>'Cashflow '!I27</f>
        <v>36.848479459750003</v>
      </c>
      <c r="J5" s="355">
        <f>'Cashflow '!J27</f>
        <v>36.848479459750003</v>
      </c>
      <c r="K5" s="355">
        <f>'Cashflow '!K27</f>
        <v>36.848479459750003</v>
      </c>
      <c r="L5" s="355">
        <f>'Cashflow '!L27</f>
        <v>36.848479459750003</v>
      </c>
      <c r="M5" s="355">
        <f>'Cashflow '!M27</f>
        <v>36.848479459750003</v>
      </c>
      <c r="N5" s="355">
        <f>'Cashflow '!N27</f>
        <v>36.848479459750003</v>
      </c>
      <c r="O5" s="355">
        <f>'Cashflow '!O27</f>
        <v>36.848479459750003</v>
      </c>
      <c r="P5" s="355">
        <f>'Cashflow '!P27</f>
        <v>36.848479459750003</v>
      </c>
      <c r="Q5" s="355">
        <f>'Cashflow '!Q27</f>
        <v>36.848479459750003</v>
      </c>
      <c r="R5" s="355">
        <f>'Cashflow '!R27</f>
        <v>36.848479459750003</v>
      </c>
      <c r="S5" s="355">
        <f>'Cashflow '!S27</f>
        <v>36.848479459750003</v>
      </c>
      <c r="T5" s="355">
        <f>'Cashflow '!T27</f>
        <v>36.848479459750003</v>
      </c>
    </row>
    <row r="6" spans="1:35" s="349" customFormat="1" ht="15" customHeight="1" x14ac:dyDescent="0.2">
      <c r="A6" s="351">
        <v>3</v>
      </c>
      <c r="B6" s="364" t="s">
        <v>506</v>
      </c>
      <c r="C6" s="351" t="s">
        <v>541</v>
      </c>
      <c r="D6" s="351"/>
      <c r="E6" s="351"/>
      <c r="F6" s="355">
        <f>'Cashflow '!F26</f>
        <v>43.251724240706253</v>
      </c>
      <c r="G6" s="355">
        <f>'Cashflow '!G26</f>
        <v>37.845258710617976</v>
      </c>
      <c r="H6" s="355">
        <f>'Cashflow '!H26</f>
        <v>32.438793180529693</v>
      </c>
      <c r="I6" s="355">
        <f>'Cashflow '!I26</f>
        <v>27.032327650441406</v>
      </c>
      <c r="J6" s="355">
        <f>'Cashflow '!J26</f>
        <v>21.625862120353126</v>
      </c>
      <c r="K6" s="355">
        <f>'Cashflow '!K26</f>
        <v>16.219396590264843</v>
      </c>
      <c r="L6" s="355">
        <f>'Cashflow '!L26</f>
        <v>10.81293106017656</v>
      </c>
      <c r="M6" s="355">
        <f>'Cashflow '!M26</f>
        <v>5.406465530088278</v>
      </c>
      <c r="N6" s="355">
        <f>'Cashflow '!N26</f>
        <v>0</v>
      </c>
      <c r="O6" s="355">
        <f>'Cashflow '!O26</f>
        <v>0</v>
      </c>
      <c r="P6" s="355">
        <f>'Cashflow '!P26</f>
        <v>0</v>
      </c>
      <c r="Q6" s="355">
        <f>'Cashflow '!Q26</f>
        <v>0</v>
      </c>
      <c r="R6" s="355">
        <f>'Cashflow '!R26</f>
        <v>0</v>
      </c>
      <c r="S6" s="355">
        <f>'Cashflow '!S26</f>
        <v>0</v>
      </c>
      <c r="T6" s="355">
        <f>'Cashflow '!T26</f>
        <v>0</v>
      </c>
    </row>
    <row r="7" spans="1:35" s="349" customFormat="1" ht="15" customHeight="1" x14ac:dyDescent="0.2">
      <c r="A7" s="351">
        <v>4</v>
      </c>
      <c r="B7" s="364" t="s">
        <v>517</v>
      </c>
      <c r="C7" s="351" t="s">
        <v>541</v>
      </c>
      <c r="D7" s="351"/>
      <c r="E7" s="351"/>
      <c r="F7" s="356">
        <f>-'Working Capital'!D17</f>
        <v>-3.3254979195352985</v>
      </c>
      <c r="G7" s="356">
        <f>-'Working Capital'!E17</f>
        <v>-0.42190414957386357</v>
      </c>
      <c r="H7" s="356">
        <f>-'Working Capital'!F17</f>
        <v>-0.63285622436079514</v>
      </c>
      <c r="I7" s="354">
        <f>-'Working Capital'!G17</f>
        <v>0</v>
      </c>
      <c r="J7" s="354">
        <f>-'Working Capital'!H17</f>
        <v>0</v>
      </c>
      <c r="K7" s="354">
        <f>-'Working Capital'!I17</f>
        <v>0</v>
      </c>
      <c r="L7" s="354">
        <f>-'Working Capital'!J17</f>
        <v>0</v>
      </c>
      <c r="M7" s="354">
        <f>-'Working Capital'!K17</f>
        <v>0</v>
      </c>
      <c r="N7" s="356">
        <f>-'Working Capital'!L17</f>
        <v>0</v>
      </c>
      <c r="O7" s="354">
        <f>-'Working Capital'!M17</f>
        <v>0</v>
      </c>
      <c r="P7" s="354">
        <f>-'Working Capital'!N17</f>
        <v>0</v>
      </c>
      <c r="Q7" s="354">
        <f>-'Working Capital'!O17</f>
        <v>8.8785642977628143E-2</v>
      </c>
      <c r="R7" s="354">
        <f>-'Working Capital'!P17</f>
        <v>0</v>
      </c>
      <c r="S7" s="356">
        <f>-'Working Capital'!Q17</f>
        <v>-8.8785642977628143E-2</v>
      </c>
      <c r="T7" s="354">
        <f>-'Working Capital'!R17</f>
        <v>0</v>
      </c>
    </row>
    <row r="8" spans="1:35" s="349" customFormat="1" ht="15" customHeight="1" x14ac:dyDescent="0.2">
      <c r="A8" s="351">
        <v>5</v>
      </c>
      <c r="B8" s="364" t="s">
        <v>504</v>
      </c>
      <c r="C8" s="351" t="s">
        <v>541</v>
      </c>
      <c r="D8" s="351"/>
      <c r="E8" s="351"/>
      <c r="F8" s="354">
        <v>0</v>
      </c>
      <c r="G8" s="354">
        <v>0</v>
      </c>
      <c r="H8" s="354">
        <v>0</v>
      </c>
      <c r="I8" s="354">
        <v>0</v>
      </c>
      <c r="J8" s="354">
        <v>0</v>
      </c>
      <c r="K8" s="354">
        <v>0</v>
      </c>
      <c r="L8" s="354">
        <v>0</v>
      </c>
      <c r="M8" s="354">
        <v>0</v>
      </c>
      <c r="N8" s="354">
        <v>0</v>
      </c>
      <c r="O8" s="354">
        <v>0</v>
      </c>
      <c r="P8" s="354">
        <v>0</v>
      </c>
      <c r="Q8" s="354">
        <v>0</v>
      </c>
      <c r="R8" s="354">
        <v>0</v>
      </c>
      <c r="S8" s="354">
        <v>0</v>
      </c>
      <c r="T8" s="356">
        <f>-SUM(F7:T7)</f>
        <v>4.3802582934699572</v>
      </c>
    </row>
    <row r="9" spans="1:35" s="349" customFormat="1" ht="15" customHeight="1" x14ac:dyDescent="0.2">
      <c r="A9" s="351">
        <v>6</v>
      </c>
      <c r="B9" s="364" t="s">
        <v>518</v>
      </c>
      <c r="C9" s="351" t="s">
        <v>541</v>
      </c>
      <c r="D9" s="351"/>
      <c r="E9" s="351"/>
      <c r="F9" s="354">
        <v>0</v>
      </c>
      <c r="G9" s="354">
        <v>0</v>
      </c>
      <c r="H9" s="354">
        <v>0</v>
      </c>
      <c r="I9" s="354">
        <v>0</v>
      </c>
      <c r="J9" s="354">
        <v>0</v>
      </c>
      <c r="K9" s="354">
        <v>0</v>
      </c>
      <c r="L9" s="354">
        <v>0</v>
      </c>
      <c r="M9" s="354">
        <v>0</v>
      </c>
      <c r="N9" s="354">
        <v>0</v>
      </c>
      <c r="O9" s="354">
        <v>0</v>
      </c>
      <c r="P9" s="354">
        <v>0</v>
      </c>
      <c r="Q9" s="354">
        <v>0</v>
      </c>
      <c r="R9" s="354">
        <v>0</v>
      </c>
      <c r="S9" s="354">
        <v>0</v>
      </c>
      <c r="T9" s="357">
        <f>-'Working Capital'!R18</f>
        <v>-13.140774880409872</v>
      </c>
    </row>
    <row r="10" spans="1:35" s="349" customFormat="1" ht="15" customHeight="1" x14ac:dyDescent="0.2">
      <c r="A10" s="351">
        <v>7</v>
      </c>
      <c r="B10" s="364" t="s">
        <v>542</v>
      </c>
      <c r="C10" s="351" t="s">
        <v>541</v>
      </c>
      <c r="D10" s="351"/>
      <c r="E10" s="351"/>
      <c r="F10" s="354">
        <v>0</v>
      </c>
      <c r="G10" s="354">
        <v>0</v>
      </c>
      <c r="H10" s="354">
        <v>0</v>
      </c>
      <c r="I10" s="354">
        <v>0</v>
      </c>
      <c r="J10" s="354">
        <v>0</v>
      </c>
      <c r="K10" s="354">
        <v>0</v>
      </c>
      <c r="L10" s="354">
        <v>0</v>
      </c>
      <c r="M10" s="354">
        <v>0</v>
      </c>
      <c r="N10" s="354">
        <v>0</v>
      </c>
      <c r="O10" s="354">
        <v>0</v>
      </c>
      <c r="P10" s="354">
        <v>0</v>
      </c>
      <c r="Q10" s="354">
        <v>0</v>
      </c>
      <c r="R10" s="354">
        <v>0</v>
      </c>
      <c r="S10" s="354">
        <v>0</v>
      </c>
      <c r="T10" s="355">
        <f>(Capex!B11-Capex!B8-Capex!B9-Capex!B10)*0.05</f>
        <v>25.609625000000001</v>
      </c>
    </row>
    <row r="11" spans="1:35" s="349" customFormat="1" ht="15" customHeight="1" x14ac:dyDescent="0.2">
      <c r="A11" s="351">
        <v>8</v>
      </c>
      <c r="B11" s="460" t="s">
        <v>544</v>
      </c>
      <c r="C11" s="351" t="s">
        <v>541</v>
      </c>
      <c r="D11" s="327">
        <f>-(Capex!B73/100-Capex!B10)/2</f>
        <v>-311.31803908031253</v>
      </c>
      <c r="E11" s="327">
        <f>D11</f>
        <v>-311.31803908031253</v>
      </c>
      <c r="F11" s="355">
        <f>SUM(F4:F10)</f>
        <v>99.730865643205334</v>
      </c>
      <c r="G11" s="355">
        <f t="shared" ref="G11:T11" si="0">SUM(G4:G10)</f>
        <v>132.50062256304818</v>
      </c>
      <c r="H11" s="355">
        <f t="shared" si="0"/>
        <v>134.3287628470996</v>
      </c>
      <c r="I11" s="355">
        <f t="shared" si="0"/>
        <v>131.65493024611322</v>
      </c>
      <c r="J11" s="355">
        <f t="shared" si="0"/>
        <v>128.84307647055215</v>
      </c>
      <c r="K11" s="355">
        <f t="shared" si="0"/>
        <v>126.45194931471079</v>
      </c>
      <c r="L11" s="355">
        <f t="shared" si="0"/>
        <v>124.41854493029271</v>
      </c>
      <c r="M11" s="355">
        <f t="shared" si="0"/>
        <v>122.68929953177967</v>
      </c>
      <c r="N11" s="355">
        <f t="shared" si="0"/>
        <v>121.21867443846165</v>
      </c>
      <c r="O11" s="355">
        <f t="shared" si="0"/>
        <v>119.96795325501768</v>
      </c>
      <c r="P11" s="355">
        <f t="shared" si="0"/>
        <v>118.90421938037892</v>
      </c>
      <c r="Q11" s="355">
        <f t="shared" si="0"/>
        <v>113.02666686758181</v>
      </c>
      <c r="R11" s="355">
        <f t="shared" si="0"/>
        <v>112.16835563195735</v>
      </c>
      <c r="S11" s="355">
        <f t="shared" si="0"/>
        <v>116.48662620243095</v>
      </c>
      <c r="T11" s="355">
        <f t="shared" si="0"/>
        <v>132.86774594452282</v>
      </c>
    </row>
    <row r="12" spans="1:35" s="349" customFormat="1" ht="15" customHeight="1" x14ac:dyDescent="0.2">
      <c r="A12" s="346">
        <v>9</v>
      </c>
      <c r="B12" s="329" t="s">
        <v>543</v>
      </c>
      <c r="C12" s="346" t="s">
        <v>541</v>
      </c>
      <c r="D12" s="461">
        <f>D11</f>
        <v>-311.31803908031253</v>
      </c>
      <c r="E12" s="461">
        <f t="shared" ref="E12:T12" si="1">E11</f>
        <v>-311.31803908031253</v>
      </c>
      <c r="F12" s="461">
        <f t="shared" si="1"/>
        <v>99.730865643205334</v>
      </c>
      <c r="G12" s="461">
        <f t="shared" si="1"/>
        <v>132.50062256304818</v>
      </c>
      <c r="H12" s="461">
        <f t="shared" si="1"/>
        <v>134.3287628470996</v>
      </c>
      <c r="I12" s="461">
        <f t="shared" si="1"/>
        <v>131.65493024611322</v>
      </c>
      <c r="J12" s="461">
        <f t="shared" si="1"/>
        <v>128.84307647055215</v>
      </c>
      <c r="K12" s="461">
        <f t="shared" si="1"/>
        <v>126.45194931471079</v>
      </c>
      <c r="L12" s="461">
        <f t="shared" si="1"/>
        <v>124.41854493029271</v>
      </c>
      <c r="M12" s="461">
        <f t="shared" si="1"/>
        <v>122.68929953177967</v>
      </c>
      <c r="N12" s="461">
        <f t="shared" si="1"/>
        <v>121.21867443846165</v>
      </c>
      <c r="O12" s="461">
        <f t="shared" si="1"/>
        <v>119.96795325501768</v>
      </c>
      <c r="P12" s="461">
        <f t="shared" si="1"/>
        <v>118.90421938037892</v>
      </c>
      <c r="Q12" s="461">
        <f t="shared" si="1"/>
        <v>113.02666686758181</v>
      </c>
      <c r="R12" s="461">
        <f t="shared" si="1"/>
        <v>112.16835563195735</v>
      </c>
      <c r="S12" s="461">
        <f t="shared" si="1"/>
        <v>116.48662620243095</v>
      </c>
      <c r="T12" s="461">
        <f t="shared" si="1"/>
        <v>132.86774594452282</v>
      </c>
    </row>
    <row r="13" spans="1:35" ht="15" customHeight="1" x14ac:dyDescent="0.2">
      <c r="A13" s="346">
        <v>10</v>
      </c>
      <c r="B13" s="329" t="s">
        <v>507</v>
      </c>
      <c r="C13" s="328" t="s">
        <v>422</v>
      </c>
      <c r="D13" s="669">
        <f>IRR(D12:T12)</f>
        <v>0.16344846263918522</v>
      </c>
      <c r="E13" s="471">
        <f>-(E11+E12)</f>
        <v>622.63607816062506</v>
      </c>
      <c r="F13" s="502"/>
      <c r="G13" s="502"/>
      <c r="H13" s="502"/>
      <c r="I13" s="502"/>
      <c r="J13" s="502"/>
      <c r="K13" s="502"/>
      <c r="L13" s="502"/>
      <c r="M13" s="502"/>
      <c r="N13" s="502"/>
      <c r="O13" s="502"/>
      <c r="P13" s="502"/>
      <c r="Q13" s="502"/>
      <c r="R13" s="502"/>
      <c r="S13" s="502"/>
      <c r="T13" s="502"/>
    </row>
    <row r="14" spans="1:35" ht="15" customHeight="1" x14ac:dyDescent="0.2">
      <c r="A14" s="206"/>
      <c r="C14" s="322"/>
      <c r="D14" s="507"/>
      <c r="E14" s="506"/>
      <c r="F14" s="502"/>
      <c r="G14" s="502"/>
      <c r="H14" s="502"/>
      <c r="I14" s="502"/>
      <c r="J14" s="502"/>
      <c r="K14" s="502"/>
      <c r="L14" s="502"/>
      <c r="M14" s="502"/>
      <c r="N14" s="502"/>
      <c r="O14" s="502"/>
      <c r="P14" s="502"/>
      <c r="Q14" s="502"/>
      <c r="R14" s="502"/>
      <c r="S14" s="502"/>
      <c r="T14" s="502"/>
    </row>
    <row r="15" spans="1:35" ht="15" customHeight="1" x14ac:dyDescent="0.2">
      <c r="A15" s="462" t="s">
        <v>402</v>
      </c>
      <c r="B15" s="338" t="s">
        <v>571</v>
      </c>
      <c r="C15" s="322"/>
      <c r="D15" s="507"/>
      <c r="E15" s="506"/>
      <c r="F15" s="502"/>
      <c r="G15" s="502"/>
      <c r="H15" s="502"/>
      <c r="I15" s="502"/>
      <c r="J15" s="502"/>
      <c r="K15" s="502"/>
      <c r="L15" s="502"/>
      <c r="M15" s="502"/>
      <c r="N15" s="502"/>
      <c r="O15" s="502"/>
      <c r="P15" s="502"/>
      <c r="Q15" s="502"/>
      <c r="R15" s="502"/>
      <c r="S15" s="502"/>
      <c r="T15" s="502"/>
    </row>
    <row r="16" spans="1:35" ht="15" customHeight="1" x14ac:dyDescent="0.2">
      <c r="A16" s="462">
        <v>1</v>
      </c>
      <c r="B16" s="329" t="s">
        <v>572</v>
      </c>
      <c r="C16" s="328" t="s">
        <v>552</v>
      </c>
      <c r="D16" s="508"/>
      <c r="E16" s="471">
        <f>E13</f>
        <v>622.63607816062506</v>
      </c>
      <c r="F16" s="509">
        <f>F11</f>
        <v>99.730865643205334</v>
      </c>
      <c r="G16" s="509">
        <f>G12+F12</f>
        <v>232.23148820625352</v>
      </c>
      <c r="H16" s="509">
        <f>H12+G16</f>
        <v>366.56025105335311</v>
      </c>
      <c r="I16" s="509">
        <f>I12+H16</f>
        <v>498.21518129946634</v>
      </c>
      <c r="J16" s="509">
        <f t="shared" ref="J16:T16" si="2">J12+I16</f>
        <v>627.05825777001849</v>
      </c>
      <c r="K16" s="509">
        <f t="shared" si="2"/>
        <v>753.51020708472925</v>
      </c>
      <c r="L16" s="509">
        <f t="shared" si="2"/>
        <v>877.92875201502193</v>
      </c>
      <c r="M16" s="509">
        <f t="shared" si="2"/>
        <v>1000.6180515468016</v>
      </c>
      <c r="N16" s="509">
        <f t="shared" si="2"/>
        <v>1121.8367259852632</v>
      </c>
      <c r="O16" s="509">
        <f t="shared" si="2"/>
        <v>1241.8046792402808</v>
      </c>
      <c r="P16" s="509">
        <f t="shared" si="2"/>
        <v>1360.7088986206597</v>
      </c>
      <c r="Q16" s="509">
        <f t="shared" si="2"/>
        <v>1473.7355654882415</v>
      </c>
      <c r="R16" s="509">
        <f t="shared" si="2"/>
        <v>1585.9039211201989</v>
      </c>
      <c r="S16" s="509">
        <f t="shared" si="2"/>
        <v>1702.3905473226298</v>
      </c>
      <c r="T16" s="509">
        <f t="shared" si="2"/>
        <v>1835.2582932671526</v>
      </c>
    </row>
    <row r="17" spans="1:35" ht="15" customHeight="1" x14ac:dyDescent="0.2">
      <c r="A17" s="346">
        <v>2</v>
      </c>
      <c r="B17" s="329" t="s">
        <v>508</v>
      </c>
      <c r="C17" s="328"/>
      <c r="D17" s="508"/>
      <c r="E17" s="471"/>
      <c r="F17" s="331" t="b">
        <f>IF(F16&lt;$E$16,TRUE,FALSE)</f>
        <v>1</v>
      </c>
      <c r="G17" s="331" t="b">
        <f t="shared" ref="G17:L17" si="3">IF(G16&lt;$E$16,TRUE,FALSE)</f>
        <v>1</v>
      </c>
      <c r="H17" s="331" t="b">
        <f t="shared" si="3"/>
        <v>1</v>
      </c>
      <c r="I17" s="331" t="b">
        <f t="shared" si="3"/>
        <v>1</v>
      </c>
      <c r="J17" s="331" t="b">
        <f t="shared" si="3"/>
        <v>0</v>
      </c>
      <c r="K17" s="331" t="b">
        <f t="shared" si="3"/>
        <v>0</v>
      </c>
      <c r="L17" s="331" t="b">
        <f t="shared" si="3"/>
        <v>0</v>
      </c>
      <c r="M17" s="331" t="b">
        <f t="shared" ref="M17" si="4">IF(M16&lt;$E$16,TRUE,FALSE)</f>
        <v>0</v>
      </c>
      <c r="N17" s="331" t="b">
        <f t="shared" ref="N17" si="5">IF(N16&lt;$E$16,TRUE,FALSE)</f>
        <v>0</v>
      </c>
      <c r="O17" s="331" t="b">
        <f t="shared" ref="O17" si="6">IF(O16&lt;$E$16,TRUE,FALSE)</f>
        <v>0</v>
      </c>
      <c r="P17" s="331" t="b">
        <f t="shared" ref="P17" si="7">IF(P16&lt;$E$16,TRUE,FALSE)</f>
        <v>0</v>
      </c>
      <c r="Q17" s="331" t="b">
        <f t="shared" ref="Q17:R17" si="8">IF(Q16&lt;$E$16,TRUE,FALSE)</f>
        <v>0</v>
      </c>
      <c r="R17" s="331" t="b">
        <f t="shared" si="8"/>
        <v>0</v>
      </c>
      <c r="S17" s="331" t="b">
        <f t="shared" ref="S17" si="9">IF(S16&lt;$E$16,TRUE,FALSE)</f>
        <v>0</v>
      </c>
      <c r="T17" s="331" t="b">
        <f t="shared" ref="T17" si="10">IF(T16&lt;$E$16,TRUE,FALSE)</f>
        <v>0</v>
      </c>
    </row>
    <row r="18" spans="1:35" ht="15" customHeight="1" x14ac:dyDescent="0.2">
      <c r="A18" s="346">
        <v>3</v>
      </c>
      <c r="B18" s="329"/>
      <c r="C18" s="328"/>
      <c r="D18" s="508"/>
      <c r="E18" s="471"/>
      <c r="F18" s="331">
        <f>IF(F17=TRUE,1,$E$16/F16)</f>
        <v>1</v>
      </c>
      <c r="G18" s="331">
        <f>IF(G17=TRUE,1,($E$16-F16)/G12)</f>
        <v>1</v>
      </c>
      <c r="H18" s="331">
        <f>IF(H17=TRUE,1,($E$16-G16)/H12)</f>
        <v>1</v>
      </c>
      <c r="I18" s="331">
        <f t="shared" ref="I18:K18" si="11">IF(I17=TRUE,1,($E$16-H16)/I12)</f>
        <v>1</v>
      </c>
      <c r="J18" s="331">
        <f t="shared" si="11"/>
        <v>0.96567778626114897</v>
      </c>
      <c r="K18" s="331">
        <f t="shared" si="11"/>
        <v>-3.497122530224981E-2</v>
      </c>
      <c r="L18" s="331">
        <f t="shared" ref="L18" si="12">IF(L17=TRUE,1,($E$16-K16)/L12)</f>
        <v>-1.0518860270985191</v>
      </c>
      <c r="M18" s="331">
        <f t="shared" ref="M18:N18" si="13">IF(M17=TRUE,1,($E$16-L16)/M12)</f>
        <v>-2.0808063525398932</v>
      </c>
      <c r="N18" s="331">
        <f t="shared" si="13"/>
        <v>-3.118182698640747</v>
      </c>
      <c r="O18" s="331">
        <f t="shared" ref="O18" si="14">IF(O17=TRUE,1,($E$16-N16)/O12)</f>
        <v>-4.1611166505731729</v>
      </c>
      <c r="P18" s="331">
        <f t="shared" ref="P18:Q18" si="15">IF(P17=TRUE,1,($E$16-O16)/P12)</f>
        <v>-5.2072887262218419</v>
      </c>
      <c r="Q18" s="331">
        <f t="shared" si="15"/>
        <v>-6.5300768474818041</v>
      </c>
      <c r="R18" s="331">
        <f t="shared" ref="R18" si="16">IF(R17=TRUE,1,($E$16-Q16)/R12)</f>
        <v>-7.5876969269319812</v>
      </c>
      <c r="S18" s="331">
        <f t="shared" ref="S18:T18" si="17">IF(S17=TRUE,1,($E$16-R16)/S12)</f>
        <v>-8.2693427937864978</v>
      </c>
      <c r="T18" s="331">
        <f t="shared" si="17"/>
        <v>-8.1265356124340506</v>
      </c>
    </row>
    <row r="19" spans="1:35" ht="15" customHeight="1" x14ac:dyDescent="0.2">
      <c r="A19" s="346">
        <v>4</v>
      </c>
      <c r="B19" s="329" t="s">
        <v>573</v>
      </c>
      <c r="C19" s="328" t="s">
        <v>296</v>
      </c>
      <c r="D19" s="485">
        <f>SUM(F18:I18)+J18</f>
        <v>4.965677786261149</v>
      </c>
      <c r="E19" s="506"/>
      <c r="F19" s="330"/>
      <c r="G19" s="330"/>
      <c r="H19" s="330"/>
      <c r="I19" s="330"/>
      <c r="J19" s="330"/>
      <c r="K19" s="330"/>
      <c r="L19" s="330"/>
      <c r="M19" s="330"/>
      <c r="N19" s="330"/>
      <c r="O19" s="330"/>
      <c r="P19" s="330"/>
      <c r="Q19" s="330"/>
      <c r="R19" s="330"/>
      <c r="S19" s="330"/>
      <c r="T19" s="330"/>
    </row>
    <row r="20" spans="1:35" ht="15" customHeight="1" x14ac:dyDescent="0.2">
      <c r="A20" s="206"/>
      <c r="C20" s="322"/>
      <c r="D20" s="507"/>
      <c r="E20" s="506"/>
      <c r="F20" s="330"/>
      <c r="G20" s="330"/>
      <c r="H20" s="330"/>
      <c r="I20" s="330"/>
      <c r="J20" s="330"/>
      <c r="K20" s="330"/>
      <c r="L20" s="330"/>
      <c r="M20" s="330"/>
      <c r="N20" s="330"/>
      <c r="O20" s="330"/>
      <c r="P20" s="330"/>
      <c r="Q20" s="330"/>
      <c r="R20" s="330"/>
      <c r="S20" s="330"/>
      <c r="T20" s="330"/>
    </row>
    <row r="21" spans="1:35" s="349" customFormat="1" ht="15" hidden="1" customHeight="1" x14ac:dyDescent="0.2">
      <c r="A21" s="346" t="s">
        <v>402</v>
      </c>
      <c r="B21" s="359" t="s">
        <v>509</v>
      </c>
      <c r="C21" s="346" t="s">
        <v>541</v>
      </c>
      <c r="D21" s="346" t="s">
        <v>546</v>
      </c>
      <c r="E21" s="206"/>
      <c r="F21" s="352"/>
      <c r="J21" s="352"/>
      <c r="K21" s="352"/>
      <c r="L21" s="352"/>
      <c r="M21" s="352"/>
      <c r="N21" s="352"/>
      <c r="O21" s="352"/>
      <c r="P21" s="352"/>
      <c r="U21" s="346"/>
      <c r="V21" s="368" t="e">
        <f>#REF!-1*#REF!/#REF!</f>
        <v>#REF!</v>
      </c>
    </row>
    <row r="22" spans="1:35" ht="15" hidden="1" customHeight="1" x14ac:dyDescent="0.2">
      <c r="A22" s="328">
        <v>1</v>
      </c>
      <c r="B22" s="329" t="s">
        <v>418</v>
      </c>
      <c r="C22" s="464">
        <f>Capex!B77/100</f>
        <v>146.56136437500001</v>
      </c>
      <c r="D22" s="465">
        <v>0.1</v>
      </c>
      <c r="E22" s="353"/>
      <c r="F22" s="330"/>
      <c r="L22" s="330"/>
      <c r="M22" s="330"/>
      <c r="N22" s="330"/>
      <c r="O22" s="330"/>
      <c r="P22" s="330"/>
    </row>
    <row r="23" spans="1:35" ht="15" hidden="1" customHeight="1" x14ac:dyDescent="0.2">
      <c r="A23" s="328">
        <v>2</v>
      </c>
      <c r="B23" s="329" t="s">
        <v>87</v>
      </c>
      <c r="C23" s="464">
        <f>Capex!B76/100</f>
        <v>480.57471378562508</v>
      </c>
      <c r="D23" s="465">
        <f>Norms!B52</f>
        <v>0.09</v>
      </c>
      <c r="E23" s="353"/>
      <c r="F23" s="330"/>
      <c r="J23" s="330"/>
      <c r="K23" s="330"/>
      <c r="L23" s="330"/>
      <c r="M23" s="330"/>
      <c r="N23" s="330"/>
      <c r="O23" s="330"/>
      <c r="P23" s="330"/>
    </row>
    <row r="24" spans="1:35" ht="15" hidden="1" customHeight="1" x14ac:dyDescent="0.2">
      <c r="A24" s="328">
        <v>3</v>
      </c>
      <c r="B24" s="329" t="s">
        <v>519</v>
      </c>
      <c r="C24" s="464">
        <f>C22+C23</f>
        <v>627.13607816062506</v>
      </c>
      <c r="D24" s="465">
        <f>(C22*D22+C23*D23)/SUM(C22:C23)</f>
        <v>9.2336994624912364E-2</v>
      </c>
      <c r="E24" s="353"/>
      <c r="F24" s="330"/>
      <c r="G24" s="330"/>
      <c r="H24" s="330"/>
      <c r="I24" s="330"/>
      <c r="J24" s="330"/>
      <c r="K24" s="330"/>
      <c r="L24" s="330"/>
      <c r="M24" s="330"/>
      <c r="N24" s="330"/>
      <c r="O24" s="330"/>
      <c r="P24" s="330"/>
    </row>
    <row r="25" spans="1:35" ht="15" hidden="1" customHeight="1" x14ac:dyDescent="0.2">
      <c r="A25" s="328">
        <v>4</v>
      </c>
      <c r="B25" s="500" t="s">
        <v>11</v>
      </c>
      <c r="C25" s="361">
        <f>NPV(D24,D12:T12)</f>
        <v>272.05321391597136</v>
      </c>
      <c r="D25" s="322"/>
      <c r="E25" s="322"/>
      <c r="F25" s="330" t="s">
        <v>249</v>
      </c>
      <c r="G25" s="330"/>
      <c r="H25" s="322"/>
      <c r="I25" s="330"/>
      <c r="J25" s="322"/>
      <c r="K25" s="333"/>
      <c r="L25" s="330"/>
      <c r="M25" s="330"/>
      <c r="N25" s="330"/>
      <c r="O25" s="330"/>
      <c r="P25" s="330"/>
    </row>
    <row r="26" spans="1:35" ht="15" hidden="1" customHeight="1" x14ac:dyDescent="0.2">
      <c r="B26" s="326"/>
      <c r="C26" s="360"/>
      <c r="D26" s="322"/>
      <c r="E26" s="322"/>
      <c r="F26" s="330"/>
      <c r="G26" s="330"/>
      <c r="H26" s="322"/>
      <c r="I26" s="330"/>
      <c r="J26" s="322"/>
      <c r="K26" s="333"/>
      <c r="L26" s="330"/>
      <c r="M26" s="330"/>
      <c r="N26" s="330"/>
      <c r="O26" s="330"/>
      <c r="P26" s="330"/>
    </row>
    <row r="27" spans="1:35" ht="15" customHeight="1" x14ac:dyDescent="0.25">
      <c r="B27" s="582" t="s">
        <v>419</v>
      </c>
      <c r="C27" s="360"/>
      <c r="D27" s="322"/>
      <c r="E27" s="322"/>
      <c r="F27" s="330"/>
      <c r="G27" s="330"/>
      <c r="H27" s="322"/>
      <c r="I27" s="330"/>
      <c r="J27" s="322"/>
      <c r="K27" s="333"/>
      <c r="L27" s="330"/>
      <c r="M27" s="330"/>
      <c r="N27" s="330"/>
      <c r="O27" s="330"/>
      <c r="P27" s="330"/>
    </row>
    <row r="28" spans="1:35" s="347" customFormat="1" ht="15" customHeight="1" x14ac:dyDescent="0.2">
      <c r="A28" s="462" t="s">
        <v>402</v>
      </c>
      <c r="B28" s="359" t="s">
        <v>6</v>
      </c>
      <c r="C28" s="462" t="s">
        <v>441</v>
      </c>
      <c r="D28" s="462">
        <v>-2</v>
      </c>
      <c r="E28" s="462">
        <v>-1</v>
      </c>
      <c r="F28" s="381">
        <v>1</v>
      </c>
      <c r="G28" s="381">
        <v>2</v>
      </c>
      <c r="H28" s="381">
        <v>3</v>
      </c>
      <c r="I28" s="381">
        <v>4</v>
      </c>
      <c r="J28" s="381">
        <v>5</v>
      </c>
      <c r="K28" s="381">
        <v>6</v>
      </c>
      <c r="L28" s="381">
        <v>7</v>
      </c>
      <c r="M28" s="381">
        <v>8</v>
      </c>
      <c r="N28" s="381">
        <v>9</v>
      </c>
      <c r="O28" s="381">
        <v>10</v>
      </c>
      <c r="P28" s="381">
        <v>11</v>
      </c>
      <c r="Q28" s="381">
        <v>12</v>
      </c>
      <c r="R28" s="381">
        <v>13</v>
      </c>
      <c r="S28" s="381">
        <v>14</v>
      </c>
      <c r="T28" s="381">
        <v>15</v>
      </c>
      <c r="U28" s="349"/>
      <c r="V28" s="349"/>
      <c r="W28" s="349"/>
      <c r="X28" s="349"/>
      <c r="Y28" s="349"/>
      <c r="Z28" s="349"/>
      <c r="AA28" s="349"/>
      <c r="AB28" s="349"/>
      <c r="AC28" s="349"/>
      <c r="AD28" s="349"/>
      <c r="AE28" s="349"/>
      <c r="AF28" s="349"/>
      <c r="AG28" s="349"/>
      <c r="AH28" s="349"/>
      <c r="AI28" s="350"/>
    </row>
    <row r="29" spans="1:35" s="349" customFormat="1" ht="15" customHeight="1" x14ac:dyDescent="0.2">
      <c r="A29" s="351">
        <v>1</v>
      </c>
      <c r="B29" s="329" t="s">
        <v>72</v>
      </c>
      <c r="C29" s="351" t="s">
        <v>541</v>
      </c>
      <c r="D29" s="351"/>
      <c r="E29" s="351"/>
      <c r="F29" s="355">
        <f t="shared" ref="F29:T29" si="18">F4</f>
        <v>22.95615986228437</v>
      </c>
      <c r="G29" s="355">
        <f t="shared" si="18"/>
        <v>58.22878854225408</v>
      </c>
      <c r="H29" s="355">
        <f t="shared" si="18"/>
        <v>65.674346431180709</v>
      </c>
      <c r="I29" s="355">
        <f t="shared" si="18"/>
        <v>67.774123135921826</v>
      </c>
      <c r="J29" s="355">
        <f t="shared" si="18"/>
        <v>70.368734890449005</v>
      </c>
      <c r="K29" s="355">
        <f t="shared" si="18"/>
        <v>73.384073264695957</v>
      </c>
      <c r="L29" s="355">
        <f t="shared" si="18"/>
        <v>76.757134410366135</v>
      </c>
      <c r="M29" s="355">
        <f t="shared" si="18"/>
        <v>80.434354541941374</v>
      </c>
      <c r="N29" s="355">
        <f t="shared" si="18"/>
        <v>84.370194978711652</v>
      </c>
      <c r="O29" s="355">
        <f t="shared" si="18"/>
        <v>83.119473795267666</v>
      </c>
      <c r="P29" s="355">
        <f t="shared" si="18"/>
        <v>82.055739920628923</v>
      </c>
      <c r="Q29" s="355">
        <f t="shared" si="18"/>
        <v>76.089401764854188</v>
      </c>
      <c r="R29" s="355">
        <f t="shared" si="18"/>
        <v>75.319876172207344</v>
      </c>
      <c r="S29" s="355">
        <f t="shared" si="18"/>
        <v>79.726932385658586</v>
      </c>
      <c r="T29" s="355">
        <f t="shared" si="18"/>
        <v>79.170158071712748</v>
      </c>
    </row>
    <row r="30" spans="1:35" s="349" customFormat="1" ht="15" customHeight="1" x14ac:dyDescent="0.2">
      <c r="A30" s="351">
        <v>2</v>
      </c>
      <c r="B30" s="329" t="s">
        <v>505</v>
      </c>
      <c r="C30" s="351" t="s">
        <v>541</v>
      </c>
      <c r="D30" s="351"/>
      <c r="E30" s="351"/>
      <c r="F30" s="355">
        <f t="shared" ref="F30:T30" si="19">F5</f>
        <v>36.848479459750003</v>
      </c>
      <c r="G30" s="355">
        <f t="shared" si="19"/>
        <v>36.848479459750003</v>
      </c>
      <c r="H30" s="355">
        <f t="shared" si="19"/>
        <v>36.848479459750003</v>
      </c>
      <c r="I30" s="355">
        <f t="shared" si="19"/>
        <v>36.848479459750003</v>
      </c>
      <c r="J30" s="355">
        <f t="shared" si="19"/>
        <v>36.848479459750003</v>
      </c>
      <c r="K30" s="355">
        <f t="shared" si="19"/>
        <v>36.848479459750003</v>
      </c>
      <c r="L30" s="355">
        <f t="shared" si="19"/>
        <v>36.848479459750003</v>
      </c>
      <c r="M30" s="355">
        <f t="shared" si="19"/>
        <v>36.848479459750003</v>
      </c>
      <c r="N30" s="355">
        <f t="shared" si="19"/>
        <v>36.848479459750003</v>
      </c>
      <c r="O30" s="355">
        <f t="shared" si="19"/>
        <v>36.848479459750003</v>
      </c>
      <c r="P30" s="355">
        <f t="shared" si="19"/>
        <v>36.848479459750003</v>
      </c>
      <c r="Q30" s="355">
        <f t="shared" si="19"/>
        <v>36.848479459750003</v>
      </c>
      <c r="R30" s="355">
        <f t="shared" si="19"/>
        <v>36.848479459750003</v>
      </c>
      <c r="S30" s="355">
        <f t="shared" si="19"/>
        <v>36.848479459750003</v>
      </c>
      <c r="T30" s="355">
        <f t="shared" si="19"/>
        <v>36.848479459750003</v>
      </c>
    </row>
    <row r="31" spans="1:35" s="349" customFormat="1" ht="15" customHeight="1" x14ac:dyDescent="0.2">
      <c r="A31" s="351">
        <v>3</v>
      </c>
      <c r="B31" s="329" t="s">
        <v>520</v>
      </c>
      <c r="C31" s="351" t="s">
        <v>541</v>
      </c>
      <c r="D31" s="351"/>
      <c r="E31" s="351"/>
      <c r="F31" s="355">
        <f>-'Cashflow '!E89</f>
        <v>-60.071839223203135</v>
      </c>
      <c r="G31" s="355">
        <f>-'Cashflow '!F89</f>
        <v>-60.071839223203135</v>
      </c>
      <c r="H31" s="355">
        <f>-'Cashflow '!G89</f>
        <v>-60.071839223203135</v>
      </c>
      <c r="I31" s="355">
        <f>-'Cashflow '!H89</f>
        <v>-60.071839223203135</v>
      </c>
      <c r="J31" s="355">
        <f>-'Cashflow '!I89</f>
        <v>-60.071839223203135</v>
      </c>
      <c r="K31" s="355">
        <f>-'Cashflow '!J89</f>
        <v>-60.071839223203135</v>
      </c>
      <c r="L31" s="355">
        <f>-'Cashflow '!K89</f>
        <v>-60.071839223203135</v>
      </c>
      <c r="M31" s="355">
        <f>-'Cashflow '!L89</f>
        <v>-60.071839223203135</v>
      </c>
      <c r="N31" s="355">
        <f>-'Cashflow '!M89</f>
        <v>0</v>
      </c>
      <c r="O31" s="355">
        <f>-'Cashflow '!N89</f>
        <v>0</v>
      </c>
      <c r="P31" s="355">
        <f>-'Cashflow '!O89</f>
        <v>0</v>
      </c>
      <c r="Q31" s="355">
        <f>-'Cashflow '!P89</f>
        <v>0</v>
      </c>
      <c r="R31" s="355">
        <f>-'Cashflow '!Q89</f>
        <v>0</v>
      </c>
      <c r="S31" s="355">
        <f>-'Cashflow '!R89</f>
        <v>0</v>
      </c>
      <c r="T31" s="355">
        <f>-'Cashflow '!S89</f>
        <v>0</v>
      </c>
    </row>
    <row r="32" spans="1:35" s="349" customFormat="1" ht="15" customHeight="1" x14ac:dyDescent="0.2">
      <c r="A32" s="351">
        <v>4</v>
      </c>
      <c r="B32" s="329" t="s">
        <v>504</v>
      </c>
      <c r="C32" s="351" t="s">
        <v>541</v>
      </c>
      <c r="D32" s="351"/>
      <c r="E32" s="351"/>
      <c r="F32" s="357">
        <f t="shared" ref="F32:T32" si="20">F8</f>
        <v>0</v>
      </c>
      <c r="G32" s="357">
        <f t="shared" si="20"/>
        <v>0</v>
      </c>
      <c r="H32" s="357">
        <f t="shared" si="20"/>
        <v>0</v>
      </c>
      <c r="I32" s="357">
        <f t="shared" si="20"/>
        <v>0</v>
      </c>
      <c r="J32" s="357">
        <f t="shared" si="20"/>
        <v>0</v>
      </c>
      <c r="K32" s="357">
        <f t="shared" si="20"/>
        <v>0</v>
      </c>
      <c r="L32" s="357">
        <f t="shared" si="20"/>
        <v>0</v>
      </c>
      <c r="M32" s="357">
        <f t="shared" si="20"/>
        <v>0</v>
      </c>
      <c r="N32" s="357">
        <f t="shared" si="20"/>
        <v>0</v>
      </c>
      <c r="O32" s="357">
        <f t="shared" si="20"/>
        <v>0</v>
      </c>
      <c r="P32" s="357">
        <f t="shared" si="20"/>
        <v>0</v>
      </c>
      <c r="Q32" s="357">
        <f t="shared" si="20"/>
        <v>0</v>
      </c>
      <c r="R32" s="357">
        <f t="shared" si="20"/>
        <v>0</v>
      </c>
      <c r="S32" s="357">
        <f t="shared" si="20"/>
        <v>0</v>
      </c>
      <c r="T32" s="357">
        <f t="shared" si="20"/>
        <v>4.3802582934699572</v>
      </c>
    </row>
    <row r="33" spans="1:35" s="349" customFormat="1" ht="15" customHeight="1" x14ac:dyDescent="0.2">
      <c r="A33" s="351">
        <v>5</v>
      </c>
      <c r="B33" s="329" t="s">
        <v>518</v>
      </c>
      <c r="C33" s="351" t="s">
        <v>541</v>
      </c>
      <c r="D33" s="351"/>
      <c r="E33" s="351"/>
      <c r="F33" s="357">
        <f>F9</f>
        <v>0</v>
      </c>
      <c r="G33" s="357">
        <f t="shared" ref="G33:T33" si="21">G9</f>
        <v>0</v>
      </c>
      <c r="H33" s="357">
        <f t="shared" si="21"/>
        <v>0</v>
      </c>
      <c r="I33" s="357">
        <f t="shared" si="21"/>
        <v>0</v>
      </c>
      <c r="J33" s="357">
        <f t="shared" si="21"/>
        <v>0</v>
      </c>
      <c r="K33" s="357">
        <f t="shared" si="21"/>
        <v>0</v>
      </c>
      <c r="L33" s="357">
        <f t="shared" si="21"/>
        <v>0</v>
      </c>
      <c r="M33" s="357">
        <f t="shared" si="21"/>
        <v>0</v>
      </c>
      <c r="N33" s="357">
        <f t="shared" si="21"/>
        <v>0</v>
      </c>
      <c r="O33" s="357">
        <f t="shared" si="21"/>
        <v>0</v>
      </c>
      <c r="P33" s="357">
        <f t="shared" si="21"/>
        <v>0</v>
      </c>
      <c r="Q33" s="357">
        <f t="shared" si="21"/>
        <v>0</v>
      </c>
      <c r="R33" s="357">
        <f t="shared" si="21"/>
        <v>0</v>
      </c>
      <c r="S33" s="357">
        <f t="shared" si="21"/>
        <v>0</v>
      </c>
      <c r="T33" s="357">
        <f t="shared" si="21"/>
        <v>-13.140774880409872</v>
      </c>
    </row>
    <row r="34" spans="1:35" s="349" customFormat="1" ht="15" customHeight="1" x14ac:dyDescent="0.2">
      <c r="A34" s="351">
        <v>6</v>
      </c>
      <c r="B34" s="332" t="s">
        <v>547</v>
      </c>
      <c r="C34" s="351" t="s">
        <v>541</v>
      </c>
      <c r="D34" s="351"/>
      <c r="E34" s="351"/>
      <c r="F34" s="354">
        <f t="shared" ref="F34:T34" si="22">F10</f>
        <v>0</v>
      </c>
      <c r="G34" s="354">
        <f t="shared" si="22"/>
        <v>0</v>
      </c>
      <c r="H34" s="354">
        <f t="shared" si="22"/>
        <v>0</v>
      </c>
      <c r="I34" s="354">
        <f t="shared" si="22"/>
        <v>0</v>
      </c>
      <c r="J34" s="354">
        <f t="shared" si="22"/>
        <v>0</v>
      </c>
      <c r="K34" s="354">
        <f t="shared" si="22"/>
        <v>0</v>
      </c>
      <c r="L34" s="354">
        <f t="shared" si="22"/>
        <v>0</v>
      </c>
      <c r="M34" s="354">
        <f t="shared" si="22"/>
        <v>0</v>
      </c>
      <c r="N34" s="354">
        <f t="shared" si="22"/>
        <v>0</v>
      </c>
      <c r="O34" s="354">
        <f t="shared" si="22"/>
        <v>0</v>
      </c>
      <c r="P34" s="354">
        <f t="shared" si="22"/>
        <v>0</v>
      </c>
      <c r="Q34" s="354">
        <f t="shared" si="22"/>
        <v>0</v>
      </c>
      <c r="R34" s="354">
        <f t="shared" si="22"/>
        <v>0</v>
      </c>
      <c r="S34" s="354">
        <f t="shared" si="22"/>
        <v>0</v>
      </c>
      <c r="T34" s="357">
        <f t="shared" si="22"/>
        <v>25.609625000000001</v>
      </c>
    </row>
    <row r="35" spans="1:35" s="349" customFormat="1" ht="15" customHeight="1" x14ac:dyDescent="0.2">
      <c r="A35" s="351">
        <v>7</v>
      </c>
      <c r="B35" s="460" t="s">
        <v>544</v>
      </c>
      <c r="C35" s="351" t="s">
        <v>541</v>
      </c>
      <c r="D35" s="463"/>
      <c r="E35" s="463"/>
      <c r="F35" s="388">
        <f>SUM(F29:F34)</f>
        <v>-0.26719990116875891</v>
      </c>
      <c r="G35" s="388">
        <f t="shared" ref="G35:J35" si="23">SUM(G29:G34)</f>
        <v>35.00542877880094</v>
      </c>
      <c r="H35" s="388">
        <f t="shared" si="23"/>
        <v>42.45098666772757</v>
      </c>
      <c r="I35" s="388">
        <f t="shared" si="23"/>
        <v>44.550763372468687</v>
      </c>
      <c r="J35" s="388">
        <f t="shared" si="23"/>
        <v>47.14537512699588</v>
      </c>
      <c r="K35" s="388">
        <f t="shared" ref="K35" si="24">SUM(K29:K34)</f>
        <v>50.160713501242817</v>
      </c>
      <c r="L35" s="388">
        <f t="shared" ref="L35" si="25">SUM(L29:L34)</f>
        <v>53.53377464691301</v>
      </c>
      <c r="M35" s="388">
        <f t="shared" ref="M35:N35" si="26">SUM(M29:M34)</f>
        <v>57.210994778488249</v>
      </c>
      <c r="N35" s="388">
        <f t="shared" si="26"/>
        <v>121.21867443846165</v>
      </c>
      <c r="O35" s="388">
        <f t="shared" ref="O35" si="27">SUM(O29:O34)</f>
        <v>119.96795325501768</v>
      </c>
      <c r="P35" s="388">
        <f t="shared" ref="P35" si="28">SUM(P29:P34)</f>
        <v>118.90421938037892</v>
      </c>
      <c r="Q35" s="388">
        <f t="shared" ref="Q35:R35" si="29">SUM(Q29:Q34)</f>
        <v>112.93788122460418</v>
      </c>
      <c r="R35" s="388">
        <f t="shared" si="29"/>
        <v>112.16835563195735</v>
      </c>
      <c r="S35" s="388">
        <f t="shared" ref="S35" si="30">SUM(S29:S34)</f>
        <v>116.57541184540858</v>
      </c>
      <c r="T35" s="388">
        <f t="shared" ref="T35" si="31">SUM(T29:T34)</f>
        <v>132.86774594452282</v>
      </c>
    </row>
    <row r="36" spans="1:35" s="349" customFormat="1" ht="15" customHeight="1" x14ac:dyDescent="0.2">
      <c r="A36" s="351">
        <v>8</v>
      </c>
      <c r="B36" s="329" t="s">
        <v>510</v>
      </c>
      <c r="C36" s="351" t="s">
        <v>541</v>
      </c>
      <c r="D36" s="461">
        <f>-C22</f>
        <v>-146.56136437500001</v>
      </c>
      <c r="E36" s="461">
        <f t="shared" ref="E36:T36" si="32">E35</f>
        <v>0</v>
      </c>
      <c r="F36" s="461">
        <f t="shared" si="32"/>
        <v>-0.26719990116875891</v>
      </c>
      <c r="G36" s="461">
        <f t="shared" si="32"/>
        <v>35.00542877880094</v>
      </c>
      <c r="H36" s="461">
        <f t="shared" si="32"/>
        <v>42.45098666772757</v>
      </c>
      <c r="I36" s="461">
        <f t="shared" si="32"/>
        <v>44.550763372468687</v>
      </c>
      <c r="J36" s="461">
        <f t="shared" si="32"/>
        <v>47.14537512699588</v>
      </c>
      <c r="K36" s="461">
        <f t="shared" si="32"/>
        <v>50.160713501242817</v>
      </c>
      <c r="L36" s="461">
        <f t="shared" si="32"/>
        <v>53.53377464691301</v>
      </c>
      <c r="M36" s="461">
        <f t="shared" si="32"/>
        <v>57.210994778488249</v>
      </c>
      <c r="N36" s="461">
        <f t="shared" si="32"/>
        <v>121.21867443846165</v>
      </c>
      <c r="O36" s="461">
        <f t="shared" si="32"/>
        <v>119.96795325501768</v>
      </c>
      <c r="P36" s="461">
        <f t="shared" si="32"/>
        <v>118.90421938037892</v>
      </c>
      <c r="Q36" s="461">
        <f t="shared" si="32"/>
        <v>112.93788122460418</v>
      </c>
      <c r="R36" s="461">
        <f t="shared" si="32"/>
        <v>112.16835563195735</v>
      </c>
      <c r="S36" s="461">
        <f t="shared" si="32"/>
        <v>116.57541184540858</v>
      </c>
      <c r="T36" s="461">
        <f t="shared" si="32"/>
        <v>132.86774594452282</v>
      </c>
    </row>
    <row r="37" spans="1:35" s="349" customFormat="1" ht="15" customHeight="1" x14ac:dyDescent="0.2">
      <c r="A37" s="351">
        <v>9</v>
      </c>
      <c r="B37" s="329" t="s">
        <v>545</v>
      </c>
      <c r="C37" s="346" t="s">
        <v>541</v>
      </c>
      <c r="D37" s="670">
        <f>IRR(D36:T36)</f>
        <v>0.24249057918481154</v>
      </c>
      <c r="E37" s="461"/>
      <c r="F37" s="461"/>
      <c r="G37" s="461"/>
      <c r="H37" s="461"/>
      <c r="I37" s="461"/>
      <c r="J37" s="461"/>
      <c r="K37" s="461"/>
      <c r="L37" s="461"/>
      <c r="M37" s="461"/>
      <c r="N37" s="461"/>
      <c r="O37" s="461"/>
      <c r="P37" s="461"/>
      <c r="Q37" s="461"/>
      <c r="R37" s="461"/>
      <c r="S37" s="461"/>
      <c r="T37" s="461"/>
    </row>
    <row r="38" spans="1:35" s="349" customFormat="1" ht="15" customHeight="1" x14ac:dyDescent="0.2">
      <c r="A38" s="206"/>
      <c r="B38" s="324"/>
      <c r="C38" s="206"/>
      <c r="D38" s="422"/>
      <c r="E38" s="510"/>
      <c r="F38" s="510"/>
      <c r="G38" s="510"/>
      <c r="H38" s="510"/>
      <c r="I38" s="510"/>
      <c r="J38" s="510"/>
      <c r="K38" s="510"/>
      <c r="L38" s="510"/>
      <c r="M38" s="510"/>
      <c r="N38" s="510"/>
      <c r="O38" s="510"/>
      <c r="P38" s="510"/>
      <c r="Q38" s="510"/>
      <c r="R38" s="510"/>
      <c r="S38" s="510"/>
      <c r="T38" s="510"/>
    </row>
    <row r="39" spans="1:35" s="349" customFormat="1" ht="15" customHeight="1" x14ac:dyDescent="0.2">
      <c r="A39" s="462" t="s">
        <v>402</v>
      </c>
      <c r="B39" s="338" t="s">
        <v>574</v>
      </c>
      <c r="C39" s="322"/>
      <c r="D39" s="507"/>
      <c r="E39" s="506"/>
      <c r="F39" s="502"/>
      <c r="G39" s="502"/>
      <c r="H39" s="502"/>
      <c r="I39" s="502"/>
      <c r="J39" s="502"/>
      <c r="K39" s="502"/>
      <c r="L39" s="502"/>
      <c r="M39" s="502"/>
      <c r="N39" s="502"/>
      <c r="O39" s="502"/>
      <c r="P39" s="502"/>
      <c r="Q39" s="502"/>
      <c r="R39" s="502"/>
      <c r="S39" s="502"/>
      <c r="T39" s="502"/>
    </row>
    <row r="40" spans="1:35" s="349" customFormat="1" ht="15" customHeight="1" x14ac:dyDescent="0.2">
      <c r="A40" s="462">
        <v>1</v>
      </c>
      <c r="B40" s="329" t="s">
        <v>575</v>
      </c>
      <c r="C40" s="328" t="s">
        <v>552</v>
      </c>
      <c r="D40" s="508"/>
      <c r="E40" s="471">
        <f>-D36</f>
        <v>146.56136437500001</v>
      </c>
      <c r="F40" s="509">
        <f>F36</f>
        <v>-0.26719990116875891</v>
      </c>
      <c r="G40" s="509">
        <f>G36+F36</f>
        <v>34.738228877632181</v>
      </c>
      <c r="H40" s="509">
        <f>H36+G40</f>
        <v>77.189215545359758</v>
      </c>
      <c r="I40" s="509">
        <f>I36+H40</f>
        <v>121.73997891782844</v>
      </c>
      <c r="J40" s="509">
        <f t="shared" ref="J40:T40" si="33">J36+I40</f>
        <v>168.88535404482431</v>
      </c>
      <c r="K40" s="509">
        <f t="shared" si="33"/>
        <v>219.04606754606712</v>
      </c>
      <c r="L40" s="509">
        <f t="shared" si="33"/>
        <v>272.57984219298015</v>
      </c>
      <c r="M40" s="509">
        <f t="shared" si="33"/>
        <v>329.79083697146842</v>
      </c>
      <c r="N40" s="509">
        <f t="shared" si="33"/>
        <v>451.00951140993004</v>
      </c>
      <c r="O40" s="509">
        <f t="shared" si="33"/>
        <v>570.97746466494777</v>
      </c>
      <c r="P40" s="509">
        <f t="shared" si="33"/>
        <v>689.88168404532667</v>
      </c>
      <c r="Q40" s="509">
        <f t="shared" si="33"/>
        <v>802.81956526993088</v>
      </c>
      <c r="R40" s="509">
        <f t="shared" si="33"/>
        <v>914.98792090188817</v>
      </c>
      <c r="S40" s="509">
        <f t="shared" si="33"/>
        <v>1031.5633327472967</v>
      </c>
      <c r="T40" s="509">
        <f t="shared" si="33"/>
        <v>1164.4310786918195</v>
      </c>
    </row>
    <row r="41" spans="1:35" s="349" customFormat="1" ht="15" customHeight="1" x14ac:dyDescent="0.2">
      <c r="A41" s="346">
        <v>2</v>
      </c>
      <c r="B41" s="329" t="s">
        <v>508</v>
      </c>
      <c r="C41" s="328"/>
      <c r="D41" s="508"/>
      <c r="E41" s="471"/>
      <c r="F41" s="331" t="b">
        <f>IF(F40&lt;$E$40,TRUE,FALSE)</f>
        <v>1</v>
      </c>
      <c r="G41" s="331" t="b">
        <f t="shared" ref="G41:T41" si="34">IF(G40&lt;$E$40,TRUE,FALSE)</f>
        <v>1</v>
      </c>
      <c r="H41" s="331" t="b">
        <f t="shared" si="34"/>
        <v>1</v>
      </c>
      <c r="I41" s="331" t="b">
        <f t="shared" si="34"/>
        <v>1</v>
      </c>
      <c r="J41" s="331" t="b">
        <f t="shared" si="34"/>
        <v>0</v>
      </c>
      <c r="K41" s="331" t="b">
        <f t="shared" si="34"/>
        <v>0</v>
      </c>
      <c r="L41" s="331" t="b">
        <f t="shared" si="34"/>
        <v>0</v>
      </c>
      <c r="M41" s="331" t="b">
        <f t="shared" si="34"/>
        <v>0</v>
      </c>
      <c r="N41" s="331" t="b">
        <f t="shared" si="34"/>
        <v>0</v>
      </c>
      <c r="O41" s="331" t="b">
        <f t="shared" si="34"/>
        <v>0</v>
      </c>
      <c r="P41" s="331" t="b">
        <f t="shared" si="34"/>
        <v>0</v>
      </c>
      <c r="Q41" s="331" t="b">
        <f t="shared" si="34"/>
        <v>0</v>
      </c>
      <c r="R41" s="331" t="b">
        <f t="shared" si="34"/>
        <v>0</v>
      </c>
      <c r="S41" s="331" t="b">
        <f t="shared" si="34"/>
        <v>0</v>
      </c>
      <c r="T41" s="331" t="b">
        <f t="shared" si="34"/>
        <v>0</v>
      </c>
    </row>
    <row r="42" spans="1:35" s="349" customFormat="1" ht="15" customHeight="1" x14ac:dyDescent="0.2">
      <c r="A42" s="346">
        <v>3</v>
      </c>
      <c r="B42" s="329"/>
      <c r="C42" s="328"/>
      <c r="D42" s="508"/>
      <c r="E42" s="471"/>
      <c r="F42" s="331">
        <f>IF(F41=TRUE,1,$E$40/F40)</f>
        <v>1</v>
      </c>
      <c r="G42" s="331">
        <f>IF(G41=TRUE,1,($E$40-F40)/G36)</f>
        <v>1</v>
      </c>
      <c r="H42" s="331">
        <f t="shared" ref="H42:T42" si="35">IF(H41=TRUE,1,($E$40-G40)/H36)</f>
        <v>1</v>
      </c>
      <c r="I42" s="331">
        <f t="shared" si="35"/>
        <v>1</v>
      </c>
      <c r="J42" s="331">
        <f t="shared" si="35"/>
        <v>0.5264861164071768</v>
      </c>
      <c r="K42" s="331">
        <f t="shared" si="35"/>
        <v>-0.44504928482070305</v>
      </c>
      <c r="L42" s="331">
        <f t="shared" si="35"/>
        <v>-1.3539994825537096</v>
      </c>
      <c r="M42" s="331">
        <f t="shared" si="35"/>
        <v>-2.2026968470991175</v>
      </c>
      <c r="N42" s="331">
        <f t="shared" si="35"/>
        <v>-1.5115614276865188</v>
      </c>
      <c r="O42" s="331">
        <f t="shared" si="35"/>
        <v>-2.5377456126784126</v>
      </c>
      <c r="P42" s="331">
        <f t="shared" si="35"/>
        <v>-3.5693947826378238</v>
      </c>
      <c r="Q42" s="331">
        <f t="shared" si="35"/>
        <v>-4.8107890264897328</v>
      </c>
      <c r="R42" s="331">
        <f t="shared" si="35"/>
        <v>-5.8506536642849687</v>
      </c>
      <c r="S42" s="331">
        <f t="shared" si="35"/>
        <v>-6.5916692410737836</v>
      </c>
      <c r="T42" s="331">
        <f t="shared" si="35"/>
        <v>-6.6607735540408548</v>
      </c>
    </row>
    <row r="43" spans="1:35" s="349" customFormat="1" ht="15" customHeight="1" x14ac:dyDescent="0.2">
      <c r="A43" s="346">
        <v>4</v>
      </c>
      <c r="B43" s="329" t="s">
        <v>576</v>
      </c>
      <c r="C43" s="328" t="s">
        <v>296</v>
      </c>
      <c r="D43" s="485">
        <f>SUM(F42:I42)+J42</f>
        <v>4.5264861164071766</v>
      </c>
      <c r="E43" s="506"/>
      <c r="F43" s="330"/>
      <c r="G43" s="330"/>
      <c r="H43" s="330"/>
      <c r="I43" s="330"/>
      <c r="J43" s="330"/>
      <c r="K43" s="330"/>
      <c r="L43" s="330"/>
      <c r="M43" s="330"/>
      <c r="N43" s="330"/>
      <c r="O43" s="330"/>
      <c r="P43" s="330"/>
      <c r="Q43" s="330"/>
      <c r="R43" s="330"/>
      <c r="S43" s="330"/>
      <c r="T43" s="330"/>
    </row>
    <row r="44" spans="1:35" s="349" customFormat="1" ht="15" customHeight="1" x14ac:dyDescent="0.2">
      <c r="A44" s="206"/>
      <c r="B44" s="324"/>
      <c r="C44" s="206"/>
      <c r="D44" s="422"/>
      <c r="E44" s="510"/>
      <c r="F44" s="510"/>
      <c r="G44" s="510"/>
      <c r="H44" s="510"/>
      <c r="I44" s="510"/>
      <c r="J44" s="510"/>
      <c r="K44" s="510"/>
      <c r="L44" s="510"/>
      <c r="M44" s="510"/>
      <c r="N44" s="510"/>
      <c r="O44" s="510"/>
      <c r="P44" s="510"/>
      <c r="Q44" s="510"/>
      <c r="R44" s="510"/>
      <c r="S44" s="510"/>
      <c r="T44" s="510"/>
    </row>
    <row r="45" spans="1:35" ht="15" customHeight="1" x14ac:dyDescent="0.2">
      <c r="D45" s="326"/>
      <c r="E45" s="326"/>
      <c r="J45" s="325"/>
    </row>
    <row r="46" spans="1:35" s="349" customFormat="1" ht="15" customHeight="1" x14ac:dyDescent="0.2">
      <c r="A46" s="206"/>
      <c r="D46" s="363"/>
      <c r="E46" s="363"/>
      <c r="J46" s="362"/>
      <c r="U46" s="346"/>
      <c r="V46" s="369"/>
    </row>
    <row r="47" spans="1:35" s="367" customFormat="1" ht="15" customHeight="1" x14ac:dyDescent="0.25">
      <c r="A47" s="462" t="s">
        <v>402</v>
      </c>
      <c r="B47" s="668" t="s">
        <v>120</v>
      </c>
      <c r="C47" s="462" t="s">
        <v>441</v>
      </c>
      <c r="D47" s="462">
        <f t="shared" ref="D47:T47" si="36">D3</f>
        <v>-2</v>
      </c>
      <c r="E47" s="462">
        <f t="shared" si="36"/>
        <v>-1</v>
      </c>
      <c r="F47" s="462">
        <f t="shared" si="36"/>
        <v>1</v>
      </c>
      <c r="G47" s="462">
        <f t="shared" si="36"/>
        <v>2</v>
      </c>
      <c r="H47" s="462">
        <f t="shared" si="36"/>
        <v>3</v>
      </c>
      <c r="I47" s="462">
        <f t="shared" si="36"/>
        <v>4</v>
      </c>
      <c r="J47" s="462">
        <f t="shared" si="36"/>
        <v>5</v>
      </c>
      <c r="K47" s="462">
        <f t="shared" si="36"/>
        <v>6</v>
      </c>
      <c r="L47" s="462">
        <f t="shared" si="36"/>
        <v>7</v>
      </c>
      <c r="M47" s="462">
        <f t="shared" si="36"/>
        <v>8</v>
      </c>
      <c r="N47" s="462">
        <f t="shared" si="36"/>
        <v>9</v>
      </c>
      <c r="O47" s="462">
        <f t="shared" si="36"/>
        <v>10</v>
      </c>
      <c r="P47" s="462">
        <f t="shared" si="36"/>
        <v>11</v>
      </c>
      <c r="Q47" s="462">
        <f t="shared" si="36"/>
        <v>12</v>
      </c>
      <c r="R47" s="462">
        <f t="shared" si="36"/>
        <v>13</v>
      </c>
      <c r="S47" s="462">
        <f t="shared" si="36"/>
        <v>14</v>
      </c>
      <c r="T47" s="462">
        <f t="shared" si="36"/>
        <v>15</v>
      </c>
      <c r="U47" s="365"/>
      <c r="V47" s="370"/>
      <c r="W47" s="371"/>
      <c r="X47" s="371"/>
      <c r="Y47" s="371"/>
      <c r="Z47" s="371"/>
      <c r="AA47" s="371"/>
      <c r="AB47" s="371"/>
      <c r="AC47" s="371"/>
      <c r="AD47" s="371"/>
      <c r="AE47" s="371"/>
      <c r="AF47" s="371"/>
      <c r="AG47" s="371"/>
      <c r="AH47" s="371"/>
      <c r="AI47" s="366"/>
    </row>
    <row r="48" spans="1:35" s="349" customFormat="1" ht="15" customHeight="1" x14ac:dyDescent="0.2">
      <c r="A48" s="346">
        <v>1</v>
      </c>
      <c r="B48" s="460" t="s">
        <v>511</v>
      </c>
      <c r="C48" s="351" t="s">
        <v>541</v>
      </c>
      <c r="D48" s="466" t="s">
        <v>503</v>
      </c>
      <c r="E48" s="466"/>
      <c r="F48" s="467">
        <f t="shared" ref="F48:T48" si="37">F6</f>
        <v>43.251724240706253</v>
      </c>
      <c r="G48" s="467">
        <f t="shared" si="37"/>
        <v>37.845258710617976</v>
      </c>
      <c r="H48" s="467">
        <f t="shared" si="37"/>
        <v>32.438793180529693</v>
      </c>
      <c r="I48" s="467">
        <f t="shared" si="37"/>
        <v>27.032327650441406</v>
      </c>
      <c r="J48" s="467">
        <f t="shared" si="37"/>
        <v>21.625862120353126</v>
      </c>
      <c r="K48" s="467">
        <f t="shared" si="37"/>
        <v>16.219396590264843</v>
      </c>
      <c r="L48" s="467">
        <f t="shared" si="37"/>
        <v>10.81293106017656</v>
      </c>
      <c r="M48" s="467">
        <f t="shared" si="37"/>
        <v>5.406465530088278</v>
      </c>
      <c r="N48" s="467">
        <f t="shared" si="37"/>
        <v>0</v>
      </c>
      <c r="O48" s="467">
        <f t="shared" si="37"/>
        <v>0</v>
      </c>
      <c r="P48" s="467">
        <f t="shared" si="37"/>
        <v>0</v>
      </c>
      <c r="Q48" s="467">
        <f t="shared" si="37"/>
        <v>0</v>
      </c>
      <c r="R48" s="467">
        <f t="shared" si="37"/>
        <v>0</v>
      </c>
      <c r="S48" s="467">
        <f t="shared" si="37"/>
        <v>0</v>
      </c>
      <c r="T48" s="467">
        <f t="shared" si="37"/>
        <v>0</v>
      </c>
    </row>
    <row r="49" spans="1:49" ht="15" customHeight="1" x14ac:dyDescent="0.2">
      <c r="A49" s="328">
        <v>2</v>
      </c>
      <c r="B49" s="332" t="s">
        <v>512</v>
      </c>
      <c r="C49" s="351" t="s">
        <v>541</v>
      </c>
      <c r="D49" s="331" t="s">
        <v>503</v>
      </c>
      <c r="E49" s="331"/>
      <c r="F49" s="468">
        <f t="shared" ref="F49:T49" si="38">-F31</f>
        <v>60.071839223203135</v>
      </c>
      <c r="G49" s="468">
        <f t="shared" si="38"/>
        <v>60.071839223203135</v>
      </c>
      <c r="H49" s="468">
        <f t="shared" si="38"/>
        <v>60.071839223203135</v>
      </c>
      <c r="I49" s="468">
        <f t="shared" si="38"/>
        <v>60.071839223203135</v>
      </c>
      <c r="J49" s="468">
        <f t="shared" si="38"/>
        <v>60.071839223203135</v>
      </c>
      <c r="K49" s="468">
        <f t="shared" si="38"/>
        <v>60.071839223203135</v>
      </c>
      <c r="L49" s="468">
        <f t="shared" si="38"/>
        <v>60.071839223203135</v>
      </c>
      <c r="M49" s="468">
        <f t="shared" si="38"/>
        <v>60.071839223203135</v>
      </c>
      <c r="N49" s="468">
        <f t="shared" si="38"/>
        <v>0</v>
      </c>
      <c r="O49" s="468">
        <f t="shared" si="38"/>
        <v>0</v>
      </c>
      <c r="P49" s="468">
        <f t="shared" si="38"/>
        <v>0</v>
      </c>
      <c r="Q49" s="468">
        <f t="shared" si="38"/>
        <v>0</v>
      </c>
      <c r="R49" s="468">
        <f t="shared" si="38"/>
        <v>0</v>
      </c>
      <c r="S49" s="468">
        <f t="shared" si="38"/>
        <v>0</v>
      </c>
      <c r="T49" s="468">
        <f t="shared" si="38"/>
        <v>0</v>
      </c>
      <c r="U49" s="335"/>
    </row>
    <row r="50" spans="1:49" ht="15" customHeight="1" x14ac:dyDescent="0.2">
      <c r="A50" s="328">
        <v>3</v>
      </c>
      <c r="B50" s="329" t="s">
        <v>513</v>
      </c>
      <c r="C50" s="351" t="s">
        <v>541</v>
      </c>
      <c r="D50" s="331"/>
      <c r="E50" s="331"/>
      <c r="F50" s="468">
        <f>F48+F49</f>
        <v>103.32356346390938</v>
      </c>
      <c r="G50" s="468">
        <f t="shared" ref="G50:T50" si="39">G48+G49</f>
        <v>97.917097933821111</v>
      </c>
      <c r="H50" s="468">
        <f t="shared" si="39"/>
        <v>92.510632403732828</v>
      </c>
      <c r="I50" s="468">
        <f t="shared" si="39"/>
        <v>87.104166873644544</v>
      </c>
      <c r="J50" s="468">
        <f t="shared" si="39"/>
        <v>81.697701343556261</v>
      </c>
      <c r="K50" s="468">
        <f t="shared" si="39"/>
        <v>76.291235813467978</v>
      </c>
      <c r="L50" s="468">
        <f t="shared" si="39"/>
        <v>70.884770283379694</v>
      </c>
      <c r="M50" s="468">
        <f t="shared" si="39"/>
        <v>65.478304753291411</v>
      </c>
      <c r="N50" s="468">
        <f t="shared" si="39"/>
        <v>0</v>
      </c>
      <c r="O50" s="468">
        <f t="shared" si="39"/>
        <v>0</v>
      </c>
      <c r="P50" s="468">
        <f t="shared" si="39"/>
        <v>0</v>
      </c>
      <c r="Q50" s="469">
        <f t="shared" si="39"/>
        <v>0</v>
      </c>
      <c r="R50" s="468">
        <f t="shared" si="39"/>
        <v>0</v>
      </c>
      <c r="S50" s="468">
        <f t="shared" si="39"/>
        <v>0</v>
      </c>
      <c r="T50" s="468">
        <f t="shared" si="39"/>
        <v>0</v>
      </c>
    </row>
    <row r="51" spans="1:49" ht="15" customHeight="1" x14ac:dyDescent="0.2">
      <c r="A51" s="328">
        <v>4</v>
      </c>
      <c r="B51" s="329" t="s">
        <v>514</v>
      </c>
      <c r="C51" s="351" t="s">
        <v>541</v>
      </c>
      <c r="D51" s="331"/>
      <c r="E51" s="331"/>
      <c r="F51" s="468">
        <f t="shared" ref="F51:T51" si="40">F4+F5+F6</f>
        <v>103.05636356274063</v>
      </c>
      <c r="G51" s="468">
        <f t="shared" si="40"/>
        <v>132.92252671262204</v>
      </c>
      <c r="H51" s="468">
        <f t="shared" si="40"/>
        <v>134.9616190714604</v>
      </c>
      <c r="I51" s="468">
        <f t="shared" si="40"/>
        <v>131.65493024611322</v>
      </c>
      <c r="J51" s="468">
        <f t="shared" si="40"/>
        <v>128.84307647055215</v>
      </c>
      <c r="K51" s="468">
        <f t="shared" si="40"/>
        <v>126.45194931471079</v>
      </c>
      <c r="L51" s="468">
        <f t="shared" si="40"/>
        <v>124.41854493029271</v>
      </c>
      <c r="M51" s="468">
        <f t="shared" si="40"/>
        <v>122.68929953177967</v>
      </c>
      <c r="N51" s="468">
        <f t="shared" si="40"/>
        <v>121.21867443846165</v>
      </c>
      <c r="O51" s="468">
        <f t="shared" si="40"/>
        <v>119.96795325501768</v>
      </c>
      <c r="P51" s="468">
        <f t="shared" si="40"/>
        <v>118.90421938037892</v>
      </c>
      <c r="Q51" s="468">
        <f t="shared" si="40"/>
        <v>112.93788122460418</v>
      </c>
      <c r="R51" s="468">
        <f t="shared" si="40"/>
        <v>112.16835563195735</v>
      </c>
      <c r="S51" s="468">
        <f t="shared" si="40"/>
        <v>116.57541184540858</v>
      </c>
      <c r="T51" s="468">
        <f t="shared" si="40"/>
        <v>116.01863753146276</v>
      </c>
    </row>
    <row r="52" spans="1:49" s="329" customFormat="1" ht="15" customHeight="1" x14ac:dyDescent="0.2">
      <c r="A52" s="328">
        <v>5</v>
      </c>
      <c r="B52" s="332" t="s">
        <v>120</v>
      </c>
      <c r="C52" s="328" t="s">
        <v>515</v>
      </c>
      <c r="D52" s="331"/>
      <c r="E52" s="331"/>
      <c r="F52" s="331">
        <f>IF(F50&gt;10,F51/F50,0)</f>
        <v>0.99741395000123001</v>
      </c>
      <c r="G52" s="331">
        <f t="shared" ref="G52:T52" si="41">IF(G50&gt;10,G51/G50,0)</f>
        <v>1.3575006767710776</v>
      </c>
      <c r="H52" s="331">
        <f t="shared" si="41"/>
        <v>1.4588768400421688</v>
      </c>
      <c r="I52" s="331">
        <f t="shared" si="41"/>
        <v>1.5114653520203587</v>
      </c>
      <c r="J52" s="331">
        <f t="shared" si="41"/>
        <v>1.5770710111994404</v>
      </c>
      <c r="K52" s="331">
        <f t="shared" si="41"/>
        <v>1.6574898540624734</v>
      </c>
      <c r="L52" s="331">
        <f t="shared" si="41"/>
        <v>1.7552225172332263</v>
      </c>
      <c r="M52" s="331">
        <f t="shared" si="41"/>
        <v>1.8737397065187829</v>
      </c>
      <c r="N52" s="331">
        <f t="shared" si="41"/>
        <v>0</v>
      </c>
      <c r="O52" s="331">
        <f t="shared" si="41"/>
        <v>0</v>
      </c>
      <c r="P52" s="331">
        <f t="shared" si="41"/>
        <v>0</v>
      </c>
      <c r="Q52" s="331">
        <f t="shared" si="41"/>
        <v>0</v>
      </c>
      <c r="R52" s="331">
        <f t="shared" si="41"/>
        <v>0</v>
      </c>
      <c r="S52" s="331">
        <f t="shared" si="41"/>
        <v>0</v>
      </c>
      <c r="T52" s="331">
        <f t="shared" si="41"/>
        <v>0</v>
      </c>
      <c r="U52" s="324"/>
      <c r="V52" s="324"/>
      <c r="W52" s="349"/>
      <c r="X52" s="349"/>
      <c r="Y52" s="349"/>
      <c r="Z52" s="349"/>
      <c r="AA52" s="349"/>
      <c r="AB52" s="349"/>
      <c r="AC52" s="349"/>
      <c r="AD52" s="349"/>
      <c r="AE52" s="349"/>
      <c r="AF52" s="349"/>
      <c r="AG52" s="349"/>
      <c r="AH52" s="349"/>
      <c r="AI52" s="350"/>
      <c r="AJ52" s="347"/>
      <c r="AK52" s="347"/>
      <c r="AL52" s="347"/>
      <c r="AM52" s="347"/>
      <c r="AN52" s="347"/>
      <c r="AO52" s="347"/>
      <c r="AP52" s="347"/>
      <c r="AQ52" s="347"/>
      <c r="AR52" s="347"/>
      <c r="AS52" s="347"/>
      <c r="AT52" s="347"/>
      <c r="AU52" s="347"/>
      <c r="AV52" s="347"/>
      <c r="AW52" s="347"/>
    </row>
    <row r="53" spans="1:49" ht="15" customHeight="1" x14ac:dyDescent="0.2">
      <c r="A53" s="328">
        <v>6</v>
      </c>
      <c r="B53" s="336" t="s">
        <v>516</v>
      </c>
      <c r="C53" s="328" t="s">
        <v>515</v>
      </c>
      <c r="D53" s="337">
        <f>AVERAGE(F52:T52)</f>
        <v>0.81258532718991738</v>
      </c>
      <c r="E53" s="344"/>
      <c r="F53" s="322"/>
      <c r="G53" s="322"/>
      <c r="H53" s="322"/>
      <c r="I53" s="322"/>
      <c r="J53" s="322"/>
      <c r="K53" s="322"/>
      <c r="L53" s="322"/>
      <c r="M53" s="322"/>
      <c r="N53" s="322"/>
      <c r="O53" s="322"/>
    </row>
    <row r="54" spans="1:49" ht="15" customHeight="1" x14ac:dyDescent="0.2">
      <c r="B54" s="338"/>
      <c r="D54" s="322"/>
      <c r="E54" s="322"/>
      <c r="F54" s="322"/>
      <c r="G54" s="322"/>
      <c r="H54" s="322"/>
      <c r="I54" s="322"/>
      <c r="J54" s="322"/>
      <c r="K54" s="322"/>
      <c r="L54" s="322"/>
      <c r="M54" s="322"/>
      <c r="N54" s="322"/>
      <c r="O54" s="322"/>
    </row>
    <row r="55" spans="1:49" ht="15" customHeight="1" x14ac:dyDescent="0.2">
      <c r="B55" s="326"/>
      <c r="D55" s="330"/>
      <c r="E55" s="330"/>
      <c r="F55" s="330"/>
      <c r="G55" s="330"/>
      <c r="H55" s="330"/>
      <c r="I55" s="330"/>
      <c r="J55" s="330"/>
      <c r="K55" s="330"/>
      <c r="L55" s="330"/>
      <c r="M55" s="330"/>
      <c r="N55" s="330"/>
      <c r="O55" s="330"/>
      <c r="P55" s="330"/>
      <c r="Q55" s="330"/>
      <c r="R55" s="330"/>
      <c r="S55" s="330"/>
      <c r="T55" s="330"/>
      <c r="U55" s="335"/>
    </row>
    <row r="56" spans="1:49" ht="15" customHeight="1" x14ac:dyDescent="0.2">
      <c r="D56" s="330"/>
      <c r="E56" s="330"/>
      <c r="F56" s="330"/>
      <c r="G56" s="330"/>
      <c r="H56" s="330"/>
      <c r="I56" s="330"/>
      <c r="J56" s="330"/>
      <c r="K56" s="330"/>
      <c r="L56" s="330"/>
      <c r="M56" s="330"/>
      <c r="N56" s="330"/>
      <c r="O56" s="330"/>
      <c r="P56" s="335"/>
    </row>
    <row r="57" spans="1:49" ht="15" customHeight="1" x14ac:dyDescent="0.2">
      <c r="B57" s="326"/>
      <c r="D57" s="334"/>
      <c r="E57" s="334"/>
      <c r="F57" s="322"/>
      <c r="G57" s="330"/>
      <c r="H57" s="330"/>
      <c r="I57" s="330"/>
      <c r="J57" s="330"/>
      <c r="K57" s="330"/>
      <c r="L57" s="330"/>
      <c r="M57" s="330"/>
      <c r="N57" s="330"/>
      <c r="O57" s="330"/>
      <c r="P57" s="335"/>
    </row>
    <row r="58" spans="1:49" ht="15" customHeight="1" x14ac:dyDescent="0.2">
      <c r="B58" s="326"/>
      <c r="D58" s="330"/>
      <c r="E58" s="330"/>
      <c r="F58" s="330"/>
      <c r="G58" s="330"/>
      <c r="H58" s="330"/>
      <c r="I58" s="330"/>
      <c r="J58" s="330"/>
      <c r="K58" s="330"/>
      <c r="L58" s="330"/>
      <c r="M58" s="330"/>
      <c r="N58" s="330"/>
      <c r="O58" s="330"/>
      <c r="P58" s="335"/>
    </row>
    <row r="59" spans="1:49" ht="15" customHeight="1" x14ac:dyDescent="0.2">
      <c r="D59" s="330"/>
      <c r="E59" s="330"/>
      <c r="F59" s="334"/>
      <c r="G59" s="330"/>
      <c r="H59" s="330"/>
      <c r="I59" s="330"/>
      <c r="J59" s="330"/>
      <c r="K59" s="330"/>
      <c r="L59" s="330"/>
      <c r="M59" s="330"/>
      <c r="N59" s="330"/>
      <c r="O59" s="330"/>
      <c r="P59" s="335"/>
    </row>
    <row r="60" spans="1:49" ht="15" customHeight="1" x14ac:dyDescent="0.2">
      <c r="B60" s="326"/>
      <c r="D60" s="330"/>
      <c r="E60" s="330"/>
      <c r="F60" s="334"/>
      <c r="G60" s="334"/>
      <c r="H60" s="334"/>
      <c r="I60" s="334"/>
      <c r="J60" s="334"/>
      <c r="K60" s="334"/>
      <c r="L60" s="334"/>
      <c r="M60" s="334"/>
      <c r="N60" s="334"/>
      <c r="O60" s="334"/>
      <c r="P60" s="334"/>
      <c r="Q60" s="334"/>
      <c r="R60" s="334"/>
      <c r="S60" s="339"/>
      <c r="T60" s="339"/>
      <c r="U60" s="335"/>
      <c r="V60" s="335"/>
    </row>
    <row r="61" spans="1:49" ht="15" customHeight="1" x14ac:dyDescent="0.2">
      <c r="B61" s="340"/>
      <c r="C61" s="340"/>
      <c r="D61" s="341"/>
      <c r="E61" s="341"/>
      <c r="F61" s="322"/>
      <c r="G61" s="322"/>
      <c r="H61" s="322"/>
      <c r="I61" s="322"/>
      <c r="J61" s="322"/>
      <c r="K61" s="322"/>
      <c r="L61" s="322"/>
      <c r="M61" s="322"/>
      <c r="N61" s="322"/>
      <c r="O61" s="322"/>
      <c r="P61" s="335"/>
    </row>
    <row r="62" spans="1:49" ht="15" customHeight="1" x14ac:dyDescent="0.2">
      <c r="B62" s="342"/>
      <c r="D62" s="330"/>
      <c r="E62" s="330"/>
      <c r="F62" s="330"/>
      <c r="G62" s="330"/>
      <c r="H62" s="330"/>
      <c r="I62" s="330"/>
      <c r="J62" s="330"/>
      <c r="K62" s="330"/>
      <c r="L62" s="330"/>
      <c r="M62" s="330"/>
      <c r="N62" s="330"/>
      <c r="O62" s="330"/>
      <c r="P62" s="330"/>
      <c r="Q62" s="330"/>
      <c r="R62" s="330"/>
      <c r="S62" s="330"/>
      <c r="T62" s="330"/>
    </row>
    <row r="63" spans="1:49" ht="15" customHeight="1" x14ac:dyDescent="0.2">
      <c r="B63" s="323"/>
      <c r="D63" s="343"/>
      <c r="E63" s="343"/>
      <c r="F63" s="344"/>
      <c r="G63" s="330"/>
      <c r="H63" s="330"/>
      <c r="I63" s="330"/>
      <c r="J63" s="330"/>
      <c r="K63" s="330"/>
      <c r="L63" s="330"/>
      <c r="M63" s="330"/>
      <c r="N63" s="330"/>
      <c r="O63" s="330"/>
      <c r="P63" s="335"/>
    </row>
    <row r="64" spans="1:49" ht="15" customHeight="1" x14ac:dyDescent="0.2">
      <c r="D64" s="322"/>
      <c r="E64" s="322"/>
      <c r="F64" s="322"/>
      <c r="G64" s="322"/>
      <c r="H64" s="322"/>
      <c r="I64" s="322"/>
      <c r="J64" s="322"/>
      <c r="K64" s="322"/>
      <c r="L64" s="322"/>
      <c r="M64" s="322"/>
      <c r="N64" s="322"/>
      <c r="O64" s="322"/>
    </row>
    <row r="65" spans="4:10" ht="15" customHeight="1" x14ac:dyDescent="0.2">
      <c r="D65" s="345"/>
      <c r="E65" s="345"/>
      <c r="F65" s="345"/>
      <c r="J65" s="325"/>
    </row>
  </sheetData>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S20"/>
  <sheetViews>
    <sheetView showGridLines="0" workbookViewId="0">
      <selection activeCell="G9" sqref="G9"/>
    </sheetView>
  </sheetViews>
  <sheetFormatPr defaultRowHeight="12.75" x14ac:dyDescent="0.2"/>
  <cols>
    <col min="1" max="1" width="9.140625" style="1"/>
    <col min="2" max="2" width="35.85546875" style="1" bestFit="1" customWidth="1"/>
    <col min="3" max="3" width="9.140625" style="1"/>
    <col min="4" max="4" width="8.85546875" style="1"/>
    <col min="5" max="16384" width="9.140625" style="1"/>
  </cols>
  <sheetData>
    <row r="3" spans="1:19" ht="15.75" x14ac:dyDescent="0.2">
      <c r="A3" s="760" t="s">
        <v>529</v>
      </c>
      <c r="B3" s="760"/>
      <c r="C3" s="760"/>
      <c r="D3" s="760"/>
      <c r="E3" s="760"/>
      <c r="F3" s="760"/>
      <c r="G3" s="760"/>
      <c r="H3" s="760"/>
      <c r="I3" s="760"/>
      <c r="J3" s="760"/>
      <c r="K3" s="760"/>
      <c r="L3" s="760"/>
      <c r="M3" s="760"/>
      <c r="N3" s="760"/>
      <c r="O3" s="760"/>
      <c r="P3" s="760"/>
      <c r="Q3" s="760"/>
      <c r="R3" s="760"/>
      <c r="S3" s="760"/>
    </row>
    <row r="4" spans="1:19" s="665" customFormat="1" x14ac:dyDescent="0.2">
      <c r="A4" s="470" t="s">
        <v>402</v>
      </c>
      <c r="B4" s="390" t="s">
        <v>349</v>
      </c>
      <c r="C4" s="664">
        <f t="shared" ref="C4:S4" si="0">C13</f>
        <v>-2</v>
      </c>
      <c r="D4" s="664">
        <f t="shared" si="0"/>
        <v>-1</v>
      </c>
      <c r="E4" s="471">
        <f t="shared" si="0"/>
        <v>1</v>
      </c>
      <c r="F4" s="471">
        <f t="shared" si="0"/>
        <v>2</v>
      </c>
      <c r="G4" s="471">
        <f t="shared" si="0"/>
        <v>3</v>
      </c>
      <c r="H4" s="471">
        <f t="shared" si="0"/>
        <v>4</v>
      </c>
      <c r="I4" s="471">
        <f t="shared" si="0"/>
        <v>5</v>
      </c>
      <c r="J4" s="471">
        <f t="shared" si="0"/>
        <v>6</v>
      </c>
      <c r="K4" s="471">
        <f t="shared" si="0"/>
        <v>7</v>
      </c>
      <c r="L4" s="471">
        <f t="shared" si="0"/>
        <v>8</v>
      </c>
      <c r="M4" s="471">
        <f t="shared" si="0"/>
        <v>9</v>
      </c>
      <c r="N4" s="471">
        <f t="shared" si="0"/>
        <v>10</v>
      </c>
      <c r="O4" s="471">
        <f t="shared" si="0"/>
        <v>11</v>
      </c>
      <c r="P4" s="471">
        <f t="shared" si="0"/>
        <v>12</v>
      </c>
      <c r="Q4" s="471">
        <f t="shared" si="0"/>
        <v>13</v>
      </c>
      <c r="R4" s="471">
        <f t="shared" si="0"/>
        <v>14</v>
      </c>
      <c r="S4" s="471">
        <f t="shared" si="0"/>
        <v>15</v>
      </c>
    </row>
    <row r="5" spans="1:19" x14ac:dyDescent="0.2">
      <c r="A5" s="348">
        <v>1</v>
      </c>
      <c r="B5" s="380" t="s">
        <v>535</v>
      </c>
      <c r="C5" s="375">
        <f>Capex!B71/2/100</f>
        <v>293.12272875000002</v>
      </c>
      <c r="D5" s="387">
        <f>Capex!B71/100</f>
        <v>586.24545750000004</v>
      </c>
      <c r="E5" s="388">
        <f>D5</f>
        <v>586.24545750000004</v>
      </c>
      <c r="F5" s="388">
        <f t="shared" ref="F5:S5" si="1">E5</f>
        <v>586.24545750000004</v>
      </c>
      <c r="G5" s="388">
        <f t="shared" si="1"/>
        <v>586.24545750000004</v>
      </c>
      <c r="H5" s="388">
        <f t="shared" si="1"/>
        <v>586.24545750000004</v>
      </c>
      <c r="I5" s="388">
        <f t="shared" si="1"/>
        <v>586.24545750000004</v>
      </c>
      <c r="J5" s="388">
        <f t="shared" si="1"/>
        <v>586.24545750000004</v>
      </c>
      <c r="K5" s="388">
        <f t="shared" si="1"/>
        <v>586.24545750000004</v>
      </c>
      <c r="L5" s="388">
        <f t="shared" si="1"/>
        <v>586.24545750000004</v>
      </c>
      <c r="M5" s="388">
        <f t="shared" si="1"/>
        <v>586.24545750000004</v>
      </c>
      <c r="N5" s="388">
        <f t="shared" si="1"/>
        <v>586.24545750000004</v>
      </c>
      <c r="O5" s="388">
        <f t="shared" si="1"/>
        <v>586.24545750000004</v>
      </c>
      <c r="P5" s="388">
        <f t="shared" si="1"/>
        <v>586.24545750000004</v>
      </c>
      <c r="Q5" s="388">
        <f t="shared" si="1"/>
        <v>586.24545750000004</v>
      </c>
      <c r="R5" s="388">
        <f t="shared" si="1"/>
        <v>586.24545750000004</v>
      </c>
      <c r="S5" s="388">
        <f t="shared" si="1"/>
        <v>586.24545750000004</v>
      </c>
    </row>
    <row r="6" spans="1:19" x14ac:dyDescent="0.2">
      <c r="A6" s="348">
        <v>2</v>
      </c>
      <c r="B6" s="380" t="s">
        <v>536</v>
      </c>
      <c r="C6" s="387">
        <v>0</v>
      </c>
      <c r="D6" s="387">
        <v>0</v>
      </c>
      <c r="E6" s="388">
        <f>'Cashflow '!F27</f>
        <v>36.848479459750003</v>
      </c>
      <c r="F6" s="388">
        <f>'Cashflow '!G27</f>
        <v>36.848479459750003</v>
      </c>
      <c r="G6" s="388">
        <f>'Cashflow '!H27</f>
        <v>36.848479459750003</v>
      </c>
      <c r="H6" s="388">
        <f>'Cashflow '!I27</f>
        <v>36.848479459750003</v>
      </c>
      <c r="I6" s="388">
        <f>'Cashflow '!J27</f>
        <v>36.848479459750003</v>
      </c>
      <c r="J6" s="388">
        <f>'Cashflow '!K27</f>
        <v>36.848479459750003</v>
      </c>
      <c r="K6" s="388">
        <f>'Cashflow '!L27</f>
        <v>36.848479459750003</v>
      </c>
      <c r="L6" s="388">
        <f>'Cashflow '!M27</f>
        <v>36.848479459750003</v>
      </c>
      <c r="M6" s="388">
        <f>'Cashflow '!N27</f>
        <v>36.848479459750003</v>
      </c>
      <c r="N6" s="388">
        <f>'Cashflow '!O27</f>
        <v>36.848479459750003</v>
      </c>
      <c r="O6" s="388">
        <f>'Cashflow '!P27</f>
        <v>36.848479459750003</v>
      </c>
      <c r="P6" s="388">
        <f>'Cashflow '!Q27</f>
        <v>36.848479459750003</v>
      </c>
      <c r="Q6" s="388">
        <f>'Cashflow '!R27</f>
        <v>36.848479459750003</v>
      </c>
      <c r="R6" s="388">
        <f>'Cashflow '!S27</f>
        <v>36.848479459750003</v>
      </c>
      <c r="S6" s="388">
        <f>'Cashflow '!T27</f>
        <v>36.848479459750003</v>
      </c>
    </row>
    <row r="7" spans="1:19" x14ac:dyDescent="0.2">
      <c r="A7" s="348">
        <v>3</v>
      </c>
      <c r="B7" s="380" t="s">
        <v>537</v>
      </c>
      <c r="C7" s="375">
        <f>C5-C6</f>
        <v>293.12272875000002</v>
      </c>
      <c r="D7" s="375">
        <f t="shared" ref="D7:S7" si="2">D5-D6</f>
        <v>586.24545750000004</v>
      </c>
      <c r="E7" s="375">
        <f t="shared" si="2"/>
        <v>549.39697804025002</v>
      </c>
      <c r="F7" s="375">
        <f t="shared" si="2"/>
        <v>549.39697804025002</v>
      </c>
      <c r="G7" s="375">
        <f t="shared" si="2"/>
        <v>549.39697804025002</v>
      </c>
      <c r="H7" s="375">
        <f t="shared" si="2"/>
        <v>549.39697804025002</v>
      </c>
      <c r="I7" s="375">
        <f t="shared" si="2"/>
        <v>549.39697804025002</v>
      </c>
      <c r="J7" s="375">
        <f t="shared" si="2"/>
        <v>549.39697804025002</v>
      </c>
      <c r="K7" s="375">
        <f t="shared" si="2"/>
        <v>549.39697804025002</v>
      </c>
      <c r="L7" s="375">
        <f t="shared" si="2"/>
        <v>549.39697804025002</v>
      </c>
      <c r="M7" s="375">
        <f t="shared" si="2"/>
        <v>549.39697804025002</v>
      </c>
      <c r="N7" s="375">
        <f t="shared" si="2"/>
        <v>549.39697804025002</v>
      </c>
      <c r="O7" s="375">
        <f t="shared" si="2"/>
        <v>549.39697804025002</v>
      </c>
      <c r="P7" s="375">
        <f t="shared" si="2"/>
        <v>549.39697804025002</v>
      </c>
      <c r="Q7" s="375">
        <f t="shared" si="2"/>
        <v>549.39697804025002</v>
      </c>
      <c r="R7" s="375">
        <f t="shared" si="2"/>
        <v>549.39697804025002</v>
      </c>
      <c r="S7" s="375">
        <f t="shared" si="2"/>
        <v>549.39697804025002</v>
      </c>
    </row>
    <row r="8" spans="1:19" x14ac:dyDescent="0.2">
      <c r="A8" s="348">
        <v>4</v>
      </c>
      <c r="B8" s="380" t="s">
        <v>538</v>
      </c>
      <c r="C8" s="375">
        <v>0</v>
      </c>
      <c r="D8" s="375">
        <v>0</v>
      </c>
      <c r="E8" s="375">
        <f>'Working Capital'!D13</f>
        <v>13.301991678141194</v>
      </c>
      <c r="F8" s="375">
        <f>'Working Capital'!E13</f>
        <v>14.989608276436648</v>
      </c>
      <c r="G8" s="375">
        <f>'Working Capital'!F13</f>
        <v>17.521033173879829</v>
      </c>
      <c r="H8" s="375">
        <f>'Working Capital'!G13</f>
        <v>17.521033173879829</v>
      </c>
      <c r="I8" s="375">
        <f>'Working Capital'!H13</f>
        <v>17.521033173879829</v>
      </c>
      <c r="J8" s="375">
        <f>'Working Capital'!I13</f>
        <v>17.521033173879829</v>
      </c>
      <c r="K8" s="375">
        <f>'Working Capital'!J13</f>
        <v>17.521033173879829</v>
      </c>
      <c r="L8" s="375">
        <f>'Working Capital'!K13</f>
        <v>17.521033173879829</v>
      </c>
      <c r="M8" s="375">
        <f>'Working Capital'!L13</f>
        <v>17.521033173879829</v>
      </c>
      <c r="N8" s="375">
        <f>'Working Capital'!M13</f>
        <v>17.521033173879829</v>
      </c>
      <c r="O8" s="375">
        <f>'Working Capital'!N13</f>
        <v>17.521033173879829</v>
      </c>
      <c r="P8" s="375">
        <f>'Working Capital'!O13</f>
        <v>17.165890601969316</v>
      </c>
      <c r="Q8" s="375">
        <f>'Working Capital'!P13</f>
        <v>17.165890601969316</v>
      </c>
      <c r="R8" s="375">
        <f>'Working Capital'!Q13</f>
        <v>17.521033173879829</v>
      </c>
      <c r="S8" s="375">
        <f>'Working Capital'!R13</f>
        <v>17.521033173879829</v>
      </c>
    </row>
    <row r="9" spans="1:19" x14ac:dyDescent="0.2">
      <c r="A9" s="348">
        <v>5</v>
      </c>
      <c r="B9" s="380" t="s">
        <v>528</v>
      </c>
      <c r="C9" s="375">
        <v>0</v>
      </c>
      <c r="D9" s="375">
        <v>0</v>
      </c>
      <c r="E9" s="375">
        <f>'Cashflow '!E76</f>
        <v>33.255781639045921</v>
      </c>
      <c r="F9" s="375">
        <f>'Cashflow '!F76</f>
        <v>71.432004088977067</v>
      </c>
      <c r="G9" s="375">
        <f>'Cashflow '!G76</f>
        <v>78.666609903116779</v>
      </c>
      <c r="H9" s="375">
        <f>'Cashflow '!H76</f>
        <v>81.399242832218675</v>
      </c>
      <c r="I9" s="375">
        <f>'Cashflow '!I76</f>
        <v>83.993854586745869</v>
      </c>
      <c r="J9" s="375">
        <f>'Cashflow '!J76</f>
        <v>87.009192960992806</v>
      </c>
      <c r="K9" s="375">
        <f>'Cashflow '!K76</f>
        <v>90.382254106662998</v>
      </c>
      <c r="L9" s="375">
        <f>'Cashflow '!L76</f>
        <v>94.059474238238209</v>
      </c>
      <c r="M9" s="375">
        <f>'Cashflow '!M76</f>
        <v>158.06715389821164</v>
      </c>
      <c r="N9" s="375">
        <f>'Cashflow '!N76</f>
        <v>156.81643271476764</v>
      </c>
      <c r="O9" s="375">
        <f>'Cashflow '!O76</f>
        <v>155.75269884012891</v>
      </c>
      <c r="P9" s="375">
        <f>'Cashflow '!P76</f>
        <v>149.87514632733181</v>
      </c>
      <c r="Q9" s="375">
        <f>'Cashflow '!Q76</f>
        <v>149.01683509170732</v>
      </c>
      <c r="R9" s="375">
        <f>'Cashflow '!R76</f>
        <v>153.33510566218092</v>
      </c>
      <c r="S9" s="375">
        <f>'Cashflow '!S76</f>
        <v>152.86711699121273</v>
      </c>
    </row>
    <row r="10" spans="1:19" x14ac:dyDescent="0.2">
      <c r="A10" s="348">
        <v>6</v>
      </c>
      <c r="B10" s="380" t="s">
        <v>47</v>
      </c>
      <c r="C10" s="375">
        <f>SUM(C7:C9)</f>
        <v>293.12272875000002</v>
      </c>
      <c r="D10" s="375">
        <f t="shared" ref="D10:S10" si="3">SUM(D7:D9)</f>
        <v>586.24545750000004</v>
      </c>
      <c r="E10" s="375">
        <f t="shared" si="3"/>
        <v>595.9547513574372</v>
      </c>
      <c r="F10" s="375">
        <f t="shared" si="3"/>
        <v>635.81859040566383</v>
      </c>
      <c r="G10" s="375">
        <f t="shared" si="3"/>
        <v>645.58462111724657</v>
      </c>
      <c r="H10" s="375">
        <f t="shared" si="3"/>
        <v>648.31725404634847</v>
      </c>
      <c r="I10" s="375">
        <f t="shared" si="3"/>
        <v>650.91186580087572</v>
      </c>
      <c r="J10" s="375">
        <f t="shared" si="3"/>
        <v>653.9272041751226</v>
      </c>
      <c r="K10" s="375">
        <f t="shared" si="3"/>
        <v>657.30026532079285</v>
      </c>
      <c r="L10" s="375">
        <f t="shared" si="3"/>
        <v>660.977485452368</v>
      </c>
      <c r="M10" s="375">
        <f t="shared" si="3"/>
        <v>724.98516511234152</v>
      </c>
      <c r="N10" s="375">
        <f t="shared" si="3"/>
        <v>723.73444392889746</v>
      </c>
      <c r="O10" s="375">
        <f t="shared" si="3"/>
        <v>722.67071005425873</v>
      </c>
      <c r="P10" s="375">
        <f t="shared" si="3"/>
        <v>716.43801496955109</v>
      </c>
      <c r="Q10" s="375">
        <f t="shared" si="3"/>
        <v>715.57970373392664</v>
      </c>
      <c r="R10" s="375">
        <f t="shared" si="3"/>
        <v>720.25311687631074</v>
      </c>
      <c r="S10" s="375">
        <f t="shared" si="3"/>
        <v>719.78512820534252</v>
      </c>
    </row>
    <row r="11" spans="1:19" x14ac:dyDescent="0.2">
      <c r="A11" s="374"/>
      <c r="B11" s="373"/>
      <c r="C11" s="379"/>
      <c r="D11" s="379"/>
      <c r="E11" s="377"/>
      <c r="F11" s="377"/>
      <c r="G11" s="377"/>
      <c r="H11" s="377"/>
      <c r="I11" s="377"/>
      <c r="J11" s="377"/>
      <c r="K11" s="377"/>
      <c r="L11" s="377"/>
      <c r="M11" s="377"/>
      <c r="N11" s="377"/>
      <c r="O11" s="377"/>
      <c r="P11" s="373"/>
      <c r="Q11" s="373"/>
      <c r="R11" s="373"/>
      <c r="S11" s="373"/>
    </row>
    <row r="12" spans="1:19" x14ac:dyDescent="0.2">
      <c r="A12" s="373"/>
      <c r="B12" s="373"/>
      <c r="C12" s="376"/>
      <c r="D12" s="376"/>
      <c r="E12" s="376"/>
      <c r="F12" s="376"/>
      <c r="G12" s="376"/>
      <c r="H12" s="376"/>
      <c r="I12" s="376"/>
      <c r="J12" s="376"/>
      <c r="K12" s="376"/>
      <c r="L12" s="376"/>
      <c r="M12" s="376"/>
      <c r="N12" s="376"/>
      <c r="O12" s="378"/>
      <c r="P12" s="378"/>
      <c r="Q12" s="373"/>
      <c r="R12" s="373"/>
      <c r="S12" s="373"/>
    </row>
    <row r="13" spans="1:19" x14ac:dyDescent="0.2">
      <c r="A13" s="666" t="s">
        <v>402</v>
      </c>
      <c r="B13" s="390" t="s">
        <v>350</v>
      </c>
      <c r="C13" s="348">
        <v>-2</v>
      </c>
      <c r="D13" s="348">
        <v>-1</v>
      </c>
      <c r="E13" s="381">
        <v>1</v>
      </c>
      <c r="F13" s="348">
        <v>2</v>
      </c>
      <c r="G13" s="348">
        <v>3</v>
      </c>
      <c r="H13" s="348">
        <v>4</v>
      </c>
      <c r="I13" s="348">
        <v>5</v>
      </c>
      <c r="J13" s="348">
        <v>6</v>
      </c>
      <c r="K13" s="348">
        <v>7</v>
      </c>
      <c r="L13" s="348">
        <v>8</v>
      </c>
      <c r="M13" s="348">
        <v>9</v>
      </c>
      <c r="N13" s="348">
        <v>10</v>
      </c>
      <c r="O13" s="348">
        <v>11</v>
      </c>
      <c r="P13" s="348">
        <v>12</v>
      </c>
      <c r="Q13" s="348">
        <v>13</v>
      </c>
      <c r="R13" s="348">
        <v>14</v>
      </c>
      <c r="S13" s="348">
        <v>15</v>
      </c>
    </row>
    <row r="14" spans="1:19" x14ac:dyDescent="0.2">
      <c r="A14" s="354">
        <v>1</v>
      </c>
      <c r="B14" s="382" t="s">
        <v>531</v>
      </c>
      <c r="C14" s="383">
        <f>Capex!B77/100</f>
        <v>146.56136437500001</v>
      </c>
      <c r="D14" s="383">
        <f>C14</f>
        <v>146.56136437500001</v>
      </c>
      <c r="E14" s="383">
        <f>C14</f>
        <v>146.56136437500001</v>
      </c>
      <c r="F14" s="383">
        <f t="shared" ref="F14:S14" si="4">E14</f>
        <v>146.56136437500001</v>
      </c>
      <c r="G14" s="383">
        <f t="shared" si="4"/>
        <v>146.56136437500001</v>
      </c>
      <c r="H14" s="383">
        <f t="shared" si="4"/>
        <v>146.56136437500001</v>
      </c>
      <c r="I14" s="383">
        <f t="shared" si="4"/>
        <v>146.56136437500001</v>
      </c>
      <c r="J14" s="383">
        <f t="shared" si="4"/>
        <v>146.56136437500001</v>
      </c>
      <c r="K14" s="383">
        <f t="shared" si="4"/>
        <v>146.56136437500001</v>
      </c>
      <c r="L14" s="383">
        <f t="shared" si="4"/>
        <v>146.56136437500001</v>
      </c>
      <c r="M14" s="383">
        <f t="shared" si="4"/>
        <v>146.56136437500001</v>
      </c>
      <c r="N14" s="383">
        <f t="shared" si="4"/>
        <v>146.56136437500001</v>
      </c>
      <c r="O14" s="383">
        <f t="shared" si="4"/>
        <v>146.56136437500001</v>
      </c>
      <c r="P14" s="383">
        <f t="shared" si="4"/>
        <v>146.56136437500001</v>
      </c>
      <c r="Q14" s="383">
        <f t="shared" si="4"/>
        <v>146.56136437500001</v>
      </c>
      <c r="R14" s="383">
        <f t="shared" si="4"/>
        <v>146.56136437500001</v>
      </c>
      <c r="S14" s="383">
        <f t="shared" si="4"/>
        <v>146.56136437500001</v>
      </c>
    </row>
    <row r="15" spans="1:19" x14ac:dyDescent="0.2">
      <c r="A15" s="203">
        <v>2</v>
      </c>
      <c r="B15" s="372" t="s">
        <v>534</v>
      </c>
      <c r="C15" s="384">
        <v>0</v>
      </c>
      <c r="D15" s="384">
        <v>0</v>
      </c>
      <c r="E15" s="384">
        <f>'Cashflow '!F31</f>
        <v>22.95615986228437</v>
      </c>
      <c r="F15" s="384">
        <f>'Cashflow '!G31</f>
        <v>81.184948404538446</v>
      </c>
      <c r="G15" s="384">
        <f>'Cashflow '!H31</f>
        <v>146.85929483571914</v>
      </c>
      <c r="H15" s="384">
        <f>'Cashflow '!I31</f>
        <v>214.63341797164097</v>
      </c>
      <c r="I15" s="384">
        <f>'Cashflow '!J31</f>
        <v>285.00215286208999</v>
      </c>
      <c r="J15" s="384">
        <f>'Cashflow '!K31</f>
        <v>358.38622612678591</v>
      </c>
      <c r="K15" s="384">
        <f>'Cashflow '!L31</f>
        <v>435.14336053715203</v>
      </c>
      <c r="L15" s="384">
        <f>'Cashflow '!M31</f>
        <v>515.57771507909342</v>
      </c>
      <c r="M15" s="384">
        <f>'Cashflow '!N31</f>
        <v>599.94791005780507</v>
      </c>
      <c r="N15" s="384">
        <f>'Cashflow '!O31</f>
        <v>683.06738385307278</v>
      </c>
      <c r="O15" s="384">
        <f>'Cashflow '!P31</f>
        <v>765.12312377370176</v>
      </c>
      <c r="P15" s="384">
        <f>'Cashflow '!Q31</f>
        <v>841.21252553855595</v>
      </c>
      <c r="Q15" s="384">
        <f>'Cashflow '!R31</f>
        <v>916.53240171076334</v>
      </c>
      <c r="R15" s="384">
        <f>'Cashflow '!S31</f>
        <v>996.25933409642198</v>
      </c>
      <c r="S15" s="384">
        <f>'Cashflow '!T31</f>
        <v>1075.4294921681346</v>
      </c>
    </row>
    <row r="16" spans="1:19" x14ac:dyDescent="0.2">
      <c r="A16" s="203">
        <v>3</v>
      </c>
      <c r="B16" s="372" t="s">
        <v>532</v>
      </c>
      <c r="C16" s="384">
        <f>'Cashflow '!C63</f>
        <v>146.56136437499998</v>
      </c>
      <c r="D16" s="384">
        <f>'Cashflow '!D63+'Cashflow '!C63</f>
        <v>439.684093125</v>
      </c>
      <c r="E16" s="384">
        <f>'Cashflow '!E90</f>
        <v>480.57471378562508</v>
      </c>
      <c r="F16" s="384">
        <f>'Cashflow '!F90</f>
        <v>420.50287456242194</v>
      </c>
      <c r="G16" s="384">
        <f>'Cashflow '!G90</f>
        <v>360.43103533921879</v>
      </c>
      <c r="H16" s="384">
        <f>'Cashflow '!H90</f>
        <v>300.35919611601565</v>
      </c>
      <c r="I16" s="384">
        <f>'Cashflow '!I90</f>
        <v>240.28735689281251</v>
      </c>
      <c r="J16" s="384">
        <f>'Cashflow '!J90</f>
        <v>180.21551766960937</v>
      </c>
      <c r="K16" s="384">
        <f>'Cashflow '!K90</f>
        <v>120.14367844640623</v>
      </c>
      <c r="L16" s="384">
        <f>'Cashflow '!L90</f>
        <v>60.071839223203092</v>
      </c>
      <c r="M16" s="384">
        <f>'Cashflow '!M90</f>
        <v>0</v>
      </c>
      <c r="N16" s="384">
        <f>'Cashflow '!N90</f>
        <v>0</v>
      </c>
      <c r="O16" s="384">
        <f>'Cashflow '!O90</f>
        <v>0</v>
      </c>
      <c r="P16" s="384">
        <f>'Cashflow '!P90</f>
        <v>0</v>
      </c>
      <c r="Q16" s="384">
        <f>'Cashflow '!Q90</f>
        <v>0</v>
      </c>
      <c r="R16" s="384">
        <f>'Cashflow '!R90</f>
        <v>0</v>
      </c>
      <c r="S16" s="384">
        <f>'Cashflow '!S90</f>
        <v>0</v>
      </c>
    </row>
    <row r="17" spans="1:19" x14ac:dyDescent="0.2">
      <c r="A17" s="203">
        <v>5</v>
      </c>
      <c r="B17" s="385" t="s">
        <v>533</v>
      </c>
      <c r="C17" s="386">
        <v>0</v>
      </c>
      <c r="D17" s="386">
        <v>0</v>
      </c>
      <c r="E17" s="386">
        <f>'Working Capital'!D18</f>
        <v>9.9764937586058959</v>
      </c>
      <c r="F17" s="386">
        <f>'Working Capital'!E18</f>
        <v>11.242206207327486</v>
      </c>
      <c r="G17" s="386">
        <f>'Working Capital'!F18</f>
        <v>13.140774880409872</v>
      </c>
      <c r="H17" s="386">
        <f>'Working Capital'!G18</f>
        <v>13.140774880409872</v>
      </c>
      <c r="I17" s="386">
        <f>'Working Capital'!H18</f>
        <v>13.140774880409872</v>
      </c>
      <c r="J17" s="386">
        <f>'Working Capital'!I18</f>
        <v>13.140774880409872</v>
      </c>
      <c r="K17" s="386">
        <f>'Working Capital'!J18</f>
        <v>13.140774880409872</v>
      </c>
      <c r="L17" s="386">
        <f>'Working Capital'!K18</f>
        <v>13.140774880409872</v>
      </c>
      <c r="M17" s="386">
        <f>'Working Capital'!L18</f>
        <v>13.140774880409872</v>
      </c>
      <c r="N17" s="386">
        <f>'Working Capital'!M18</f>
        <v>13.140774880409872</v>
      </c>
      <c r="O17" s="386">
        <f>'Working Capital'!N18</f>
        <v>13.140774880409872</v>
      </c>
      <c r="P17" s="386">
        <f>'Working Capital'!O18</f>
        <v>12.874417951476987</v>
      </c>
      <c r="Q17" s="386">
        <f>'Working Capital'!P18</f>
        <v>12.874417951476987</v>
      </c>
      <c r="R17" s="386">
        <f>'Working Capital'!Q18</f>
        <v>13.140774880409872</v>
      </c>
      <c r="S17" s="386">
        <f>'Working Capital'!R18</f>
        <v>13.140774880409872</v>
      </c>
    </row>
    <row r="18" spans="1:19" x14ac:dyDescent="0.2">
      <c r="A18" s="348">
        <v>6</v>
      </c>
      <c r="B18" s="380" t="s">
        <v>47</v>
      </c>
      <c r="C18" s="375">
        <f>SUM(C14:C17)</f>
        <v>293.12272874999996</v>
      </c>
      <c r="D18" s="375">
        <f t="shared" ref="D18:S18" si="5">SUM(D14:D17)</f>
        <v>586.24545750000004</v>
      </c>
      <c r="E18" s="375">
        <f t="shared" si="5"/>
        <v>660.06873178151534</v>
      </c>
      <c r="F18" s="375">
        <f t="shared" si="5"/>
        <v>659.49139354928786</v>
      </c>
      <c r="G18" s="375">
        <f t="shared" si="5"/>
        <v>666.9924694303478</v>
      </c>
      <c r="H18" s="375">
        <f t="shared" si="5"/>
        <v>674.69475334306651</v>
      </c>
      <c r="I18" s="375">
        <f t="shared" si="5"/>
        <v>684.99164901031224</v>
      </c>
      <c r="J18" s="375">
        <f t="shared" si="5"/>
        <v>698.3038830518052</v>
      </c>
      <c r="K18" s="375">
        <f t="shared" si="5"/>
        <v>714.98917823896807</v>
      </c>
      <c r="L18" s="375">
        <f t="shared" si="5"/>
        <v>735.35169355770643</v>
      </c>
      <c r="M18" s="375">
        <f t="shared" si="5"/>
        <v>759.65004931321494</v>
      </c>
      <c r="N18" s="375">
        <f t="shared" si="5"/>
        <v>842.76952310848264</v>
      </c>
      <c r="O18" s="375">
        <f t="shared" si="5"/>
        <v>924.82526302911162</v>
      </c>
      <c r="P18" s="375">
        <f t="shared" si="5"/>
        <v>1000.648307865033</v>
      </c>
      <c r="Q18" s="375">
        <f t="shared" si="5"/>
        <v>1075.9681840372402</v>
      </c>
      <c r="R18" s="375">
        <f t="shared" si="5"/>
        <v>1155.961473351832</v>
      </c>
      <c r="S18" s="375">
        <f t="shared" si="5"/>
        <v>1235.1316314235446</v>
      </c>
    </row>
    <row r="20" spans="1:19" x14ac:dyDescent="0.2">
      <c r="B20" s="374" t="s">
        <v>539</v>
      </c>
      <c r="C20" s="667">
        <f>C10-C18</f>
        <v>0</v>
      </c>
      <c r="D20" s="667">
        <f t="shared" ref="D20:S20" si="6">D10-D18</f>
        <v>0</v>
      </c>
      <c r="E20" s="667">
        <f t="shared" si="6"/>
        <v>-64.113980424078136</v>
      </c>
      <c r="F20" s="667">
        <f t="shared" si="6"/>
        <v>-23.672803143624037</v>
      </c>
      <c r="G20" s="667">
        <f t="shared" si="6"/>
        <v>-21.407848313101226</v>
      </c>
      <c r="H20" s="667">
        <f t="shared" si="6"/>
        <v>-26.377499296718042</v>
      </c>
      <c r="I20" s="667">
        <f t="shared" si="6"/>
        <v>-34.079783209436528</v>
      </c>
      <c r="J20" s="667">
        <f t="shared" si="6"/>
        <v>-44.376678876682604</v>
      </c>
      <c r="K20" s="667">
        <f t="shared" si="6"/>
        <v>-57.68891291817522</v>
      </c>
      <c r="L20" s="667">
        <f t="shared" si="6"/>
        <v>-74.374208105338425</v>
      </c>
      <c r="M20" s="667">
        <f t="shared" si="6"/>
        <v>-34.664884200873416</v>
      </c>
      <c r="N20" s="667">
        <f t="shared" si="6"/>
        <v>-119.03507917958518</v>
      </c>
      <c r="O20" s="667">
        <f t="shared" si="6"/>
        <v>-202.15455297485289</v>
      </c>
      <c r="P20" s="667">
        <f t="shared" si="6"/>
        <v>-284.21029289548187</v>
      </c>
      <c r="Q20" s="667">
        <f t="shared" si="6"/>
        <v>-360.3884803033136</v>
      </c>
      <c r="R20" s="667">
        <f t="shared" si="6"/>
        <v>-435.70835647552121</v>
      </c>
      <c r="S20" s="667">
        <f t="shared" si="6"/>
        <v>-515.34650321820209</v>
      </c>
    </row>
  </sheetData>
  <mergeCells count="1">
    <mergeCell ref="A3:S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9DA9-AAAC-45E6-B097-95A3D8A24821}">
  <dimension ref="A2:M33"/>
  <sheetViews>
    <sheetView showGridLines="0" tabSelected="1" workbookViewId="0">
      <selection activeCell="I6" sqref="I6"/>
    </sheetView>
  </sheetViews>
  <sheetFormatPr defaultRowHeight="12.75" x14ac:dyDescent="0.2"/>
  <cols>
    <col min="1" max="1" width="9.140625" style="1"/>
    <col min="2" max="2" width="27.85546875" style="1" bestFit="1" customWidth="1"/>
    <col min="3" max="4" width="9.140625" style="1"/>
    <col min="5" max="5" width="23.28515625" style="1" customWidth="1"/>
    <col min="6" max="8" width="9.140625" style="1"/>
    <col min="9" max="9" width="27" style="1" bestFit="1" customWidth="1"/>
    <col min="10" max="11" width="9.140625" style="1"/>
    <col min="12" max="12" width="21.7109375" style="1" bestFit="1" customWidth="1"/>
    <col min="13" max="13" width="10.5703125" style="1" bestFit="1" customWidth="1"/>
    <col min="14" max="16384" width="9.140625" style="1"/>
  </cols>
  <sheetData>
    <row r="2" spans="1:13" ht="15" x14ac:dyDescent="0.25">
      <c r="A2" s="622" t="s">
        <v>579</v>
      </c>
      <c r="B2" s="761" t="s">
        <v>583</v>
      </c>
      <c r="C2" s="761"/>
      <c r="D2" s="761"/>
      <c r="E2" s="761"/>
      <c r="F2" s="761"/>
      <c r="H2" s="622" t="s">
        <v>587</v>
      </c>
      <c r="I2" s="761" t="s">
        <v>588</v>
      </c>
      <c r="J2" s="761"/>
      <c r="K2" s="761"/>
      <c r="L2" s="761"/>
      <c r="M2" s="761"/>
    </row>
    <row r="4" spans="1:13" x14ac:dyDescent="0.2">
      <c r="B4" s="264" t="s">
        <v>580</v>
      </c>
      <c r="C4" s="623">
        <v>0.1535</v>
      </c>
      <c r="D4" s="624"/>
      <c r="E4" s="623" t="s">
        <v>581</v>
      </c>
      <c r="F4" s="625">
        <v>5.23</v>
      </c>
      <c r="I4" s="264" t="s">
        <v>580</v>
      </c>
      <c r="J4" s="623">
        <v>0.1542</v>
      </c>
      <c r="K4" s="624"/>
      <c r="L4" s="623" t="s">
        <v>581</v>
      </c>
      <c r="M4" s="625">
        <v>4.5999999999999996</v>
      </c>
    </row>
    <row r="5" spans="1:13" x14ac:dyDescent="0.2">
      <c r="B5" s="264" t="s">
        <v>419</v>
      </c>
      <c r="C5" s="623">
        <v>0.2213</v>
      </c>
      <c r="D5" s="624"/>
      <c r="E5" s="623" t="s">
        <v>582</v>
      </c>
      <c r="F5" s="625">
        <v>5.21</v>
      </c>
      <c r="I5" s="264" t="s">
        <v>419</v>
      </c>
      <c r="J5" s="623">
        <v>0.22320000000000001</v>
      </c>
      <c r="K5" s="624"/>
      <c r="L5" s="623" t="s">
        <v>582</v>
      </c>
      <c r="M5" s="625">
        <v>3.44</v>
      </c>
    </row>
    <row r="8" spans="1:13" x14ac:dyDescent="0.2">
      <c r="B8" s="328" t="s">
        <v>80</v>
      </c>
      <c r="C8" s="328">
        <v>2025</v>
      </c>
      <c r="D8" s="328">
        <v>2030</v>
      </c>
      <c r="E8" s="328">
        <v>2035</v>
      </c>
      <c r="F8" s="328">
        <v>2037</v>
      </c>
      <c r="I8" s="328" t="s">
        <v>80</v>
      </c>
      <c r="J8" s="328">
        <v>2025</v>
      </c>
      <c r="K8" s="328">
        <v>2030</v>
      </c>
      <c r="L8" s="328">
        <v>2035</v>
      </c>
      <c r="M8" s="328">
        <v>2037</v>
      </c>
    </row>
    <row r="9" spans="1:13" x14ac:dyDescent="0.2">
      <c r="B9" s="270" t="s">
        <v>8</v>
      </c>
      <c r="C9" s="271">
        <v>273.75443200000001</v>
      </c>
      <c r="D9" s="271">
        <v>371.52387199999998</v>
      </c>
      <c r="E9" s="271">
        <v>371.52387199999998</v>
      </c>
      <c r="F9" s="271">
        <v>371.52387199999998</v>
      </c>
      <c r="I9" s="270" t="s">
        <v>8</v>
      </c>
      <c r="J9" s="271">
        <v>273.75443200000001</v>
      </c>
      <c r="K9" s="271">
        <v>371.52387199999998</v>
      </c>
      <c r="L9" s="271">
        <v>371.52387199999998</v>
      </c>
      <c r="M9" s="271">
        <v>363.71073541796875</v>
      </c>
    </row>
    <row r="10" spans="1:13" x14ac:dyDescent="0.2">
      <c r="B10" s="270" t="s">
        <v>9</v>
      </c>
      <c r="C10" s="271">
        <v>149.69814407361562</v>
      </c>
      <c r="D10" s="271">
        <v>187.44772901231767</v>
      </c>
      <c r="E10" s="271">
        <v>187.44772901231767</v>
      </c>
      <c r="F10" s="271">
        <v>187.44772901231767</v>
      </c>
      <c r="I10" s="270" t="s">
        <v>9</v>
      </c>
      <c r="J10" s="271">
        <v>141.49236889471825</v>
      </c>
      <c r="K10" s="271">
        <v>176.81494572146676</v>
      </c>
      <c r="L10" s="271">
        <v>176.81494572146676</v>
      </c>
      <c r="M10" s="271">
        <v>176.81494572146676</v>
      </c>
    </row>
    <row r="11" spans="1:13" x14ac:dyDescent="0.2">
      <c r="B11" s="270" t="s">
        <v>353</v>
      </c>
      <c r="C11" s="271">
        <v>124.05628792638439</v>
      </c>
      <c r="D11" s="271">
        <v>184.07614298768232</v>
      </c>
      <c r="E11" s="271">
        <v>184.07614298768232</v>
      </c>
      <c r="F11" s="271">
        <v>184.07614298768232</v>
      </c>
      <c r="I11" s="270" t="s">
        <v>353</v>
      </c>
      <c r="J11" s="271">
        <v>132.26206310528175</v>
      </c>
      <c r="K11" s="271">
        <v>194.70892627853323</v>
      </c>
      <c r="L11" s="271">
        <v>194.70892627853323</v>
      </c>
      <c r="M11" s="271">
        <v>186.89578969650199</v>
      </c>
    </row>
    <row r="12" spans="1:13" x14ac:dyDescent="0.2">
      <c r="B12" s="264" t="s">
        <v>584</v>
      </c>
      <c r="C12" s="626">
        <f>C11/C9</f>
        <v>0.45316631778361266</v>
      </c>
      <c r="D12" s="626">
        <f>D11/D9</f>
        <v>0.49546249073244564</v>
      </c>
      <c r="E12" s="626">
        <f>E11/E9</f>
        <v>0.49546249073244564</v>
      </c>
      <c r="F12" s="626">
        <f>F11/F9</f>
        <v>0.49546249073244564</v>
      </c>
      <c r="I12" s="264" t="s">
        <v>584</v>
      </c>
      <c r="J12" s="626">
        <f>J11/J9</f>
        <v>0.48314126693401532</v>
      </c>
      <c r="K12" s="626">
        <f>K11/K9</f>
        <v>0.52408187186026434</v>
      </c>
      <c r="L12" s="626">
        <f>L11/L9</f>
        <v>0.52408187186026434</v>
      </c>
      <c r="M12" s="626">
        <f>M11/M9</f>
        <v>0.51385832612756199</v>
      </c>
    </row>
    <row r="13" spans="1:13" x14ac:dyDescent="0.2">
      <c r="B13" s="264" t="s">
        <v>130</v>
      </c>
      <c r="C13" s="271">
        <v>43.164046586474889</v>
      </c>
      <c r="D13" s="271">
        <v>129.96525890176821</v>
      </c>
      <c r="E13" s="271">
        <v>146.18465549203304</v>
      </c>
      <c r="F13" s="271">
        <v>146.18465549203304</v>
      </c>
      <c r="I13" s="264" t="s">
        <v>130</v>
      </c>
      <c r="J13" s="271">
        <v>47.344831633553063</v>
      </c>
      <c r="K13" s="271">
        <v>137.92249635002372</v>
      </c>
      <c r="L13" s="271">
        <v>154.95286276980181</v>
      </c>
      <c r="M13" s="271">
        <v>147.16103474208521</v>
      </c>
    </row>
    <row r="14" spans="1:13" x14ac:dyDescent="0.2">
      <c r="B14" s="264" t="s">
        <v>585</v>
      </c>
      <c r="C14" s="626">
        <f>C13/C9</f>
        <v>0.15767432976747162</v>
      </c>
      <c r="D14" s="626">
        <f>D13/D9</f>
        <v>0.34981671084050342</v>
      </c>
      <c r="E14" s="626">
        <f>E13/E9</f>
        <v>0.39347311575185417</v>
      </c>
      <c r="F14" s="626">
        <f>F13/F9</f>
        <v>0.39347311575185417</v>
      </c>
      <c r="I14" s="264" t="s">
        <v>585</v>
      </c>
      <c r="J14" s="626">
        <f>J13/J9</f>
        <v>0.17294635665863142</v>
      </c>
      <c r="K14" s="626">
        <f>K13/K9</f>
        <v>0.37123454707648967</v>
      </c>
      <c r="L14" s="626">
        <f>L13/L9</f>
        <v>0.41707377223340797</v>
      </c>
      <c r="M14" s="626">
        <f>M13/M9</f>
        <v>0.4046100937135409</v>
      </c>
    </row>
    <row r="15" spans="1:13" x14ac:dyDescent="0.2">
      <c r="B15" s="264" t="s">
        <v>357</v>
      </c>
      <c r="C15" s="271">
        <v>17.521895211384095</v>
      </c>
      <c r="D15" s="271">
        <v>66.378166180369035</v>
      </c>
      <c r="E15" s="271">
        <v>75.049832836302002</v>
      </c>
      <c r="F15" s="271">
        <v>73.375574668372039</v>
      </c>
      <c r="I15" s="264" t="s">
        <v>357</v>
      </c>
      <c r="J15" s="552">
        <v>19.72331193086762</v>
      </c>
      <c r="K15" s="271">
        <v>70.653232574226962</v>
      </c>
      <c r="L15" s="271">
        <v>79.756630130335324</v>
      </c>
      <c r="M15" s="271">
        <v>72.936827029312994</v>
      </c>
    </row>
    <row r="16" spans="1:13" x14ac:dyDescent="0.2">
      <c r="B16" s="264" t="s">
        <v>586</v>
      </c>
      <c r="C16" s="626">
        <f>C15/C9</f>
        <v>6.4005886894222389E-2</v>
      </c>
      <c r="D16" s="626">
        <f>D15/D9</f>
        <v>0.17866460591896779</v>
      </c>
      <c r="E16" s="626">
        <f>E15/E9</f>
        <v>0.20200541201374539</v>
      </c>
      <c r="F16" s="626">
        <f>F15/F9</f>
        <v>0.19749895013037558</v>
      </c>
      <c r="I16" s="264" t="s">
        <v>586</v>
      </c>
      <c r="J16" s="626">
        <f>J15/J9</f>
        <v>7.2047461612850236E-2</v>
      </c>
      <c r="K16" s="626">
        <f>K15/K9</f>
        <v>0.19017144764852947</v>
      </c>
      <c r="L16" s="626">
        <f>L15/L9</f>
        <v>0.21467430800876056</v>
      </c>
      <c r="M16" s="626">
        <f>M15/M9</f>
        <v>0.2005352603779911</v>
      </c>
    </row>
    <row r="19" spans="1:13" ht="15" x14ac:dyDescent="0.25">
      <c r="A19" s="622" t="s">
        <v>589</v>
      </c>
      <c r="B19" s="761" t="s">
        <v>590</v>
      </c>
      <c r="C19" s="761"/>
      <c r="D19" s="761"/>
      <c r="E19" s="761"/>
      <c r="F19" s="761"/>
      <c r="H19" s="622" t="s">
        <v>601</v>
      </c>
      <c r="I19" s="761" t="s">
        <v>600</v>
      </c>
      <c r="J19" s="761"/>
      <c r="K19" s="761"/>
      <c r="L19" s="761"/>
      <c r="M19" s="761"/>
    </row>
    <row r="21" spans="1:13" x14ac:dyDescent="0.2">
      <c r="B21" s="264" t="s">
        <v>580</v>
      </c>
      <c r="C21" s="623">
        <v>0.1971</v>
      </c>
      <c r="D21" s="624"/>
      <c r="E21" s="623" t="s">
        <v>581</v>
      </c>
      <c r="F21" s="625">
        <v>4.25</v>
      </c>
      <c r="I21" s="264" t="s">
        <v>580</v>
      </c>
      <c r="J21" s="623">
        <v>0.41870000000000002</v>
      </c>
      <c r="K21" s="624"/>
      <c r="L21" s="623" t="s">
        <v>581</v>
      </c>
      <c r="M21" s="625">
        <v>2.1</v>
      </c>
    </row>
    <row r="22" spans="1:13" x14ac:dyDescent="0.2">
      <c r="B22" s="264" t="s">
        <v>419</v>
      </c>
      <c r="C22" s="623">
        <v>0.31519999999999998</v>
      </c>
      <c r="D22" s="624"/>
      <c r="E22" s="623" t="s">
        <v>582</v>
      </c>
      <c r="F22" s="625">
        <v>3.11</v>
      </c>
      <c r="I22" s="264" t="s">
        <v>419</v>
      </c>
      <c r="J22" s="623">
        <v>0.80110000000000003</v>
      </c>
      <c r="K22" s="624"/>
      <c r="L22" s="623" t="s">
        <v>582</v>
      </c>
      <c r="M22" s="625">
        <v>0.91</v>
      </c>
    </row>
    <row r="25" spans="1:13" x14ac:dyDescent="0.2">
      <c r="B25" s="328" t="s">
        <v>80</v>
      </c>
      <c r="C25" s="328">
        <v>2025</v>
      </c>
      <c r="D25" s="328">
        <v>2030</v>
      </c>
      <c r="E25" s="328">
        <v>2035</v>
      </c>
      <c r="F25" s="328">
        <v>2037</v>
      </c>
      <c r="I25" s="328" t="s">
        <v>80</v>
      </c>
      <c r="J25" s="328">
        <v>2025</v>
      </c>
      <c r="K25" s="328">
        <v>2030</v>
      </c>
      <c r="L25" s="328">
        <v>2035</v>
      </c>
      <c r="M25" s="328">
        <v>2037</v>
      </c>
    </row>
    <row r="26" spans="1:13" x14ac:dyDescent="0.2">
      <c r="B26" s="270" t="s">
        <v>8</v>
      </c>
      <c r="C26" s="271">
        <v>301.12987520000001</v>
      </c>
      <c r="D26" s="271">
        <v>408.67625920000006</v>
      </c>
      <c r="E26" s="271">
        <v>399.00550325796883</v>
      </c>
      <c r="F26" s="271">
        <v>399.00550325796883</v>
      </c>
      <c r="I26" s="270" t="s">
        <v>8</v>
      </c>
      <c r="J26" s="271">
        <v>620.29890284128692</v>
      </c>
      <c r="K26" s="271">
        <v>823.1215688266235</v>
      </c>
      <c r="L26" s="271">
        <v>823.1215688266235</v>
      </c>
      <c r="M26" s="271">
        <v>823.1215688266235</v>
      </c>
    </row>
    <row r="27" spans="1:13" x14ac:dyDescent="0.2">
      <c r="B27" s="270" t="s">
        <v>9</v>
      </c>
      <c r="C27" s="271">
        <v>141.33558487517811</v>
      </c>
      <c r="D27" s="271">
        <v>176.66600090290359</v>
      </c>
      <c r="E27" s="271">
        <v>176.66600090290359</v>
      </c>
      <c r="F27" s="271">
        <v>176.66600090290359</v>
      </c>
      <c r="I27" s="270" t="s">
        <v>9</v>
      </c>
      <c r="J27" s="271">
        <v>239.35794801580309</v>
      </c>
      <c r="K27" s="271">
        <v>303.04483338063795</v>
      </c>
      <c r="L27" s="271">
        <v>303.04483338063795</v>
      </c>
      <c r="M27" s="271">
        <v>303.04483338063795</v>
      </c>
    </row>
    <row r="28" spans="1:13" x14ac:dyDescent="0.2">
      <c r="B28" s="270" t="s">
        <v>353</v>
      </c>
      <c r="C28" s="271">
        <v>159.7942903248219</v>
      </c>
      <c r="D28" s="271">
        <v>232.01025829709647</v>
      </c>
      <c r="E28" s="271">
        <v>222.33950235506524</v>
      </c>
      <c r="F28" s="271">
        <v>222.33950235506524</v>
      </c>
      <c r="I28" s="270" t="s">
        <v>353</v>
      </c>
      <c r="J28" s="271">
        <v>380.9409548254838</v>
      </c>
      <c r="K28" s="271">
        <v>520.07673544598561</v>
      </c>
      <c r="L28" s="271">
        <v>520.07673544598561</v>
      </c>
      <c r="M28" s="271">
        <v>520.07673544598561</v>
      </c>
    </row>
    <row r="29" spans="1:13" x14ac:dyDescent="0.2">
      <c r="B29" s="264" t="s">
        <v>584</v>
      </c>
      <c r="C29" s="626">
        <f>C28/C26</f>
        <v>0.5306490769761455</v>
      </c>
      <c r="D29" s="626">
        <f>D28/D26</f>
        <v>0.567711612980078</v>
      </c>
      <c r="E29" s="626">
        <f>E28/E26</f>
        <v>0.55723417481617088</v>
      </c>
      <c r="F29" s="626">
        <f>F28/F26</f>
        <v>0.55723417481617088</v>
      </c>
      <c r="I29" s="264" t="s">
        <v>584</v>
      </c>
      <c r="J29" s="626">
        <f>J28/J26</f>
        <v>0.61412482446862149</v>
      </c>
      <c r="K29" s="626">
        <f>K28/K26</f>
        <v>0.63183465862444299</v>
      </c>
      <c r="L29" s="626">
        <f>L28/L26</f>
        <v>0.63183465862444299</v>
      </c>
      <c r="M29" s="626">
        <f>M28/M26</f>
        <v>0.63183465862444299</v>
      </c>
    </row>
    <row r="30" spans="1:13" x14ac:dyDescent="0.2">
      <c r="B30" s="264" t="s">
        <v>130</v>
      </c>
      <c r="C30" s="271">
        <v>78.819808615313519</v>
      </c>
      <c r="D30" s="271">
        <v>177.78776228101248</v>
      </c>
      <c r="E30" s="271">
        <v>184.3627777181789</v>
      </c>
      <c r="F30" s="271">
        <v>184.3627777181789</v>
      </c>
      <c r="I30" s="264" t="s">
        <v>130</v>
      </c>
      <c r="J30" s="271">
        <v>299.16598622930701</v>
      </c>
      <c r="K30" s="271">
        <v>464.81889888703574</v>
      </c>
      <c r="L30" s="271">
        <v>481.03829547730061</v>
      </c>
      <c r="M30" s="271">
        <v>481.03829547730061</v>
      </c>
    </row>
    <row r="31" spans="1:13" x14ac:dyDescent="0.2">
      <c r="B31" s="264" t="s">
        <v>585</v>
      </c>
      <c r="C31" s="626">
        <f>C30/C26</f>
        <v>0.26174689098172055</v>
      </c>
      <c r="D31" s="626">
        <f>D30/D26</f>
        <v>0.4350332525531066</v>
      </c>
      <c r="E31" s="626">
        <f>E30/E26</f>
        <v>0.46205572658225452</v>
      </c>
      <c r="F31" s="626">
        <f>F30/F26</f>
        <v>0.46205572658225452</v>
      </c>
      <c r="I31" s="264" t="s">
        <v>585</v>
      </c>
      <c r="J31" s="626">
        <f>J30/J26</f>
        <v>0.48229327000091965</v>
      </c>
      <c r="K31" s="626">
        <f>K30/K26</f>
        <v>0.56470261075729622</v>
      </c>
      <c r="L31" s="626">
        <f>L30/L26</f>
        <v>0.58440735086438134</v>
      </c>
      <c r="M31" s="626">
        <f>M30/M26</f>
        <v>0.58440735086438134</v>
      </c>
    </row>
    <row r="32" spans="1:13" x14ac:dyDescent="0.2">
      <c r="B32" s="264" t="s">
        <v>357</v>
      </c>
      <c r="C32" s="271">
        <v>40.689369682112719</v>
      </c>
      <c r="D32" s="271">
        <v>97.450572305891612</v>
      </c>
      <c r="E32" s="271">
        <v>99.857206765109567</v>
      </c>
      <c r="F32" s="271">
        <v>98.182948597179603</v>
      </c>
      <c r="I32" s="264" t="s">
        <v>357</v>
      </c>
      <c r="J32" s="271">
        <v>183.75805685299491</v>
      </c>
      <c r="K32" s="271">
        <v>283.81975913700705</v>
      </c>
      <c r="L32" s="271">
        <v>292.49142579294005</v>
      </c>
      <c r="M32" s="271">
        <v>290.81716762501009</v>
      </c>
    </row>
    <row r="33" spans="2:13" x14ac:dyDescent="0.2">
      <c r="B33" s="264" t="s">
        <v>586</v>
      </c>
      <c r="C33" s="626">
        <f>C32/C26</f>
        <v>0.13512232771686386</v>
      </c>
      <c r="D33" s="626">
        <f>D32/D26</f>
        <v>0.23845420454972099</v>
      </c>
      <c r="E33" s="626">
        <f>E32/E26</f>
        <v>0.25026523681942536</v>
      </c>
      <c r="F33" s="626">
        <f>F32/F26</f>
        <v>0.24606915893513737</v>
      </c>
      <c r="I33" s="264" t="s">
        <v>586</v>
      </c>
      <c r="J33" s="626">
        <f>J32/J26</f>
        <v>0.29624114440842764</v>
      </c>
      <c r="K33" s="626">
        <f>K32/K26</f>
        <v>0.34480904144159152</v>
      </c>
      <c r="L33" s="626">
        <f>L32/L26</f>
        <v>0.35534413976041535</v>
      </c>
      <c r="M33" s="626">
        <f>M32/M26</f>
        <v>0.35331010465389195</v>
      </c>
    </row>
  </sheetData>
  <mergeCells count="4">
    <mergeCell ref="B2:F2"/>
    <mergeCell ref="I2:M2"/>
    <mergeCell ref="B19:F19"/>
    <mergeCell ref="I19:M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U56"/>
  <sheetViews>
    <sheetView showGridLines="0" zoomScale="90" zoomScaleNormal="90" workbookViewId="0">
      <selection activeCell="I57" sqref="I57"/>
    </sheetView>
  </sheetViews>
  <sheetFormatPr defaultRowHeight="15" x14ac:dyDescent="0.25"/>
  <cols>
    <col min="21" max="22" width="0" hidden="1" customWidth="1"/>
  </cols>
  <sheetData>
    <row r="1" spans="7:21" x14ac:dyDescent="0.25">
      <c r="G1" t="s">
        <v>249</v>
      </c>
    </row>
    <row r="5" spans="7:21" x14ac:dyDescent="0.25">
      <c r="U5" s="208" t="s">
        <v>250</v>
      </c>
    </row>
    <row r="16" spans="7:21" x14ac:dyDescent="0.25">
      <c r="U16" s="208" t="s">
        <v>251</v>
      </c>
    </row>
    <row r="31" spans="21:21" x14ac:dyDescent="0.25">
      <c r="U31" s="208" t="s">
        <v>252</v>
      </c>
    </row>
    <row r="32" spans="21:21" x14ac:dyDescent="0.25">
      <c r="U32" t="s">
        <v>253</v>
      </c>
    </row>
    <row r="33" spans="21:21" x14ac:dyDescent="0.25">
      <c r="U33" t="s">
        <v>254</v>
      </c>
    </row>
    <row r="34" spans="21:21" x14ac:dyDescent="0.25">
      <c r="U34" t="s">
        <v>255</v>
      </c>
    </row>
    <row r="36" spans="21:21" x14ac:dyDescent="0.25">
      <c r="U36" t="s">
        <v>256</v>
      </c>
    </row>
    <row r="39" spans="21:21" x14ac:dyDescent="0.25">
      <c r="U39" t="s">
        <v>257</v>
      </c>
    </row>
    <row r="43" spans="21:21" x14ac:dyDescent="0.25">
      <c r="U43" t="s">
        <v>258</v>
      </c>
    </row>
    <row r="47" spans="21:21" x14ac:dyDescent="0.25">
      <c r="U47" t="s">
        <v>259</v>
      </c>
    </row>
    <row r="48" spans="21:21" x14ac:dyDescent="0.25">
      <c r="U48" t="s">
        <v>260</v>
      </c>
    </row>
    <row r="49" spans="21:21" x14ac:dyDescent="0.25">
      <c r="U49" t="s">
        <v>261</v>
      </c>
    </row>
    <row r="52" spans="21:21" x14ac:dyDescent="0.25">
      <c r="U52" t="s">
        <v>262</v>
      </c>
    </row>
    <row r="53" spans="21:21" x14ac:dyDescent="0.25">
      <c r="U53" t="s">
        <v>263</v>
      </c>
    </row>
    <row r="56" spans="21:21" x14ac:dyDescent="0.25">
      <c r="U56" t="s">
        <v>264</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3"/>
  <sheetViews>
    <sheetView showGridLines="0" topLeftCell="B29" zoomScaleNormal="100" workbookViewId="0">
      <selection activeCell="D35" sqref="D35"/>
    </sheetView>
  </sheetViews>
  <sheetFormatPr defaultColWidth="9.140625" defaultRowHeight="12.75" x14ac:dyDescent="0.2"/>
  <cols>
    <col min="1" max="1" width="34.85546875" style="184" bestFit="1" customWidth="1"/>
    <col min="2" max="2" width="50.85546875" style="184" customWidth="1"/>
    <col min="3" max="3" width="43.42578125" style="184" bestFit="1" customWidth="1"/>
    <col min="4" max="4" width="26.85546875" style="184" bestFit="1" customWidth="1"/>
    <col min="5" max="5" width="20" style="184" bestFit="1" customWidth="1"/>
    <col min="6" max="6" width="25.7109375" style="184" customWidth="1"/>
    <col min="7" max="7" width="30.7109375" style="185" bestFit="1" customWidth="1"/>
    <col min="8" max="8" width="17.42578125" style="185" bestFit="1" customWidth="1"/>
    <col min="9" max="16384" width="9.140625" style="185"/>
  </cols>
  <sheetData>
    <row r="1" spans="1:44" x14ac:dyDescent="0.2">
      <c r="A1" s="694" t="s">
        <v>197</v>
      </c>
      <c r="B1" s="694"/>
      <c r="C1" s="694"/>
      <c r="D1" s="694"/>
      <c r="E1" s="694"/>
      <c r="F1" s="694"/>
    </row>
    <row r="2" spans="1:44" ht="38.25" customHeight="1" x14ac:dyDescent="0.2">
      <c r="A2" s="151" t="s">
        <v>206</v>
      </c>
      <c r="B2" s="151" t="s">
        <v>204</v>
      </c>
      <c r="C2" s="151" t="s">
        <v>198</v>
      </c>
      <c r="D2" s="151" t="s">
        <v>203</v>
      </c>
      <c r="E2" s="151" t="s">
        <v>45</v>
      </c>
      <c r="F2" s="151" t="s">
        <v>207</v>
      </c>
      <c r="G2" s="192"/>
    </row>
    <row r="3" spans="1:44" ht="38.25" customHeight="1" x14ac:dyDescent="0.2">
      <c r="A3" s="699" t="s">
        <v>134</v>
      </c>
      <c r="B3" s="698">
        <v>82500</v>
      </c>
      <c r="C3" s="264" t="s">
        <v>136</v>
      </c>
      <c r="D3" s="264">
        <v>0.28749999999999998</v>
      </c>
      <c r="E3" s="264" t="s">
        <v>46</v>
      </c>
      <c r="F3" s="605">
        <f>D3*B3</f>
        <v>23718.749999999996</v>
      </c>
    </row>
    <row r="4" spans="1:44" ht="38.25" customHeight="1" x14ac:dyDescent="0.2">
      <c r="A4" s="699"/>
      <c r="B4" s="698"/>
      <c r="C4" s="264" t="s">
        <v>205</v>
      </c>
      <c r="D4" s="264">
        <v>8.5000000000000006E-5</v>
      </c>
      <c r="E4" s="264" t="s">
        <v>199</v>
      </c>
      <c r="F4" s="605">
        <f>D4*B3</f>
        <v>7.0125000000000002</v>
      </c>
    </row>
    <row r="5" spans="1:44" ht="38.25" customHeight="1" x14ac:dyDescent="0.2">
      <c r="A5" s="699" t="s">
        <v>177</v>
      </c>
      <c r="B5" s="698">
        <v>100000</v>
      </c>
      <c r="C5" s="264" t="s">
        <v>187</v>
      </c>
      <c r="D5" s="264">
        <v>0.78700000000000003</v>
      </c>
      <c r="E5" s="264" t="s">
        <v>46</v>
      </c>
      <c r="F5" s="264">
        <f>D5*B5</f>
        <v>78700</v>
      </c>
    </row>
    <row r="6" spans="1:44" ht="38.25" customHeight="1" x14ac:dyDescent="0.2">
      <c r="A6" s="699"/>
      <c r="B6" s="698"/>
      <c r="C6" s="264" t="s">
        <v>136</v>
      </c>
      <c r="D6" s="264">
        <v>0.21299999999999999</v>
      </c>
      <c r="E6" s="264" t="s">
        <v>46</v>
      </c>
      <c r="F6" s="264">
        <f>D6*B5</f>
        <v>21300</v>
      </c>
    </row>
    <row r="7" spans="1:44" x14ac:dyDescent="0.2">
      <c r="A7" s="694" t="s">
        <v>329</v>
      </c>
      <c r="B7" s="694"/>
      <c r="C7" s="694"/>
      <c r="D7" s="694"/>
      <c r="E7" s="694"/>
      <c r="F7" s="694"/>
      <c r="G7" s="169"/>
    </row>
    <row r="8" spans="1:44" s="187" customFormat="1" x14ac:dyDescent="0.2">
      <c r="A8" s="151" t="s">
        <v>97</v>
      </c>
      <c r="B8" s="151" t="s">
        <v>98</v>
      </c>
      <c r="C8" s="151" t="s">
        <v>45</v>
      </c>
      <c r="D8" s="151" t="s">
        <v>248</v>
      </c>
      <c r="E8" s="151" t="s">
        <v>99</v>
      </c>
      <c r="F8" s="607" t="s">
        <v>1</v>
      </c>
      <c r="G8" s="606" t="s">
        <v>216</v>
      </c>
      <c r="H8" s="186"/>
      <c r="I8" s="186"/>
      <c r="J8" s="186"/>
      <c r="K8" s="186"/>
      <c r="L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row>
    <row r="9" spans="1:44" s="187" customFormat="1" x14ac:dyDescent="0.2">
      <c r="A9" s="699" t="s">
        <v>102</v>
      </c>
      <c r="B9" s="264" t="s">
        <v>101</v>
      </c>
      <c r="C9" s="608" t="s">
        <v>219</v>
      </c>
      <c r="D9" s="270"/>
      <c r="E9" s="264" t="s">
        <v>218</v>
      </c>
      <c r="F9" s="609" t="s">
        <v>136</v>
      </c>
      <c r="G9" s="618">
        <v>26536.75</v>
      </c>
      <c r="H9" s="186"/>
      <c r="I9" s="618">
        <v>26536.75</v>
      </c>
      <c r="J9" s="186">
        <f>I9*1.1</f>
        <v>29190.425000000003</v>
      </c>
      <c r="K9" s="186">
        <v>26536.75</v>
      </c>
      <c r="L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row>
    <row r="10" spans="1:44" s="187" customFormat="1" x14ac:dyDescent="0.2">
      <c r="A10" s="699"/>
      <c r="B10" s="264" t="s">
        <v>101</v>
      </c>
      <c r="C10" s="608" t="s">
        <v>219</v>
      </c>
      <c r="D10" s="270"/>
      <c r="E10" s="264" t="s">
        <v>220</v>
      </c>
      <c r="F10" s="609" t="s">
        <v>136</v>
      </c>
      <c r="G10" s="619">
        <v>29242.25</v>
      </c>
      <c r="H10" s="186"/>
      <c r="I10" s="186"/>
      <c r="J10" s="186"/>
      <c r="K10" s="186">
        <v>29242.25</v>
      </c>
      <c r="L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row>
    <row r="11" spans="1:44" s="187" customFormat="1" x14ac:dyDescent="0.2">
      <c r="A11" s="610" t="s">
        <v>137</v>
      </c>
      <c r="B11" s="270" t="s">
        <v>103</v>
      </c>
      <c r="C11" s="270" t="s">
        <v>104</v>
      </c>
      <c r="D11" s="270"/>
      <c r="E11" s="264" t="s">
        <v>138</v>
      </c>
      <c r="F11" s="609" t="s">
        <v>134</v>
      </c>
      <c r="G11" s="286">
        <f t="shared" ref="G11" si="0">100000</f>
        <v>100000</v>
      </c>
      <c r="H11" s="186"/>
      <c r="I11" s="186"/>
      <c r="J11" s="186"/>
      <c r="K11" s="186"/>
      <c r="L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row>
    <row r="12" spans="1:44" s="187" customFormat="1" ht="15" customHeight="1" x14ac:dyDescent="0.2">
      <c r="A12" s="699" t="s">
        <v>140</v>
      </c>
      <c r="B12" s="270"/>
      <c r="C12" s="270"/>
      <c r="D12" s="611"/>
      <c r="E12" s="701" t="s">
        <v>245</v>
      </c>
      <c r="F12" s="612"/>
      <c r="G12" s="287"/>
      <c r="H12" s="186"/>
      <c r="J12" s="186"/>
      <c r="K12" s="186"/>
    </row>
    <row r="13" spans="1:44" s="187" customFormat="1" x14ac:dyDescent="0.2">
      <c r="A13" s="699"/>
      <c r="B13" s="270" t="s">
        <v>101</v>
      </c>
      <c r="C13" s="270" t="s">
        <v>104</v>
      </c>
      <c r="D13" s="328">
        <v>132.69999999999999</v>
      </c>
      <c r="E13" s="701"/>
      <c r="F13" s="612" t="s">
        <v>41</v>
      </c>
      <c r="G13" s="176"/>
      <c r="H13" s="186"/>
      <c r="J13" s="186"/>
      <c r="K13" s="186"/>
    </row>
    <row r="14" spans="1:44" s="187" customFormat="1" x14ac:dyDescent="0.2">
      <c r="A14" s="699"/>
      <c r="B14" s="270"/>
      <c r="C14" s="270"/>
      <c r="D14" s="613"/>
      <c r="E14" s="701"/>
      <c r="F14" s="612"/>
      <c r="G14" s="176"/>
      <c r="H14" s="186"/>
      <c r="J14" s="186"/>
      <c r="K14" s="186"/>
    </row>
    <row r="15" spans="1:44" s="187" customFormat="1" ht="24.75" customHeight="1" x14ac:dyDescent="0.2">
      <c r="A15" s="699"/>
      <c r="B15" s="264"/>
      <c r="C15" s="264"/>
      <c r="D15" s="614"/>
      <c r="E15" s="701"/>
      <c r="F15" s="612"/>
      <c r="G15" s="176"/>
      <c r="H15" s="186"/>
      <c r="J15" s="186"/>
      <c r="K15" s="186"/>
    </row>
    <row r="16" spans="1:44" s="187" customFormat="1" x14ac:dyDescent="0.2">
      <c r="A16" s="699"/>
      <c r="B16" s="346" t="s">
        <v>101</v>
      </c>
      <c r="C16" s="346" t="s">
        <v>447</v>
      </c>
      <c r="D16" s="346">
        <v>8.5000000000000006E-2</v>
      </c>
      <c r="E16" s="701"/>
      <c r="F16" s="612" t="s">
        <v>448</v>
      </c>
      <c r="G16" s="176"/>
      <c r="H16" s="186"/>
      <c r="J16" s="617">
        <v>50</v>
      </c>
      <c r="K16" s="617" t="s">
        <v>443</v>
      </c>
    </row>
    <row r="17" spans="1:45" s="187" customFormat="1" ht="12" customHeight="1" x14ac:dyDescent="0.2">
      <c r="A17" s="699"/>
      <c r="B17" s="270"/>
      <c r="C17" s="270"/>
      <c r="D17" s="270"/>
      <c r="E17" s="701"/>
      <c r="F17" s="612"/>
      <c r="G17" s="176"/>
      <c r="H17" s="186"/>
      <c r="J17" s="617"/>
      <c r="K17" s="617"/>
    </row>
    <row r="18" spans="1:45" s="187" customFormat="1" x14ac:dyDescent="0.2">
      <c r="A18" s="699"/>
      <c r="B18" s="270" t="s">
        <v>101</v>
      </c>
      <c r="C18" s="270" t="s">
        <v>46</v>
      </c>
      <c r="D18" s="346">
        <v>1.07</v>
      </c>
      <c r="E18" s="701"/>
      <c r="F18" s="615" t="s">
        <v>105</v>
      </c>
      <c r="G18" s="176"/>
      <c r="H18" s="186"/>
      <c r="J18" s="617">
        <v>250</v>
      </c>
      <c r="K18" s="617" t="s">
        <v>443</v>
      </c>
    </row>
    <row r="19" spans="1:45" s="187" customFormat="1" x14ac:dyDescent="0.2">
      <c r="A19" s="699"/>
      <c r="B19" s="604"/>
      <c r="C19" s="270"/>
      <c r="D19" s="613"/>
      <c r="E19" s="701"/>
      <c r="F19" s="616"/>
      <c r="G19" s="175"/>
      <c r="H19" s="602"/>
      <c r="I19" s="186"/>
      <c r="J19" s="186"/>
      <c r="K19" s="186"/>
    </row>
    <row r="20" spans="1:45" s="187" customFormat="1" ht="29.45" customHeight="1" x14ac:dyDescent="0.2">
      <c r="A20" s="699" t="s">
        <v>231</v>
      </c>
      <c r="B20" s="270"/>
      <c r="C20" s="270"/>
      <c r="D20" s="613"/>
      <c r="E20" s="698" t="s">
        <v>245</v>
      </c>
      <c r="F20" s="612"/>
      <c r="G20" s="287"/>
      <c r="H20" s="186"/>
      <c r="I20" s="186"/>
      <c r="J20" s="186"/>
      <c r="K20" s="186"/>
    </row>
    <row r="21" spans="1:45" s="187" customFormat="1" x14ac:dyDescent="0.2">
      <c r="A21" s="699"/>
      <c r="B21" s="270" t="s">
        <v>101</v>
      </c>
      <c r="C21" s="270" t="s">
        <v>104</v>
      </c>
      <c r="D21" s="346">
        <v>15</v>
      </c>
      <c r="E21" s="698"/>
      <c r="F21" s="612" t="s">
        <v>41</v>
      </c>
      <c r="G21" s="176"/>
      <c r="H21" s="186"/>
    </row>
    <row r="22" spans="1:45" s="187" customFormat="1" x14ac:dyDescent="0.2">
      <c r="A22" s="699"/>
      <c r="B22" s="270"/>
      <c r="C22" s="270"/>
      <c r="D22" s="613"/>
      <c r="E22" s="698"/>
      <c r="F22" s="612"/>
      <c r="G22" s="176"/>
      <c r="H22" s="186"/>
    </row>
    <row r="23" spans="1:45" s="187" customFormat="1" x14ac:dyDescent="0.2">
      <c r="A23" s="699"/>
      <c r="B23" s="264"/>
      <c r="C23" s="264"/>
      <c r="D23" s="614"/>
      <c r="E23" s="698"/>
      <c r="F23" s="612"/>
      <c r="G23" s="176"/>
      <c r="H23" s="186"/>
    </row>
    <row r="24" spans="1:45" s="187" customFormat="1" x14ac:dyDescent="0.2">
      <c r="A24" s="699"/>
      <c r="B24" s="270"/>
      <c r="C24" s="270"/>
      <c r="D24" s="613"/>
      <c r="E24" s="698"/>
      <c r="F24" s="612"/>
      <c r="G24" s="176"/>
    </row>
    <row r="25" spans="1:45" s="187" customFormat="1" x14ac:dyDescent="0.2">
      <c r="A25" s="699"/>
      <c r="B25" s="270"/>
      <c r="C25" s="270"/>
      <c r="D25" s="270"/>
      <c r="E25" s="698"/>
      <c r="F25" s="612"/>
      <c r="G25" s="176"/>
      <c r="H25" s="186"/>
    </row>
    <row r="26" spans="1:45" x14ac:dyDescent="0.2">
      <c r="A26" s="699"/>
      <c r="B26" s="270"/>
      <c r="C26" s="270"/>
      <c r="D26" s="346"/>
      <c r="E26" s="698"/>
      <c r="F26" s="615"/>
      <c r="G26" s="176"/>
      <c r="H26" s="186"/>
    </row>
    <row r="27" spans="1:45" s="187" customFormat="1" x14ac:dyDescent="0.2">
      <c r="A27" s="699"/>
      <c r="B27" s="270"/>
      <c r="C27" s="270"/>
      <c r="D27" s="270"/>
      <c r="E27" s="698"/>
      <c r="F27" s="616"/>
      <c r="G27" s="288"/>
      <c r="H27" s="186"/>
    </row>
    <row r="28" spans="1:45" s="187" customFormat="1" ht="32.25" customHeight="1" x14ac:dyDescent="0.2">
      <c r="A28" s="381" t="s">
        <v>449</v>
      </c>
      <c r="B28" s="348" t="s">
        <v>101</v>
      </c>
      <c r="C28" s="348" t="s">
        <v>450</v>
      </c>
      <c r="D28" s="388">
        <v>3000</v>
      </c>
      <c r="E28" s="347"/>
      <c r="F28" s="609" t="s">
        <v>236</v>
      </c>
      <c r="G28" s="193">
        <f>$D$28*B3</f>
        <v>247500000</v>
      </c>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8"/>
    </row>
    <row r="29" spans="1:45" s="187" customFormat="1" ht="32.25" customHeight="1" x14ac:dyDescent="0.2">
      <c r="A29" s="381" t="s">
        <v>451</v>
      </c>
      <c r="B29" s="348" t="s">
        <v>101</v>
      </c>
      <c r="C29" s="348" t="s">
        <v>452</v>
      </c>
      <c r="D29" s="388">
        <v>5</v>
      </c>
      <c r="E29" s="347"/>
      <c r="F29" s="609" t="s">
        <v>47</v>
      </c>
      <c r="G29" s="193">
        <v>500000</v>
      </c>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8"/>
    </row>
    <row r="30" spans="1:45" s="187" customFormat="1" x14ac:dyDescent="0.2">
      <c r="A30" s="1"/>
      <c r="B30" s="1"/>
      <c r="C30" s="1"/>
      <c r="D30" s="1"/>
      <c r="E30" s="1"/>
      <c r="F30" s="29"/>
      <c r="H30" s="186"/>
    </row>
    <row r="31" spans="1:45" s="187" customFormat="1" x14ac:dyDescent="0.2">
      <c r="A31" s="90"/>
      <c r="B31" s="90"/>
      <c r="C31" s="90"/>
      <c r="D31" s="90"/>
      <c r="E31" s="90"/>
      <c r="F31" s="90"/>
      <c r="H31" s="186"/>
    </row>
    <row r="32" spans="1:45" ht="22.5" customHeight="1" x14ac:dyDescent="0.2">
      <c r="A32" s="695" t="s">
        <v>224</v>
      </c>
      <c r="B32" s="695"/>
      <c r="C32" s="695"/>
      <c r="D32" s="695"/>
      <c r="E32" s="695"/>
    </row>
    <row r="33" spans="1:10" x14ac:dyDescent="0.2">
      <c r="A33" s="696" t="s">
        <v>212</v>
      </c>
      <c r="B33" s="697"/>
      <c r="C33" s="697"/>
      <c r="D33" s="697"/>
      <c r="E33" s="697"/>
      <c r="H33" s="683"/>
    </row>
    <row r="34" spans="1:10" x14ac:dyDescent="0.2">
      <c r="A34" s="151" t="s">
        <v>38</v>
      </c>
      <c r="B34" s="151" t="s">
        <v>52</v>
      </c>
      <c r="C34" s="151" t="s">
        <v>49</v>
      </c>
      <c r="D34" s="106" t="s">
        <v>50</v>
      </c>
      <c r="E34" s="151" t="s">
        <v>51</v>
      </c>
      <c r="F34" s="603">
        <v>24529.709929649995</v>
      </c>
      <c r="G34" s="683">
        <f>G35*1.1</f>
        <v>22717.200000000001</v>
      </c>
      <c r="H34" s="683"/>
    </row>
    <row r="35" spans="1:10" x14ac:dyDescent="0.2">
      <c r="A35" s="8">
        <v>1</v>
      </c>
      <c r="B35" s="36" t="s">
        <v>139</v>
      </c>
      <c r="C35" s="603">
        <v>20652</v>
      </c>
      <c r="D35" s="290">
        <f>B3-(D5*B5)</f>
        <v>3800</v>
      </c>
      <c r="E35" s="290">
        <f>(D35*C35)/10^7</f>
        <v>7.8477600000000001</v>
      </c>
      <c r="G35" s="603">
        <v>20652</v>
      </c>
      <c r="H35" s="683">
        <f>G35*1.1</f>
        <v>22717.200000000001</v>
      </c>
      <c r="J35" s="687">
        <f>(J37-C35)/C35</f>
        <v>0.18776437776728619</v>
      </c>
    </row>
    <row r="36" spans="1:10" ht="15" customHeight="1" x14ac:dyDescent="0.2">
      <c r="A36" s="695" t="s">
        <v>268</v>
      </c>
      <c r="B36" s="695"/>
      <c r="C36" s="695"/>
      <c r="D36" s="695"/>
      <c r="E36" s="695"/>
      <c r="F36" s="289">
        <v>87682</v>
      </c>
      <c r="H36" s="683"/>
      <c r="J36" s="186"/>
    </row>
    <row r="37" spans="1:10" x14ac:dyDescent="0.2">
      <c r="A37" s="696" t="s">
        <v>212</v>
      </c>
      <c r="B37" s="697"/>
      <c r="C37" s="697"/>
      <c r="D37" s="697"/>
      <c r="E37" s="697"/>
      <c r="G37" s="289">
        <v>38323</v>
      </c>
      <c r="H37" s="683">
        <f>G37*1.1</f>
        <v>42155.3</v>
      </c>
      <c r="J37" s="685">
        <v>24529.709929649995</v>
      </c>
    </row>
    <row r="38" spans="1:10" x14ac:dyDescent="0.2">
      <c r="A38" s="151" t="s">
        <v>38</v>
      </c>
      <c r="B38" s="151" t="s">
        <v>52</v>
      </c>
      <c r="C38" s="151" t="s">
        <v>49</v>
      </c>
      <c r="D38" s="106" t="s">
        <v>50</v>
      </c>
      <c r="E38" s="151" t="s">
        <v>51</v>
      </c>
      <c r="F38" s="185"/>
      <c r="G38" s="683">
        <f>G37*1.1</f>
        <v>42155.3</v>
      </c>
      <c r="H38" s="683">
        <v>18595.603153430679</v>
      </c>
      <c r="J38" s="186">
        <v>87682</v>
      </c>
    </row>
    <row r="39" spans="1:10" x14ac:dyDescent="0.2">
      <c r="A39" s="8">
        <v>1</v>
      </c>
      <c r="B39" s="36" t="s">
        <v>226</v>
      </c>
      <c r="C39" s="289">
        <v>38323</v>
      </c>
      <c r="D39" s="290">
        <f>B5</f>
        <v>100000</v>
      </c>
      <c r="E39" s="290">
        <f>(C39*D39)/10^7</f>
        <v>383.23</v>
      </c>
      <c r="F39" s="289"/>
      <c r="G39" s="185" t="s">
        <v>602</v>
      </c>
      <c r="H39" s="683">
        <f>H38*50%</f>
        <v>9297.8015767153393</v>
      </c>
      <c r="J39" s="686">
        <f>(J38-C39)/C39</f>
        <v>1.2879732797536727</v>
      </c>
    </row>
    <row r="40" spans="1:10" ht="18" customHeight="1" x14ac:dyDescent="0.2">
      <c r="A40" s="143"/>
      <c r="B40" s="143"/>
      <c r="C40" s="143"/>
      <c r="D40" s="143"/>
      <c r="E40" s="143"/>
      <c r="G40" s="683"/>
    </row>
    <row r="41" spans="1:10" x14ac:dyDescent="0.2">
      <c r="A41" s="700" t="s">
        <v>225</v>
      </c>
      <c r="B41" s="700"/>
      <c r="C41" s="700"/>
      <c r="D41" s="700"/>
      <c r="G41" s="683">
        <v>57000</v>
      </c>
      <c r="H41" s="683">
        <v>72000</v>
      </c>
    </row>
    <row r="42" spans="1:10" x14ac:dyDescent="0.2">
      <c r="A42" s="98" t="s">
        <v>26</v>
      </c>
      <c r="B42" s="99" t="s">
        <v>27</v>
      </c>
      <c r="C42" s="99" t="s">
        <v>36</v>
      </c>
      <c r="D42" s="100" t="s">
        <v>28</v>
      </c>
      <c r="G42" s="683">
        <v>18595.603153430679</v>
      </c>
      <c r="H42" s="688">
        <f>(H41-G41)/G41</f>
        <v>0.26315789473684209</v>
      </c>
    </row>
    <row r="43" spans="1:10" x14ac:dyDescent="0.2">
      <c r="A43" s="7" t="s">
        <v>29</v>
      </c>
      <c r="B43" s="13">
        <v>1</v>
      </c>
      <c r="C43" s="13">
        <v>35</v>
      </c>
      <c r="D43" s="13">
        <f t="shared" ref="D43:D48" si="1">C43*B43</f>
        <v>35</v>
      </c>
      <c r="G43" s="185">
        <f>G42*35%</f>
        <v>6508.4611037007371</v>
      </c>
    </row>
    <row r="44" spans="1:10" x14ac:dyDescent="0.2">
      <c r="A44" s="7" t="s">
        <v>30</v>
      </c>
      <c r="B44" s="13">
        <v>2</v>
      </c>
      <c r="C44" s="13">
        <v>25</v>
      </c>
      <c r="D44" s="13">
        <f t="shared" si="1"/>
        <v>50</v>
      </c>
      <c r="G44" s="683">
        <f>G43+G42</f>
        <v>25104.064257131417</v>
      </c>
    </row>
    <row r="45" spans="1:10" x14ac:dyDescent="0.2">
      <c r="A45" s="7" t="s">
        <v>31</v>
      </c>
      <c r="B45" s="13">
        <v>3</v>
      </c>
      <c r="C45" s="13">
        <v>20</v>
      </c>
      <c r="D45" s="13">
        <f t="shared" si="1"/>
        <v>60</v>
      </c>
    </row>
    <row r="46" spans="1:10" x14ac:dyDescent="0.2">
      <c r="A46" s="7" t="s">
        <v>32</v>
      </c>
      <c r="B46" s="13">
        <v>5</v>
      </c>
      <c r="C46" s="13">
        <v>8</v>
      </c>
      <c r="D46" s="13">
        <f t="shared" si="1"/>
        <v>40</v>
      </c>
    </row>
    <row r="47" spans="1:10" x14ac:dyDescent="0.2">
      <c r="A47" s="7" t="s">
        <v>33</v>
      </c>
      <c r="B47" s="13">
        <v>10</v>
      </c>
      <c r="C47" s="13">
        <v>6</v>
      </c>
      <c r="D47" s="13">
        <f t="shared" si="1"/>
        <v>60</v>
      </c>
    </row>
    <row r="48" spans="1:10" x14ac:dyDescent="0.2">
      <c r="A48" s="7" t="s">
        <v>34</v>
      </c>
      <c r="B48" s="13">
        <v>30</v>
      </c>
      <c r="C48" s="13">
        <v>3.5</v>
      </c>
      <c r="D48" s="13">
        <f t="shared" si="1"/>
        <v>105</v>
      </c>
    </row>
    <row r="49" spans="1:6" x14ac:dyDescent="0.2">
      <c r="A49" s="101" t="s">
        <v>47</v>
      </c>
      <c r="B49" s="102">
        <f>SUM(B43:B48)</f>
        <v>51</v>
      </c>
      <c r="C49" s="102"/>
      <c r="D49" s="102">
        <f>SUM(D43:D48)/100</f>
        <v>3.5</v>
      </c>
    </row>
    <row r="50" spans="1:6" s="209" customFormat="1" x14ac:dyDescent="0.2">
      <c r="A50" s="363" t="s">
        <v>454</v>
      </c>
      <c r="B50" s="206"/>
      <c r="C50" s="206"/>
      <c r="D50" s="206">
        <f>D49*0.25</f>
        <v>0.875</v>
      </c>
    </row>
    <row r="51" spans="1:6" s="358" customFormat="1" x14ac:dyDescent="0.2">
      <c r="A51" s="181"/>
      <c r="B51" s="181"/>
      <c r="C51" s="181"/>
      <c r="D51" s="181"/>
      <c r="E51" s="181"/>
      <c r="F51" s="181"/>
    </row>
    <row r="52" spans="1:6" s="358" customFormat="1" x14ac:dyDescent="0.2">
      <c r="A52" s="620" t="s">
        <v>498</v>
      </c>
      <c r="B52" s="621">
        <v>0.09</v>
      </c>
      <c r="C52" s="181"/>
      <c r="D52" s="181"/>
      <c r="E52" s="181"/>
      <c r="F52" s="181"/>
    </row>
    <row r="53" spans="1:6" s="358" customFormat="1" x14ac:dyDescent="0.2">
      <c r="A53" s="620" t="s">
        <v>499</v>
      </c>
      <c r="B53" s="621">
        <v>0.08</v>
      </c>
      <c r="C53" s="181"/>
      <c r="D53" s="181"/>
      <c r="E53" s="181"/>
      <c r="F53" s="181"/>
    </row>
  </sheetData>
  <mergeCells count="16">
    <mergeCell ref="A37:E37"/>
    <mergeCell ref="A41:D41"/>
    <mergeCell ref="A7:F7"/>
    <mergeCell ref="A9:A10"/>
    <mergeCell ref="A12:A19"/>
    <mergeCell ref="E12:E19"/>
    <mergeCell ref="A20:A27"/>
    <mergeCell ref="E20:E27"/>
    <mergeCell ref="A1:F1"/>
    <mergeCell ref="A32:E32"/>
    <mergeCell ref="A33:E33"/>
    <mergeCell ref="A36:E36"/>
    <mergeCell ref="B3:B4"/>
    <mergeCell ref="A3:A4"/>
    <mergeCell ref="A5:A6"/>
    <mergeCell ref="B5:B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S33"/>
  <sheetViews>
    <sheetView showGridLines="0" zoomScaleNormal="100" workbookViewId="0">
      <selection activeCell="D21" sqref="D21"/>
    </sheetView>
  </sheetViews>
  <sheetFormatPr defaultColWidth="9.140625" defaultRowHeight="15" x14ac:dyDescent="0.25"/>
  <cols>
    <col min="1" max="1" width="54.140625" style="92" customWidth="1"/>
    <col min="2" max="2" width="17.85546875" style="92" customWidth="1"/>
    <col min="3" max="3" width="18.140625" style="92" customWidth="1"/>
    <col min="4" max="4" width="13.140625" style="92" customWidth="1"/>
    <col min="5" max="5" width="15.140625" style="92" bestFit="1" customWidth="1"/>
    <col min="6" max="6" width="14.42578125" style="92" customWidth="1"/>
    <col min="7" max="7" width="12.28515625" style="92" bestFit="1" customWidth="1"/>
    <col min="8" max="18" width="11.5703125" style="92" bestFit="1" customWidth="1"/>
    <col min="19" max="19" width="15.7109375" style="546" customWidth="1"/>
    <col min="20" max="20" width="15.140625" style="546" customWidth="1"/>
    <col min="21" max="30" width="9.140625" style="546" customWidth="1"/>
    <col min="31" max="16384" width="9.140625" style="546"/>
  </cols>
  <sheetData>
    <row r="1" spans="1:19" x14ac:dyDescent="0.25">
      <c r="A1" s="702" t="s">
        <v>591</v>
      </c>
      <c r="B1" s="702"/>
      <c r="C1" s="702"/>
      <c r="D1" s="512" t="s">
        <v>39</v>
      </c>
      <c r="E1" s="513"/>
      <c r="F1" s="513"/>
      <c r="G1" s="513"/>
      <c r="H1" s="513"/>
      <c r="I1" s="513"/>
      <c r="J1" s="513"/>
      <c r="K1" s="513"/>
      <c r="L1" s="513"/>
      <c r="M1" s="513"/>
      <c r="N1" s="513"/>
      <c r="O1" s="513"/>
      <c r="P1" s="513"/>
      <c r="Q1" s="513"/>
      <c r="R1" s="535"/>
    </row>
    <row r="2" spans="1:19" x14ac:dyDescent="0.25">
      <c r="A2" s="702"/>
      <c r="B2" s="702"/>
      <c r="C2" s="702"/>
      <c r="D2" s="512">
        <v>2025</v>
      </c>
      <c r="E2" s="512">
        <v>2026</v>
      </c>
      <c r="F2" s="512">
        <v>2027</v>
      </c>
      <c r="G2" s="512">
        <v>2028</v>
      </c>
      <c r="H2" s="512">
        <v>2029</v>
      </c>
      <c r="I2" s="512">
        <v>2030</v>
      </c>
      <c r="J2" s="512">
        <v>2031</v>
      </c>
      <c r="K2" s="512">
        <v>2032</v>
      </c>
      <c r="L2" s="512">
        <v>2033</v>
      </c>
      <c r="M2" s="512">
        <v>2034</v>
      </c>
      <c r="N2" s="512">
        <v>2035</v>
      </c>
      <c r="O2" s="512">
        <v>2036</v>
      </c>
      <c r="P2" s="512">
        <v>2037</v>
      </c>
      <c r="Q2" s="512">
        <v>2038</v>
      </c>
      <c r="R2" s="504">
        <v>2039</v>
      </c>
    </row>
    <row r="3" spans="1:19" s="547" customFormat="1" x14ac:dyDescent="0.25">
      <c r="A3" s="514" t="s">
        <v>423</v>
      </c>
      <c r="B3" s="514" t="s">
        <v>422</v>
      </c>
      <c r="C3" s="514"/>
      <c r="D3" s="515">
        <v>0.7</v>
      </c>
      <c r="E3" s="515">
        <v>0.8</v>
      </c>
      <c r="F3" s="515">
        <v>0.95</v>
      </c>
      <c r="G3" s="515">
        <v>0.95</v>
      </c>
      <c r="H3" s="515">
        <v>0.95</v>
      </c>
      <c r="I3" s="515">
        <v>0.95</v>
      </c>
      <c r="J3" s="515">
        <v>0.95</v>
      </c>
      <c r="K3" s="515">
        <v>0.95</v>
      </c>
      <c r="L3" s="515">
        <v>0.95</v>
      </c>
      <c r="M3" s="515">
        <v>0.95</v>
      </c>
      <c r="N3" s="515">
        <v>0.95</v>
      </c>
      <c r="O3" s="515">
        <v>0.95</v>
      </c>
      <c r="P3" s="515">
        <v>0.95</v>
      </c>
      <c r="Q3" s="515">
        <v>0.95</v>
      </c>
      <c r="R3" s="536">
        <v>0.95</v>
      </c>
    </row>
    <row r="4" spans="1:19" s="547" customFormat="1" x14ac:dyDescent="0.25">
      <c r="A4" s="514" t="s">
        <v>421</v>
      </c>
      <c r="B4" s="514" t="s">
        <v>46</v>
      </c>
      <c r="C4" s="514"/>
      <c r="D4" s="516">
        <f>Norms!$B$3*Opex!D3</f>
        <v>57749.999999999993</v>
      </c>
      <c r="E4" s="516">
        <f>Norms!$B$3*Opex!E3</f>
        <v>66000</v>
      </c>
      <c r="F4" s="516">
        <f>Norms!$B$3*Opex!F3</f>
        <v>78375</v>
      </c>
      <c r="G4" s="516">
        <f>Norms!$B$3*Opex!G3</f>
        <v>78375</v>
      </c>
      <c r="H4" s="516">
        <f>Norms!$B$3*Opex!H3</f>
        <v>78375</v>
      </c>
      <c r="I4" s="516">
        <f>Norms!$B$3*Opex!I3</f>
        <v>78375</v>
      </c>
      <c r="J4" s="516">
        <f>Norms!$B$3*Opex!J3</f>
        <v>78375</v>
      </c>
      <c r="K4" s="516">
        <f>Norms!$B$3*Opex!K3</f>
        <v>78375</v>
      </c>
      <c r="L4" s="516">
        <f>Norms!$B$3*Opex!L3</f>
        <v>78375</v>
      </c>
      <c r="M4" s="516">
        <f>Norms!$B$3*Opex!M3</f>
        <v>78375</v>
      </c>
      <c r="N4" s="516">
        <f>Norms!$B$3*Opex!N3</f>
        <v>78375</v>
      </c>
      <c r="O4" s="516">
        <f>Norms!$B$3*Opex!O3</f>
        <v>78375</v>
      </c>
      <c r="P4" s="516">
        <f>Norms!$B$3*Opex!P3</f>
        <v>78375</v>
      </c>
      <c r="Q4" s="516">
        <f>Norms!$B$3*Opex!Q3</f>
        <v>78375</v>
      </c>
      <c r="R4" s="537">
        <f>Norms!$B$3*Opex!R3</f>
        <v>78375</v>
      </c>
    </row>
    <row r="5" spans="1:19" s="548" customFormat="1" x14ac:dyDescent="0.25">
      <c r="A5" s="514"/>
      <c r="B5" s="514"/>
      <c r="C5" s="514"/>
      <c r="D5" s="516"/>
      <c r="E5" s="516"/>
      <c r="F5" s="516"/>
      <c r="G5" s="516"/>
      <c r="H5" s="516"/>
      <c r="I5" s="516"/>
      <c r="J5" s="516"/>
      <c r="K5" s="516"/>
      <c r="L5" s="516"/>
      <c r="M5" s="516"/>
      <c r="N5" s="516"/>
      <c r="O5" s="516"/>
      <c r="P5" s="516"/>
      <c r="Q5" s="516"/>
      <c r="R5" s="537"/>
    </row>
    <row r="6" spans="1:19" s="548" customFormat="1" x14ac:dyDescent="0.25">
      <c r="A6" s="517" t="s">
        <v>274</v>
      </c>
      <c r="B6" s="518" t="s">
        <v>25</v>
      </c>
      <c r="C6" s="518" t="s">
        <v>43</v>
      </c>
      <c r="D6" s="519">
        <f>SUM(D7:D9)</f>
        <v>83.92123523437499</v>
      </c>
      <c r="E6" s="519">
        <f t="shared" ref="E6:J6" si="0">SUM(E7:E9)</f>
        <v>95.909983124999997</v>
      </c>
      <c r="F6" s="519">
        <f t="shared" si="0"/>
        <v>113.89310496093751</v>
      </c>
      <c r="G6" s="519">
        <f t="shared" si="0"/>
        <v>113.89310496093751</v>
      </c>
      <c r="H6" s="519">
        <f t="shared" si="0"/>
        <v>113.89310496093751</v>
      </c>
      <c r="I6" s="519">
        <f t="shared" si="0"/>
        <v>113.89310496093751</v>
      </c>
      <c r="J6" s="519">
        <f t="shared" si="0"/>
        <v>113.89310496093751</v>
      </c>
      <c r="K6" s="519">
        <f>SUM(K7:K9)</f>
        <v>113.89310496093751</v>
      </c>
      <c r="L6" s="519">
        <f t="shared" ref="L6" si="1">SUM(L7:L9)</f>
        <v>113.89310496093751</v>
      </c>
      <c r="M6" s="519">
        <f t="shared" ref="M6" si="2">SUM(M7:M9)</f>
        <v>113.89310496093751</v>
      </c>
      <c r="N6" s="519">
        <f t="shared" ref="N6" si="3">SUM(N7:N9)</f>
        <v>113.89310496093751</v>
      </c>
      <c r="O6" s="519">
        <f t="shared" ref="O6" si="4">SUM(O7:O9)</f>
        <v>113.89310496093751</v>
      </c>
      <c r="P6" s="519">
        <f>SUM(P7:P9)</f>
        <v>113.89310496093751</v>
      </c>
      <c r="Q6" s="519">
        <f t="shared" ref="Q6" si="5">SUM(Q7:Q9)</f>
        <v>113.89310496093751</v>
      </c>
      <c r="R6" s="538">
        <f t="shared" ref="R6" si="6">SUM(R7:R9)</f>
        <v>113.89310496093751</v>
      </c>
    </row>
    <row r="7" spans="1:19" s="548" customFormat="1" x14ac:dyDescent="0.25">
      <c r="A7" s="348" t="s">
        <v>133</v>
      </c>
      <c r="B7" s="388">
        <f>Norms!F3</f>
        <v>23718.749999999996</v>
      </c>
      <c r="C7" s="388">
        <f>Norms!G9</f>
        <v>26536.75</v>
      </c>
      <c r="D7" s="520">
        <f>D4*Norms!$D$3*Opex!$C$7/10^7</f>
        <v>44.059297734374987</v>
      </c>
      <c r="E7" s="520">
        <f>E4*Norms!$D$3*Opex!$C$7/10^7</f>
        <v>50.353483124999997</v>
      </c>
      <c r="F7" s="520">
        <f>F4*Norms!$D$3*Opex!$C$7/10^7</f>
        <v>59.794761210937502</v>
      </c>
      <c r="G7" s="520">
        <f>G4*Norms!$D$3*Opex!$C$7/10^7</f>
        <v>59.794761210937502</v>
      </c>
      <c r="H7" s="520">
        <f>H4*Norms!$D$3*Opex!$C$7/10^7</f>
        <v>59.794761210937502</v>
      </c>
      <c r="I7" s="520">
        <f>I4*Norms!$D$3*Opex!$C$7/10^7</f>
        <v>59.794761210937502</v>
      </c>
      <c r="J7" s="520">
        <f>J4*Norms!$D$3*Opex!$C$7/10^7</f>
        <v>59.794761210937502</v>
      </c>
      <c r="K7" s="520">
        <f>K4*Norms!$D$3*Opex!$C$7/10^7</f>
        <v>59.794761210937502</v>
      </c>
      <c r="L7" s="520">
        <f>L4*Norms!$D$3*Opex!$C$7/10^7</f>
        <v>59.794761210937502</v>
      </c>
      <c r="M7" s="520">
        <f>M4*Norms!$D$3*Opex!$C$7/10^7</f>
        <v>59.794761210937502</v>
      </c>
      <c r="N7" s="520">
        <f>N4*Norms!$D$3*Opex!$C$7/10^7</f>
        <v>59.794761210937502</v>
      </c>
      <c r="O7" s="520">
        <f>O4*Norms!$D$3*Opex!$C$7/10^7</f>
        <v>59.794761210937502</v>
      </c>
      <c r="P7" s="520">
        <f>P4*Norms!$D$3*Opex!$C$7/10^7</f>
        <v>59.794761210937502</v>
      </c>
      <c r="Q7" s="520">
        <f>Q4*Norms!$D$3*Opex!$C$7/10^7</f>
        <v>59.794761210937502</v>
      </c>
      <c r="R7" s="368">
        <f>R4*Norms!$D$3*Opex!$C$7/10^7</f>
        <v>59.794761210937502</v>
      </c>
    </row>
    <row r="8" spans="1:19" s="548" customFormat="1" x14ac:dyDescent="0.25">
      <c r="A8" s="348" t="s">
        <v>445</v>
      </c>
      <c r="B8" s="388"/>
      <c r="C8" s="388"/>
      <c r="D8" s="520">
        <f>D4*Norms!$D$13*Norms!$J$16/10^7</f>
        <v>38.31712499999999</v>
      </c>
      <c r="E8" s="520">
        <f>E4*Norms!$D$13*Norms!$J$16/10^7</f>
        <v>43.790999999999997</v>
      </c>
      <c r="F8" s="520">
        <f>F4*Norms!$D$13*Norms!$J$16/10^7</f>
        <v>52.0018125</v>
      </c>
      <c r="G8" s="520">
        <f>G4*Norms!$D$13*Norms!$J$16/10^7</f>
        <v>52.0018125</v>
      </c>
      <c r="H8" s="520">
        <f>H4*Norms!$D$13*Norms!$J$16/10^7</f>
        <v>52.0018125</v>
      </c>
      <c r="I8" s="520">
        <f>I4*Norms!$D$13*Norms!$J$16/10^7</f>
        <v>52.0018125</v>
      </c>
      <c r="J8" s="520">
        <f>J4*Norms!$D$13*Norms!$J$16/10^7</f>
        <v>52.0018125</v>
      </c>
      <c r="K8" s="520">
        <f>K4*Norms!$D$13*Norms!$J$16/10^7</f>
        <v>52.0018125</v>
      </c>
      <c r="L8" s="520">
        <f>L4*Norms!$D$13*Norms!$J$16/10^7</f>
        <v>52.0018125</v>
      </c>
      <c r="M8" s="520">
        <f>M4*Norms!$D$13*Norms!$J$16/10^7</f>
        <v>52.0018125</v>
      </c>
      <c r="N8" s="520">
        <f>N4*Norms!$D$13*Norms!$J$16/10^7</f>
        <v>52.0018125</v>
      </c>
      <c r="O8" s="520">
        <f>O4*Norms!$D$13*Norms!$J$16/10^7</f>
        <v>52.0018125</v>
      </c>
      <c r="P8" s="520">
        <f>P4*Norms!$D$13*Norms!$J$16/10^7</f>
        <v>52.0018125</v>
      </c>
      <c r="Q8" s="520">
        <f>Q4*Norms!$D$13*Norms!$J$16/10^7</f>
        <v>52.0018125</v>
      </c>
      <c r="R8" s="368">
        <f>R4*Norms!$D$13*Norms!$J$16/10^7</f>
        <v>52.0018125</v>
      </c>
    </row>
    <row r="9" spans="1:19" s="548" customFormat="1" x14ac:dyDescent="0.25">
      <c r="A9" s="348" t="s">
        <v>444</v>
      </c>
      <c r="B9" s="388"/>
      <c r="C9" s="388"/>
      <c r="D9" s="520">
        <f>D4*Norms!$D$18*Norms!$J$18/10^7</f>
        <v>1.5448124999999999</v>
      </c>
      <c r="E9" s="520">
        <f>E4*Norms!$D$18*Norms!$J$18/10^7</f>
        <v>1.7655000000000001</v>
      </c>
      <c r="F9" s="520">
        <f>F4*Norms!$D$18*Norms!$J$18/10^7</f>
        <v>2.09653125</v>
      </c>
      <c r="G9" s="520">
        <f>G4*Norms!$D$18*Norms!$J$18/10^7</f>
        <v>2.09653125</v>
      </c>
      <c r="H9" s="520">
        <f>H4*Norms!$D$18*Norms!$J$18/10^7</f>
        <v>2.09653125</v>
      </c>
      <c r="I9" s="520">
        <f>I4*Norms!$D$18*Norms!$J$18/10^7</f>
        <v>2.09653125</v>
      </c>
      <c r="J9" s="520">
        <f>J4*Norms!$D$18*Norms!$J$18/10^7</f>
        <v>2.09653125</v>
      </c>
      <c r="K9" s="520">
        <f>K4*Norms!$D$18*Norms!$J$18/10^7</f>
        <v>2.09653125</v>
      </c>
      <c r="L9" s="520">
        <f>L4*Norms!$D$18*Norms!$J$18/10^7</f>
        <v>2.09653125</v>
      </c>
      <c r="M9" s="520">
        <f>M4*Norms!$D$18*Norms!$J$18/10^7</f>
        <v>2.09653125</v>
      </c>
      <c r="N9" s="520">
        <f>N4*Norms!$D$18*Norms!$J$18/10^7</f>
        <v>2.09653125</v>
      </c>
      <c r="O9" s="520">
        <f>O4*Norms!$D$18*Norms!$J$18/10^7</f>
        <v>2.09653125</v>
      </c>
      <c r="P9" s="520">
        <f>P4*Norms!$D$18*Norms!$J$18/10^7</f>
        <v>2.09653125</v>
      </c>
      <c r="Q9" s="520">
        <f>Q4*Norms!$D$18*Norms!$J$18/10^7</f>
        <v>2.09653125</v>
      </c>
      <c r="R9" s="368">
        <f>R4*Norms!$D$18*Norms!$J$18/10^7</f>
        <v>2.09653125</v>
      </c>
    </row>
    <row r="10" spans="1:19" s="548" customFormat="1" x14ac:dyDescent="0.25">
      <c r="A10" s="381" t="s">
        <v>446</v>
      </c>
      <c r="B10" s="388"/>
      <c r="C10" s="388"/>
      <c r="D10" s="520">
        <f>SUM(D7:D9)</f>
        <v>83.92123523437499</v>
      </c>
      <c r="E10" s="520">
        <f t="shared" ref="E10:R10" si="7">SUM(E7:E9)</f>
        <v>95.909983124999997</v>
      </c>
      <c r="F10" s="520">
        <f t="shared" si="7"/>
        <v>113.89310496093751</v>
      </c>
      <c r="G10" s="520">
        <f t="shared" si="7"/>
        <v>113.89310496093751</v>
      </c>
      <c r="H10" s="520">
        <f t="shared" si="7"/>
        <v>113.89310496093751</v>
      </c>
      <c r="I10" s="520">
        <f t="shared" si="7"/>
        <v>113.89310496093751</v>
      </c>
      <c r="J10" s="520">
        <f t="shared" si="7"/>
        <v>113.89310496093751</v>
      </c>
      <c r="K10" s="520">
        <f t="shared" si="7"/>
        <v>113.89310496093751</v>
      </c>
      <c r="L10" s="520">
        <f t="shared" si="7"/>
        <v>113.89310496093751</v>
      </c>
      <c r="M10" s="520">
        <f t="shared" si="7"/>
        <v>113.89310496093751</v>
      </c>
      <c r="N10" s="520">
        <f t="shared" si="7"/>
        <v>113.89310496093751</v>
      </c>
      <c r="O10" s="520">
        <f t="shared" si="7"/>
        <v>113.89310496093751</v>
      </c>
      <c r="P10" s="520">
        <f t="shared" si="7"/>
        <v>113.89310496093751</v>
      </c>
      <c r="Q10" s="520">
        <f t="shared" si="7"/>
        <v>113.89310496093751</v>
      </c>
      <c r="R10" s="368">
        <f t="shared" si="7"/>
        <v>113.89310496093751</v>
      </c>
    </row>
    <row r="11" spans="1:19" x14ac:dyDescent="0.25">
      <c r="A11" s="518" t="s">
        <v>275</v>
      </c>
      <c r="B11" s="521"/>
      <c r="C11" s="521"/>
      <c r="D11" s="519">
        <f>SUM(D12:D17)</f>
        <v>17.848055390803125</v>
      </c>
      <c r="E11" s="522">
        <f>SUM(E12:E17)</f>
        <v>18.058430390803125</v>
      </c>
      <c r="F11" s="522">
        <f t="shared" ref="F11:R11" si="8">SUM(F12:F17)</f>
        <v>18.373992890803127</v>
      </c>
      <c r="G11" s="522">
        <f t="shared" si="8"/>
        <v>18.373992890803127</v>
      </c>
      <c r="H11" s="522">
        <f t="shared" si="8"/>
        <v>18.373992890803127</v>
      </c>
      <c r="I11" s="522">
        <f t="shared" si="8"/>
        <v>18.373992890803127</v>
      </c>
      <c r="J11" s="522">
        <f t="shared" si="8"/>
        <v>18.373992890803127</v>
      </c>
      <c r="K11" s="522">
        <f t="shared" si="8"/>
        <v>18.373992890803127</v>
      </c>
      <c r="L11" s="522">
        <f t="shared" si="8"/>
        <v>18.373992890803127</v>
      </c>
      <c r="M11" s="522">
        <f t="shared" si="8"/>
        <v>18.373992890803127</v>
      </c>
      <c r="N11" s="522">
        <f t="shared" si="8"/>
        <v>18.373992890803127</v>
      </c>
      <c r="O11" s="522">
        <f t="shared" si="8"/>
        <v>18.373992890803127</v>
      </c>
      <c r="P11" s="522">
        <f t="shared" si="8"/>
        <v>18.373992890803127</v>
      </c>
      <c r="Q11" s="522">
        <f t="shared" si="8"/>
        <v>18.373992890803127</v>
      </c>
      <c r="R11" s="539">
        <f t="shared" si="8"/>
        <v>18.373992890803127</v>
      </c>
    </row>
    <row r="12" spans="1:19" s="548" customFormat="1" x14ac:dyDescent="0.25">
      <c r="A12" s="523" t="s">
        <v>453</v>
      </c>
      <c r="B12" s="388"/>
      <c r="C12" s="388"/>
      <c r="D12" s="520">
        <f>Norms!$D$16*Norms!$D$28*Opex!D4/10^7</f>
        <v>1.4726250000000001</v>
      </c>
      <c r="E12" s="520">
        <f>Norms!$D$16*Norms!$D$28*Opex!E4/10^7</f>
        <v>1.6830000000000003</v>
      </c>
      <c r="F12" s="520">
        <f>Norms!$D$16*Norms!$D$28*Opex!F4/10^7</f>
        <v>1.9985625000000005</v>
      </c>
      <c r="G12" s="520">
        <f>Norms!$D$16*Norms!$D$28*Opex!G4/10^7</f>
        <v>1.9985625000000005</v>
      </c>
      <c r="H12" s="520">
        <f>Norms!$D$16*Norms!$D$28*Opex!H4/10^7</f>
        <v>1.9985625000000005</v>
      </c>
      <c r="I12" s="520">
        <f>Norms!$D$16*Norms!$D$28*Opex!I4/10^7</f>
        <v>1.9985625000000005</v>
      </c>
      <c r="J12" s="520">
        <f>Norms!$D$16*Norms!$D$28*Opex!J4/10^7</f>
        <v>1.9985625000000005</v>
      </c>
      <c r="K12" s="520">
        <f>Norms!$D$16*Norms!$D$28*Opex!K4/10^7</f>
        <v>1.9985625000000005</v>
      </c>
      <c r="L12" s="520">
        <f>Norms!$D$16*Norms!$D$28*Opex!L4/10^7</f>
        <v>1.9985625000000005</v>
      </c>
      <c r="M12" s="520">
        <f>Norms!$D$16*Norms!$D$28*Opex!M4/10^7</f>
        <v>1.9985625000000005</v>
      </c>
      <c r="N12" s="520">
        <f>Norms!$D$16*Norms!$D$28*Opex!N4/10^7</f>
        <v>1.9985625000000005</v>
      </c>
      <c r="O12" s="520">
        <f>Norms!$D$16*Norms!$D$28*Opex!O4/10^7</f>
        <v>1.9985625000000005</v>
      </c>
      <c r="P12" s="520">
        <f>Norms!$D$16*Norms!$D$28*Opex!P4/10^7</f>
        <v>1.9985625000000005</v>
      </c>
      <c r="Q12" s="520">
        <f>Norms!$D$16*Norms!$D$28*Opex!Q4/10^7</f>
        <v>1.9985625000000005</v>
      </c>
      <c r="R12" s="368">
        <f>Norms!$D$16*Norms!$D$28*Opex!R4/10^7</f>
        <v>1.9985625000000005</v>
      </c>
    </row>
    <row r="13" spans="1:19" s="548" customFormat="1" x14ac:dyDescent="0.25">
      <c r="A13" s="523" t="s">
        <v>451</v>
      </c>
      <c r="B13" s="523"/>
      <c r="C13" s="523"/>
      <c r="D13" s="520">
        <f>Norms!$D$29/100</f>
        <v>0.05</v>
      </c>
      <c r="E13" s="520">
        <f>Norms!$D$29/100</f>
        <v>0.05</v>
      </c>
      <c r="F13" s="520">
        <f>Norms!$D$29/100</f>
        <v>0.05</v>
      </c>
      <c r="G13" s="520">
        <f>Norms!$D$29/100</f>
        <v>0.05</v>
      </c>
      <c r="H13" s="520">
        <f>Norms!$D$29/100</f>
        <v>0.05</v>
      </c>
      <c r="I13" s="520">
        <f>Norms!$D$29/100</f>
        <v>0.05</v>
      </c>
      <c r="J13" s="520">
        <f>Norms!$D$29/100</f>
        <v>0.05</v>
      </c>
      <c r="K13" s="520">
        <f>Norms!$D$29/100</f>
        <v>0.05</v>
      </c>
      <c r="L13" s="520">
        <f>Norms!$D$29/100</f>
        <v>0.05</v>
      </c>
      <c r="M13" s="520">
        <f>Norms!$D$29/100</f>
        <v>0.05</v>
      </c>
      <c r="N13" s="520">
        <f>Norms!$D$29/100</f>
        <v>0.05</v>
      </c>
      <c r="O13" s="520">
        <f>Norms!$D$29/100</f>
        <v>0.05</v>
      </c>
      <c r="P13" s="520">
        <f>Norms!$D$29/100</f>
        <v>0.05</v>
      </c>
      <c r="Q13" s="520">
        <f>Norms!$D$29/100</f>
        <v>0.05</v>
      </c>
      <c r="R13" s="368">
        <f>Norms!$D$29/100</f>
        <v>0.05</v>
      </c>
    </row>
    <row r="14" spans="1:19" s="548" customFormat="1" x14ac:dyDescent="0.25">
      <c r="A14" s="523" t="s">
        <v>593</v>
      </c>
      <c r="B14" s="523"/>
      <c r="C14" s="523"/>
      <c r="D14" s="520">
        <f>Norms!D49</f>
        <v>3.5</v>
      </c>
      <c r="E14" s="530">
        <f>D14</f>
        <v>3.5</v>
      </c>
      <c r="F14" s="530">
        <f t="shared" ref="F14:R14" si="9">E14</f>
        <v>3.5</v>
      </c>
      <c r="G14" s="530">
        <f t="shared" si="9"/>
        <v>3.5</v>
      </c>
      <c r="H14" s="530">
        <f t="shared" si="9"/>
        <v>3.5</v>
      </c>
      <c r="I14" s="530">
        <f t="shared" si="9"/>
        <v>3.5</v>
      </c>
      <c r="J14" s="530">
        <f t="shared" si="9"/>
        <v>3.5</v>
      </c>
      <c r="K14" s="530">
        <f t="shared" si="9"/>
        <v>3.5</v>
      </c>
      <c r="L14" s="530">
        <f t="shared" si="9"/>
        <v>3.5</v>
      </c>
      <c r="M14" s="530">
        <f t="shared" si="9"/>
        <v>3.5</v>
      </c>
      <c r="N14" s="530">
        <f t="shared" si="9"/>
        <v>3.5</v>
      </c>
      <c r="O14" s="530">
        <f t="shared" si="9"/>
        <v>3.5</v>
      </c>
      <c r="P14" s="530">
        <f t="shared" si="9"/>
        <v>3.5</v>
      </c>
      <c r="Q14" s="530">
        <f t="shared" si="9"/>
        <v>3.5</v>
      </c>
      <c r="R14" s="540">
        <f t="shared" si="9"/>
        <v>3.5</v>
      </c>
    </row>
    <row r="15" spans="1:19" s="548" customFormat="1" ht="29.25" customHeight="1" x14ac:dyDescent="0.25">
      <c r="A15" s="523" t="s">
        <v>276</v>
      </c>
      <c r="B15" s="523"/>
      <c r="C15" s="531">
        <v>0.02</v>
      </c>
      <c r="D15" s="532">
        <f>C15*Capex!$B$5</f>
        <v>8.8147500000000001</v>
      </c>
      <c r="E15" s="532">
        <f>D15</f>
        <v>8.8147500000000001</v>
      </c>
      <c r="F15" s="532">
        <f t="shared" ref="F15:R15" si="10">E15</f>
        <v>8.8147500000000001</v>
      </c>
      <c r="G15" s="532">
        <f t="shared" si="10"/>
        <v>8.8147500000000001</v>
      </c>
      <c r="H15" s="532">
        <f t="shared" si="10"/>
        <v>8.8147500000000001</v>
      </c>
      <c r="I15" s="532">
        <f t="shared" si="10"/>
        <v>8.8147500000000001</v>
      </c>
      <c r="J15" s="532">
        <f t="shared" si="10"/>
        <v>8.8147500000000001</v>
      </c>
      <c r="K15" s="532">
        <f t="shared" si="10"/>
        <v>8.8147500000000001</v>
      </c>
      <c r="L15" s="532">
        <f t="shared" si="10"/>
        <v>8.8147500000000001</v>
      </c>
      <c r="M15" s="532">
        <f t="shared" si="10"/>
        <v>8.8147500000000001</v>
      </c>
      <c r="N15" s="532">
        <f t="shared" si="10"/>
        <v>8.8147500000000001</v>
      </c>
      <c r="O15" s="532">
        <f t="shared" si="10"/>
        <v>8.8147500000000001</v>
      </c>
      <c r="P15" s="532">
        <f t="shared" si="10"/>
        <v>8.8147500000000001</v>
      </c>
      <c r="Q15" s="532">
        <f t="shared" si="10"/>
        <v>8.8147500000000001</v>
      </c>
      <c r="R15" s="541">
        <f t="shared" si="10"/>
        <v>8.8147500000000001</v>
      </c>
      <c r="S15" s="549"/>
    </row>
    <row r="16" spans="1:19" s="548" customFormat="1" ht="29.25" customHeight="1" x14ac:dyDescent="0.25">
      <c r="A16" s="523" t="s">
        <v>494</v>
      </c>
      <c r="B16" s="523"/>
      <c r="C16" s="531">
        <v>5.0000000000000001E-3</v>
      </c>
      <c r="D16" s="532">
        <f>$C$16*Capex!$B$14</f>
        <v>3.1356803908031252</v>
      </c>
      <c r="E16" s="532">
        <f>$C$16*Capex!$B$14</f>
        <v>3.1356803908031252</v>
      </c>
      <c r="F16" s="532">
        <f>$C$16*Capex!$B$14</f>
        <v>3.1356803908031252</v>
      </c>
      <c r="G16" s="532">
        <f>$C$16*Capex!$B$14</f>
        <v>3.1356803908031252</v>
      </c>
      <c r="H16" s="532">
        <f>$C$16*Capex!$B$14</f>
        <v>3.1356803908031252</v>
      </c>
      <c r="I16" s="532">
        <f>$C$16*Capex!$B$14</f>
        <v>3.1356803908031252</v>
      </c>
      <c r="J16" s="532">
        <f>$C$16*Capex!$B$14</f>
        <v>3.1356803908031252</v>
      </c>
      <c r="K16" s="532">
        <f>$C$16*Capex!$B$14</f>
        <v>3.1356803908031252</v>
      </c>
      <c r="L16" s="532">
        <f>$C$16*Capex!$B$14</f>
        <v>3.1356803908031252</v>
      </c>
      <c r="M16" s="532">
        <f>$C$16*Capex!$B$14</f>
        <v>3.1356803908031252</v>
      </c>
      <c r="N16" s="532">
        <f>$C$16*Capex!$B$14</f>
        <v>3.1356803908031252</v>
      </c>
      <c r="O16" s="532">
        <f>$C$16*Capex!$B$14</f>
        <v>3.1356803908031252</v>
      </c>
      <c r="P16" s="532">
        <f>$C$16*Capex!$B$14</f>
        <v>3.1356803908031252</v>
      </c>
      <c r="Q16" s="532">
        <f>$C$16*Capex!$B$14</f>
        <v>3.1356803908031252</v>
      </c>
      <c r="R16" s="541">
        <f>$C$16*Capex!$B$14</f>
        <v>3.1356803908031252</v>
      </c>
      <c r="S16" s="549"/>
    </row>
    <row r="17" spans="1:18" s="548" customFormat="1" ht="14.25" customHeight="1" x14ac:dyDescent="0.25">
      <c r="A17" s="533" t="s">
        <v>455</v>
      </c>
      <c r="B17" s="533"/>
      <c r="C17" s="533"/>
      <c r="D17" s="534">
        <f>Norms!$D$50</f>
        <v>0.875</v>
      </c>
      <c r="E17" s="534">
        <f>Norms!$D$50</f>
        <v>0.875</v>
      </c>
      <c r="F17" s="534">
        <f>Norms!$D$50</f>
        <v>0.875</v>
      </c>
      <c r="G17" s="534">
        <f>Norms!$D$50</f>
        <v>0.875</v>
      </c>
      <c r="H17" s="534">
        <f>Norms!$D$50</f>
        <v>0.875</v>
      </c>
      <c r="I17" s="534">
        <f>Norms!$D$50</f>
        <v>0.875</v>
      </c>
      <c r="J17" s="534">
        <f>Norms!$D$50</f>
        <v>0.875</v>
      </c>
      <c r="K17" s="534">
        <f>Norms!$D$50</f>
        <v>0.875</v>
      </c>
      <c r="L17" s="534">
        <f>Norms!$D$50</f>
        <v>0.875</v>
      </c>
      <c r="M17" s="534">
        <f>Norms!$D$50</f>
        <v>0.875</v>
      </c>
      <c r="N17" s="534">
        <f>Norms!$D$50</f>
        <v>0.875</v>
      </c>
      <c r="O17" s="534">
        <f>Norms!$D$50</f>
        <v>0.875</v>
      </c>
      <c r="P17" s="534">
        <f>Norms!$D$50</f>
        <v>0.875</v>
      </c>
      <c r="Q17" s="534">
        <f>Norms!$D$50</f>
        <v>0.875</v>
      </c>
      <c r="R17" s="542">
        <f>Norms!$D$50</f>
        <v>0.875</v>
      </c>
    </row>
    <row r="18" spans="1:18" ht="17.25" customHeight="1" x14ac:dyDescent="0.25">
      <c r="A18" s="703" t="s">
        <v>457</v>
      </c>
      <c r="B18" s="703"/>
      <c r="C18" s="703"/>
      <c r="D18" s="524">
        <f t="shared" ref="D18:R18" si="11">D6+D11</f>
        <v>101.76929062517812</v>
      </c>
      <c r="E18" s="524">
        <f t="shared" si="11"/>
        <v>113.96841351580312</v>
      </c>
      <c r="F18" s="524">
        <f t="shared" si="11"/>
        <v>132.26709785174063</v>
      </c>
      <c r="G18" s="524">
        <f t="shared" si="11"/>
        <v>132.26709785174063</v>
      </c>
      <c r="H18" s="524">
        <f t="shared" si="11"/>
        <v>132.26709785174063</v>
      </c>
      <c r="I18" s="524">
        <f t="shared" si="11"/>
        <v>132.26709785174063</v>
      </c>
      <c r="J18" s="524">
        <f t="shared" si="11"/>
        <v>132.26709785174063</v>
      </c>
      <c r="K18" s="524">
        <f t="shared" si="11"/>
        <v>132.26709785174063</v>
      </c>
      <c r="L18" s="524">
        <f t="shared" si="11"/>
        <v>132.26709785174063</v>
      </c>
      <c r="M18" s="524">
        <f t="shared" si="11"/>
        <v>132.26709785174063</v>
      </c>
      <c r="N18" s="524">
        <f t="shared" si="11"/>
        <v>132.26709785174063</v>
      </c>
      <c r="O18" s="524">
        <f t="shared" si="11"/>
        <v>132.26709785174063</v>
      </c>
      <c r="P18" s="524">
        <f t="shared" si="11"/>
        <v>132.26709785174063</v>
      </c>
      <c r="Q18" s="524">
        <f t="shared" si="11"/>
        <v>132.26709785174063</v>
      </c>
      <c r="R18" s="543">
        <f t="shared" si="11"/>
        <v>132.26709785174063</v>
      </c>
    </row>
    <row r="19" spans="1:18" x14ac:dyDescent="0.25">
      <c r="A19" s="703" t="s">
        <v>592</v>
      </c>
      <c r="B19" s="703"/>
      <c r="C19" s="703"/>
      <c r="D19" s="512" t="s">
        <v>39</v>
      </c>
      <c r="E19" s="81"/>
      <c r="F19" s="81"/>
      <c r="G19" s="525"/>
      <c r="H19" s="81"/>
      <c r="I19" s="81"/>
      <c r="J19" s="81"/>
      <c r="K19" s="81"/>
      <c r="L19" s="81"/>
      <c r="M19" s="81"/>
      <c r="N19" s="81"/>
      <c r="O19" s="81"/>
      <c r="P19" s="81"/>
      <c r="Q19" s="81"/>
      <c r="R19" s="544"/>
    </row>
    <row r="20" spans="1:18" x14ac:dyDescent="0.25">
      <c r="A20" s="512"/>
      <c r="B20" s="512"/>
      <c r="C20" s="512"/>
      <c r="D20" s="512">
        <v>2025</v>
      </c>
      <c r="E20" s="512">
        <v>2026</v>
      </c>
      <c r="F20" s="512">
        <v>2027</v>
      </c>
      <c r="G20" s="512">
        <v>2028</v>
      </c>
      <c r="H20" s="512">
        <v>2029</v>
      </c>
      <c r="I20" s="512">
        <v>2030</v>
      </c>
      <c r="J20" s="512">
        <v>2031</v>
      </c>
      <c r="K20" s="512">
        <v>2032</v>
      </c>
      <c r="L20" s="512">
        <v>2033</v>
      </c>
      <c r="M20" s="512">
        <v>2034</v>
      </c>
      <c r="N20" s="512">
        <v>2035</v>
      </c>
      <c r="O20" s="512">
        <v>2036</v>
      </c>
      <c r="P20" s="512">
        <v>2037</v>
      </c>
      <c r="Q20" s="512">
        <v>2038</v>
      </c>
      <c r="R20" s="504">
        <v>2039</v>
      </c>
    </row>
    <row r="21" spans="1:18" s="548" customFormat="1" x14ac:dyDescent="0.25">
      <c r="A21" s="514" t="s">
        <v>423</v>
      </c>
      <c r="B21" s="514" t="s">
        <v>422</v>
      </c>
      <c r="C21" s="514"/>
      <c r="D21" s="515">
        <v>0.7</v>
      </c>
      <c r="E21" s="515">
        <v>0.8</v>
      </c>
      <c r="F21" s="515">
        <v>0.95</v>
      </c>
      <c r="G21" s="515">
        <v>0.95</v>
      </c>
      <c r="H21" s="515">
        <v>0.95</v>
      </c>
      <c r="I21" s="515">
        <v>0.95</v>
      </c>
      <c r="J21" s="515">
        <v>0.95</v>
      </c>
      <c r="K21" s="515">
        <v>0.95</v>
      </c>
      <c r="L21" s="515">
        <v>0.95</v>
      </c>
      <c r="M21" s="515">
        <v>0.95</v>
      </c>
      <c r="N21" s="515">
        <v>0.95</v>
      </c>
      <c r="O21" s="515">
        <v>0.95</v>
      </c>
      <c r="P21" s="515">
        <v>0.95</v>
      </c>
      <c r="Q21" s="515">
        <v>0.95</v>
      </c>
      <c r="R21" s="536">
        <v>0.95</v>
      </c>
    </row>
    <row r="22" spans="1:18" s="548" customFormat="1" x14ac:dyDescent="0.25">
      <c r="A22" s="514" t="s">
        <v>458</v>
      </c>
      <c r="B22" s="514" t="s">
        <v>46</v>
      </c>
      <c r="C22" s="514"/>
      <c r="D22" s="514">
        <f>D21*Norms!$B$5</f>
        <v>70000</v>
      </c>
      <c r="E22" s="514">
        <f>E21*Norms!$B$5</f>
        <v>80000</v>
      </c>
      <c r="F22" s="514">
        <f>F21*Norms!$B$5</f>
        <v>95000</v>
      </c>
      <c r="G22" s="514">
        <f>G21*Norms!$B$5</f>
        <v>95000</v>
      </c>
      <c r="H22" s="514">
        <f>H21*Norms!$B$5</f>
        <v>95000</v>
      </c>
      <c r="I22" s="514">
        <f>I21*Norms!$B$5</f>
        <v>95000</v>
      </c>
      <c r="J22" s="514">
        <f>J21*Norms!$B$5</f>
        <v>95000</v>
      </c>
      <c r="K22" s="514">
        <f>K21*Norms!$B$5</f>
        <v>95000</v>
      </c>
      <c r="L22" s="514">
        <f>L21*Norms!$B$5</f>
        <v>95000</v>
      </c>
      <c r="M22" s="514">
        <f>M21*Norms!$B$5</f>
        <v>95000</v>
      </c>
      <c r="N22" s="514">
        <f>N21*Norms!$B$5</f>
        <v>95000</v>
      </c>
      <c r="O22" s="514">
        <f>O21*Norms!$B$5</f>
        <v>95000</v>
      </c>
      <c r="P22" s="514">
        <f>P21*Norms!$B$5</f>
        <v>95000</v>
      </c>
      <c r="Q22" s="514">
        <f>Q21*Norms!$B$5</f>
        <v>95000</v>
      </c>
      <c r="R22" s="545">
        <f>R21*Norms!$B$5</f>
        <v>95000</v>
      </c>
    </row>
    <row r="23" spans="1:18" ht="18" customHeight="1" x14ac:dyDescent="0.25">
      <c r="A23" s="526" t="s">
        <v>277</v>
      </c>
      <c r="B23" s="518" t="s">
        <v>25</v>
      </c>
      <c r="C23" s="518" t="s">
        <v>43</v>
      </c>
      <c r="D23" s="529">
        <f t="shared" ref="D23:R23" si="12">SUM(D24:D24)</f>
        <v>39.566294249999999</v>
      </c>
      <c r="E23" s="529">
        <f t="shared" si="12"/>
        <v>45.218622000000003</v>
      </c>
      <c r="F23" s="529">
        <f t="shared" si="12"/>
        <v>53.697113625</v>
      </c>
      <c r="G23" s="529">
        <f t="shared" si="12"/>
        <v>53.697113625</v>
      </c>
      <c r="H23" s="529">
        <f t="shared" si="12"/>
        <v>53.697113625</v>
      </c>
      <c r="I23" s="529">
        <f t="shared" si="12"/>
        <v>53.697113625</v>
      </c>
      <c r="J23" s="529">
        <f t="shared" si="12"/>
        <v>53.697113625</v>
      </c>
      <c r="K23" s="529">
        <f t="shared" si="12"/>
        <v>53.697113625</v>
      </c>
      <c r="L23" s="529">
        <f t="shared" si="12"/>
        <v>53.697113625</v>
      </c>
      <c r="M23" s="529">
        <f t="shared" si="12"/>
        <v>53.697113625</v>
      </c>
      <c r="N23" s="529">
        <f t="shared" si="12"/>
        <v>53.697113625</v>
      </c>
      <c r="O23" s="529">
        <f t="shared" si="12"/>
        <v>53.697113625</v>
      </c>
      <c r="P23" s="529">
        <f t="shared" si="12"/>
        <v>53.697113625</v>
      </c>
      <c r="Q23" s="529">
        <f t="shared" si="12"/>
        <v>53.697113625</v>
      </c>
      <c r="R23" s="550">
        <f t="shared" si="12"/>
        <v>53.697113625</v>
      </c>
    </row>
    <row r="24" spans="1:18" ht="16.5" customHeight="1" x14ac:dyDescent="0.25">
      <c r="A24" s="527" t="s">
        <v>133</v>
      </c>
      <c r="B24" s="528">
        <f>Norms!F6</f>
        <v>21300</v>
      </c>
      <c r="C24" s="528">
        <f>C7</f>
        <v>26536.75</v>
      </c>
      <c r="D24" s="520">
        <f>D22*Norms!$D$6*$C$24/10^7</f>
        <v>39.566294249999999</v>
      </c>
      <c r="E24" s="520">
        <f>E22*Norms!$D$6*$C$24/10^7</f>
        <v>45.218622000000003</v>
      </c>
      <c r="F24" s="520">
        <f>F22*Norms!$D$6*$C$24/10^7</f>
        <v>53.697113625</v>
      </c>
      <c r="G24" s="520">
        <f>G22*Norms!$D$6*$C$24/10^7</f>
        <v>53.697113625</v>
      </c>
      <c r="H24" s="520">
        <f>H22*Norms!$D$6*$C$24/10^7</f>
        <v>53.697113625</v>
      </c>
      <c r="I24" s="520">
        <f>I22*Norms!$D$6*$C$24/10^7</f>
        <v>53.697113625</v>
      </c>
      <c r="J24" s="520">
        <f>J22*Norms!$D$6*$C$24/10^7</f>
        <v>53.697113625</v>
      </c>
      <c r="K24" s="520">
        <f>K22*Norms!$D$6*$C$24/10^7</f>
        <v>53.697113625</v>
      </c>
      <c r="L24" s="520">
        <f>L22*Norms!$D$6*$C$24/10^7</f>
        <v>53.697113625</v>
      </c>
      <c r="M24" s="520">
        <f>M22*Norms!$D$6*$C$24/10^7</f>
        <v>53.697113625</v>
      </c>
      <c r="N24" s="520">
        <f>N22*Norms!$D$6*$C$24/10^7</f>
        <v>53.697113625</v>
      </c>
      <c r="O24" s="520">
        <f>O22*Norms!$D$6*$C$24/10^7</f>
        <v>53.697113625</v>
      </c>
      <c r="P24" s="520">
        <f>P22*Norms!$D$6*$C$24/10^7</f>
        <v>53.697113625</v>
      </c>
      <c r="Q24" s="520">
        <f>Q22*Norms!$D$6*$C$24/10^7</f>
        <v>53.697113625</v>
      </c>
      <c r="R24" s="368">
        <f>R22*Norms!$D$6*$C$24/10^7</f>
        <v>53.697113625</v>
      </c>
    </row>
    <row r="25" spans="1:18" x14ac:dyDescent="0.25">
      <c r="A25" s="703" t="s">
        <v>456</v>
      </c>
      <c r="B25" s="703"/>
      <c r="C25" s="703"/>
      <c r="D25" s="524">
        <f>+D23</f>
        <v>39.566294249999999</v>
      </c>
      <c r="E25" s="524">
        <f t="shared" ref="E25:R25" si="13">+E23</f>
        <v>45.218622000000003</v>
      </c>
      <c r="F25" s="524">
        <f t="shared" si="13"/>
        <v>53.697113625</v>
      </c>
      <c r="G25" s="524">
        <f t="shared" si="13"/>
        <v>53.697113625</v>
      </c>
      <c r="H25" s="524">
        <f t="shared" si="13"/>
        <v>53.697113625</v>
      </c>
      <c r="I25" s="524">
        <f t="shared" si="13"/>
        <v>53.697113625</v>
      </c>
      <c r="J25" s="524">
        <f t="shared" si="13"/>
        <v>53.697113625</v>
      </c>
      <c r="K25" s="524">
        <f t="shared" si="13"/>
        <v>53.697113625</v>
      </c>
      <c r="L25" s="524">
        <f t="shared" si="13"/>
        <v>53.697113625</v>
      </c>
      <c r="M25" s="524">
        <f t="shared" si="13"/>
        <v>53.697113625</v>
      </c>
      <c r="N25" s="524">
        <f t="shared" si="13"/>
        <v>53.697113625</v>
      </c>
      <c r="O25" s="524">
        <f t="shared" si="13"/>
        <v>53.697113625</v>
      </c>
      <c r="P25" s="524">
        <f t="shared" si="13"/>
        <v>53.697113625</v>
      </c>
      <c r="Q25" s="524">
        <f t="shared" si="13"/>
        <v>53.697113625</v>
      </c>
      <c r="R25" s="524">
        <f t="shared" si="13"/>
        <v>53.697113625</v>
      </c>
    </row>
    <row r="26" spans="1:18" hidden="1" x14ac:dyDescent="0.25">
      <c r="D26" s="674">
        <f>D18+D25</f>
        <v>141.33558487517811</v>
      </c>
      <c r="E26" s="92">
        <f>D26*100</f>
        <v>14133.558487517812</v>
      </c>
    </row>
    <row r="27" spans="1:18" hidden="1" x14ac:dyDescent="0.25">
      <c r="D27" s="92">
        <f>D26*10^7</f>
        <v>1413355848.7517812</v>
      </c>
    </row>
    <row r="28" spans="1:18" hidden="1" x14ac:dyDescent="0.25">
      <c r="D28" s="675">
        <f>D27/100000</f>
        <v>14133.558487517812</v>
      </c>
    </row>
    <row r="29" spans="1:18" x14ac:dyDescent="0.25">
      <c r="D29" s="674">
        <f>D25+D18</f>
        <v>141.33558487517811</v>
      </c>
    </row>
    <row r="30" spans="1:18" x14ac:dyDescent="0.25">
      <c r="D30" s="92">
        <f>D29*10^7</f>
        <v>1413355848.7517812</v>
      </c>
    </row>
    <row r="31" spans="1:18" x14ac:dyDescent="0.25">
      <c r="D31" s="675">
        <f>D30/100000</f>
        <v>14133.558487517812</v>
      </c>
    </row>
    <row r="32" spans="1:18" x14ac:dyDescent="0.25">
      <c r="D32" s="92">
        <f>D18*10^7</f>
        <v>1017692906.2517811</v>
      </c>
    </row>
    <row r="33" spans="4:4" x14ac:dyDescent="0.25">
      <c r="D33" s="92">
        <f>D32/82500</f>
        <v>12335.67159093068</v>
      </c>
    </row>
  </sheetData>
  <mergeCells count="4">
    <mergeCell ref="A1:C2"/>
    <mergeCell ref="A19:C19"/>
    <mergeCell ref="A18:C18"/>
    <mergeCell ref="A25:C25"/>
  </mergeCells>
  <phoneticPr fontId="3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M93"/>
  <sheetViews>
    <sheetView showGridLines="0" zoomScaleNormal="100" workbookViewId="0">
      <selection activeCell="B3" sqref="B3:B11"/>
    </sheetView>
  </sheetViews>
  <sheetFormatPr defaultColWidth="9.140625" defaultRowHeight="12.75" x14ac:dyDescent="0.2"/>
  <cols>
    <col min="1" max="1" width="31.85546875" style="94" customWidth="1"/>
    <col min="2" max="2" width="25.7109375" style="94" customWidth="1"/>
    <col min="3" max="3" width="18" style="94" customWidth="1"/>
    <col min="4" max="4" width="14.7109375" style="94" customWidth="1"/>
    <col min="5" max="5" width="35" style="94" bestFit="1" customWidth="1"/>
    <col min="6" max="6" width="16.85546875" style="94" customWidth="1"/>
    <col min="7" max="7" width="13.28515625" style="94" customWidth="1"/>
    <col min="8" max="8" width="12" style="94" bestFit="1" customWidth="1"/>
    <col min="9" max="9" width="12" style="94" hidden="1" customWidth="1"/>
    <col min="10" max="10" width="0" style="94" hidden="1" customWidth="1"/>
    <col min="11" max="16384" width="9.140625" style="94"/>
  </cols>
  <sheetData>
    <row r="1" spans="1:13" x14ac:dyDescent="0.2">
      <c r="A1" s="266"/>
      <c r="B1" s="267"/>
      <c r="C1" s="268"/>
      <c r="D1" s="583" t="s">
        <v>424</v>
      </c>
      <c r="E1" s="584"/>
      <c r="F1" s="584"/>
      <c r="G1" s="583"/>
      <c r="H1" s="583"/>
      <c r="I1" s="268"/>
      <c r="J1" s="268"/>
    </row>
    <row r="2" spans="1:13" x14ac:dyDescent="0.2">
      <c r="A2" s="283" t="s">
        <v>80</v>
      </c>
      <c r="B2" s="283" t="s">
        <v>39</v>
      </c>
      <c r="C2" s="268"/>
      <c r="D2" s="676" t="s">
        <v>431</v>
      </c>
      <c r="E2" s="462" t="s">
        <v>6</v>
      </c>
      <c r="F2" s="585" t="s">
        <v>432</v>
      </c>
      <c r="G2" s="586" t="s">
        <v>441</v>
      </c>
      <c r="H2" s="585" t="s">
        <v>433</v>
      </c>
      <c r="I2" s="268"/>
      <c r="J2" s="268"/>
    </row>
    <row r="3" spans="1:13" x14ac:dyDescent="0.2">
      <c r="A3" s="282" t="s">
        <v>392</v>
      </c>
      <c r="B3" s="270">
        <v>0</v>
      </c>
      <c r="C3" s="268"/>
      <c r="D3" s="587">
        <v>1</v>
      </c>
      <c r="E3" s="588" t="s">
        <v>425</v>
      </c>
      <c r="F3" s="588">
        <v>3000</v>
      </c>
      <c r="G3" s="588" t="s">
        <v>435</v>
      </c>
      <c r="H3" s="461">
        <v>5</v>
      </c>
      <c r="I3" s="268"/>
      <c r="J3" s="268" t="s">
        <v>577</v>
      </c>
    </row>
    <row r="4" spans="1:13" x14ac:dyDescent="0.2">
      <c r="A4" s="282" t="s">
        <v>393</v>
      </c>
      <c r="B4" s="271">
        <f>D22</f>
        <v>8.254999999999999</v>
      </c>
      <c r="C4" s="268"/>
      <c r="D4" s="587">
        <v>2</v>
      </c>
      <c r="E4" s="588" t="s">
        <v>426</v>
      </c>
      <c r="F4" s="588">
        <v>50</v>
      </c>
      <c r="G4" s="588" t="s">
        <v>436</v>
      </c>
      <c r="H4" s="461">
        <v>1</v>
      </c>
      <c r="I4" s="268">
        <f>65*82</f>
        <v>5330</v>
      </c>
      <c r="J4" s="268">
        <f>I4/10</f>
        <v>533</v>
      </c>
    </row>
    <row r="5" spans="1:13" x14ac:dyDescent="0.2">
      <c r="A5" s="282" t="s">
        <v>394</v>
      </c>
      <c r="B5" s="271">
        <f>B45</f>
        <v>440.73750000000001</v>
      </c>
      <c r="C5" s="268"/>
      <c r="D5" s="587">
        <v>3</v>
      </c>
      <c r="E5" s="588" t="s">
        <v>427</v>
      </c>
      <c r="F5" s="588">
        <v>3</v>
      </c>
      <c r="G5" s="588" t="s">
        <v>437</v>
      </c>
      <c r="H5" s="461">
        <v>10</v>
      </c>
      <c r="I5" s="268"/>
      <c r="J5" s="268"/>
    </row>
    <row r="6" spans="1:13" x14ac:dyDescent="0.2">
      <c r="A6" s="282" t="s">
        <v>314</v>
      </c>
      <c r="B6" s="271">
        <f>B56</f>
        <v>15</v>
      </c>
      <c r="C6" s="268"/>
      <c r="D6" s="587">
        <v>4</v>
      </c>
      <c r="E6" s="588" t="s">
        <v>428</v>
      </c>
      <c r="F6" s="588">
        <v>5000</v>
      </c>
      <c r="G6" s="588" t="s">
        <v>46</v>
      </c>
      <c r="H6" s="461">
        <v>3</v>
      </c>
      <c r="I6" s="268"/>
      <c r="J6" s="268"/>
      <c r="M6" s="94">
        <f>(0.5/250)*5000</f>
        <v>10</v>
      </c>
    </row>
    <row r="7" spans="1:13" x14ac:dyDescent="0.2">
      <c r="A7" s="282" t="s">
        <v>327</v>
      </c>
      <c r="B7" s="271">
        <f>B30</f>
        <v>20</v>
      </c>
      <c r="C7" s="268"/>
      <c r="D7" s="587">
        <v>5</v>
      </c>
      <c r="E7" s="588" t="s">
        <v>429</v>
      </c>
      <c r="F7" s="588" t="s">
        <v>595</v>
      </c>
      <c r="G7" s="588" t="s">
        <v>46</v>
      </c>
      <c r="H7" s="461">
        <v>1.5</v>
      </c>
      <c r="I7" s="268"/>
      <c r="J7" s="268"/>
    </row>
    <row r="8" spans="1:13" x14ac:dyDescent="0.2">
      <c r="A8" s="282" t="s">
        <v>395</v>
      </c>
      <c r="B8" s="271">
        <f>B67</f>
        <v>2</v>
      </c>
      <c r="C8" s="268"/>
      <c r="D8" s="587">
        <v>6</v>
      </c>
      <c r="E8" s="588" t="s">
        <v>430</v>
      </c>
      <c r="F8" s="588">
        <v>100</v>
      </c>
      <c r="G8" s="588" t="s">
        <v>438</v>
      </c>
      <c r="H8" s="461">
        <v>0.5</v>
      </c>
      <c r="I8" s="268"/>
      <c r="J8" s="268"/>
    </row>
    <row r="9" spans="1:13" x14ac:dyDescent="0.2">
      <c r="A9" s="282" t="s">
        <v>303</v>
      </c>
      <c r="B9" s="271">
        <f>B34</f>
        <v>67.552957500000005</v>
      </c>
      <c r="C9" s="268"/>
      <c r="D9" s="587">
        <v>7</v>
      </c>
      <c r="E9" s="588" t="s">
        <v>434</v>
      </c>
      <c r="F9" s="588">
        <v>500</v>
      </c>
      <c r="G9" s="588" t="s">
        <v>439</v>
      </c>
      <c r="H9" s="461">
        <v>0.2</v>
      </c>
      <c r="I9" s="268"/>
      <c r="J9" s="268"/>
    </row>
    <row r="10" spans="1:13" x14ac:dyDescent="0.2">
      <c r="A10" s="282" t="s">
        <v>396</v>
      </c>
      <c r="B10" s="590">
        <v>4.5</v>
      </c>
      <c r="C10" s="268">
        <v>52</v>
      </c>
      <c r="D10" s="587">
        <v>8</v>
      </c>
      <c r="E10" s="679" t="s">
        <v>442</v>
      </c>
      <c r="F10" s="588">
        <v>2500</v>
      </c>
      <c r="G10" s="588" t="s">
        <v>440</v>
      </c>
      <c r="H10" s="461">
        <v>1.5</v>
      </c>
      <c r="I10" s="268"/>
      <c r="J10" s="268"/>
    </row>
    <row r="11" spans="1:13" ht="13.5" thickBot="1" x14ac:dyDescent="0.25">
      <c r="A11" s="284" t="s">
        <v>397</v>
      </c>
      <c r="B11" s="285">
        <f>SUM(B4:B10)+H14</f>
        <v>586.24545750000004</v>
      </c>
      <c r="C11" s="274">
        <f>B11*2%</f>
        <v>11.72490915</v>
      </c>
      <c r="D11" s="587">
        <v>9</v>
      </c>
      <c r="E11" s="680" t="s">
        <v>596</v>
      </c>
      <c r="F11" s="681">
        <v>15</v>
      </c>
      <c r="G11" s="681" t="s">
        <v>597</v>
      </c>
      <c r="H11" s="678">
        <v>0.5</v>
      </c>
      <c r="I11" s="268"/>
      <c r="J11" s="268"/>
    </row>
    <row r="12" spans="1:13" ht="13.5" thickBot="1" x14ac:dyDescent="0.25">
      <c r="A12" s="284"/>
      <c r="B12" s="285"/>
      <c r="C12" s="274"/>
      <c r="D12" s="587">
        <v>10</v>
      </c>
      <c r="E12" s="678" t="s">
        <v>598</v>
      </c>
      <c r="F12" s="681">
        <v>500</v>
      </c>
      <c r="G12" s="681" t="s">
        <v>599</v>
      </c>
      <c r="H12" s="678">
        <v>5</v>
      </c>
      <c r="I12" s="268"/>
      <c r="J12" s="268"/>
    </row>
    <row r="13" spans="1:13" x14ac:dyDescent="0.2">
      <c r="A13" s="282" t="s">
        <v>398</v>
      </c>
      <c r="B13" s="271">
        <f>K87/100</f>
        <v>40.890620660624997</v>
      </c>
      <c r="C13" s="274"/>
      <c r="I13" s="268"/>
      <c r="J13" s="268"/>
    </row>
    <row r="14" spans="1:13" x14ac:dyDescent="0.2">
      <c r="A14" s="29"/>
      <c r="B14" s="166">
        <f>B13+B11</f>
        <v>627.13607816062506</v>
      </c>
      <c r="C14" s="591">
        <f>'Working Capital'!F16</f>
        <v>4.3802582934699572</v>
      </c>
      <c r="D14" s="585"/>
      <c r="E14" s="462" t="s">
        <v>47</v>
      </c>
      <c r="F14" s="462"/>
      <c r="G14" s="585"/>
      <c r="H14" s="589">
        <f>SUM(H3:H12)</f>
        <v>28.2</v>
      </c>
      <c r="I14" s="268"/>
      <c r="J14" s="268"/>
    </row>
    <row r="15" spans="1:13" x14ac:dyDescent="0.2">
      <c r="A15" s="282" t="s">
        <v>352</v>
      </c>
      <c r="B15" s="272">
        <v>0.25</v>
      </c>
      <c r="C15" s="268"/>
      <c r="D15" s="671">
        <v>586.24545750000004</v>
      </c>
      <c r="E15" s="671">
        <f>D15*1.05</f>
        <v>615.55773037500012</v>
      </c>
      <c r="F15" s="294"/>
      <c r="G15" s="293"/>
      <c r="H15" s="293"/>
      <c r="I15" s="268"/>
      <c r="J15" s="268"/>
    </row>
    <row r="16" spans="1:13" x14ac:dyDescent="0.2">
      <c r="A16" s="266"/>
      <c r="B16" s="267"/>
      <c r="C16" s="268"/>
      <c r="D16" s="268"/>
      <c r="E16" s="682"/>
      <c r="F16" s="267"/>
      <c r="G16" s="268"/>
      <c r="H16" s="268"/>
      <c r="I16" s="268"/>
      <c r="J16" s="268"/>
    </row>
    <row r="17" spans="1:7" ht="41.25" customHeight="1" x14ac:dyDescent="0.2">
      <c r="A17" s="707"/>
      <c r="B17" s="707"/>
      <c r="C17" s="707"/>
      <c r="D17" s="707"/>
      <c r="E17" s="707"/>
      <c r="F17" s="503"/>
    </row>
    <row r="18" spans="1:7" x14ac:dyDescent="0.2">
      <c r="A18" s="260" t="s">
        <v>297</v>
      </c>
      <c r="B18" s="260" t="s">
        <v>298</v>
      </c>
      <c r="C18" s="260" t="s">
        <v>328</v>
      </c>
      <c r="D18" s="260" t="s">
        <v>295</v>
      </c>
      <c r="G18" s="684">
        <f>B11-[5]Capex!$B$11</f>
        <v>0.45370749999995041</v>
      </c>
    </row>
    <row r="19" spans="1:7" x14ac:dyDescent="0.2">
      <c r="A19" s="260"/>
      <c r="B19" s="260" t="s">
        <v>299</v>
      </c>
      <c r="C19" s="260"/>
      <c r="D19" s="260" t="s">
        <v>39</v>
      </c>
    </row>
    <row r="20" spans="1:7" x14ac:dyDescent="0.2">
      <c r="A20" s="260" t="s">
        <v>300</v>
      </c>
      <c r="B20" s="260">
        <f>31*42</f>
        <v>1302</v>
      </c>
      <c r="C20" s="260">
        <v>25000</v>
      </c>
      <c r="D20" s="263">
        <f>(C20*B20)/10^7</f>
        <v>3.2549999999999999</v>
      </c>
    </row>
    <row r="21" spans="1:7" ht="76.5" x14ac:dyDescent="0.2">
      <c r="A21" s="261" t="s">
        <v>301</v>
      </c>
      <c r="B21" s="264" t="s">
        <v>302</v>
      </c>
      <c r="C21" s="260"/>
      <c r="D21" s="677">
        <v>5</v>
      </c>
    </row>
    <row r="22" spans="1:7" x14ac:dyDescent="0.2">
      <c r="A22" s="260" t="s">
        <v>47</v>
      </c>
      <c r="B22" s="260"/>
      <c r="C22" s="260"/>
      <c r="D22" s="263">
        <f>SUM(D20:D21)</f>
        <v>8.254999999999999</v>
      </c>
    </row>
    <row r="23" spans="1:7" x14ac:dyDescent="0.2">
      <c r="A23" s="260"/>
      <c r="B23" s="260"/>
      <c r="C23" s="260"/>
      <c r="D23" s="260"/>
    </row>
    <row r="24" spans="1:7" x14ac:dyDescent="0.2">
      <c r="A24" s="260"/>
      <c r="B24" s="260"/>
      <c r="C24" s="260"/>
      <c r="D24" s="260"/>
    </row>
    <row r="25" spans="1:7" x14ac:dyDescent="0.2">
      <c r="A25" s="260" t="s">
        <v>303</v>
      </c>
      <c r="B25" s="260"/>
      <c r="C25" s="260"/>
      <c r="D25" s="260"/>
    </row>
    <row r="26" spans="1:7" x14ac:dyDescent="0.2">
      <c r="A26" s="260" t="s">
        <v>6</v>
      </c>
      <c r="B26" s="260" t="s">
        <v>39</v>
      </c>
      <c r="C26" s="260"/>
      <c r="D26" s="260"/>
    </row>
    <row r="27" spans="1:7" x14ac:dyDescent="0.2">
      <c r="A27" s="260" t="s">
        <v>304</v>
      </c>
      <c r="B27" s="263">
        <f>D22</f>
        <v>8.254999999999999</v>
      </c>
      <c r="C27" s="260"/>
      <c r="D27" s="260"/>
    </row>
    <row r="28" spans="1:7" x14ac:dyDescent="0.2">
      <c r="A28" s="260" t="s">
        <v>305</v>
      </c>
      <c r="B28" s="265">
        <f>B45</f>
        <v>440.73750000000001</v>
      </c>
      <c r="C28" s="260"/>
      <c r="D28" s="260"/>
    </row>
    <row r="29" spans="1:7" x14ac:dyDescent="0.2">
      <c r="A29" s="260" t="s">
        <v>314</v>
      </c>
      <c r="B29" s="260">
        <f>B56</f>
        <v>15</v>
      </c>
      <c r="C29" s="260"/>
      <c r="D29" s="260"/>
    </row>
    <row r="30" spans="1:7" x14ac:dyDescent="0.2">
      <c r="A30" s="260" t="s">
        <v>327</v>
      </c>
      <c r="B30" s="260">
        <v>20</v>
      </c>
      <c r="C30" s="260"/>
      <c r="D30" s="260"/>
    </row>
    <row r="31" spans="1:7" x14ac:dyDescent="0.2">
      <c r="A31" s="260" t="s">
        <v>306</v>
      </c>
      <c r="B31" s="260">
        <v>2</v>
      </c>
      <c r="C31" s="260"/>
      <c r="D31" s="260"/>
    </row>
    <row r="32" spans="1:7" x14ac:dyDescent="0.2">
      <c r="A32" s="260" t="s">
        <v>47</v>
      </c>
      <c r="B32" s="265">
        <f>SUM(B27:B31)</f>
        <v>485.99250000000001</v>
      </c>
      <c r="C32" s="260"/>
      <c r="D32" s="260"/>
    </row>
    <row r="33" spans="1:6" x14ac:dyDescent="0.2">
      <c r="A33" s="260"/>
      <c r="B33" s="260"/>
      <c r="C33" s="260"/>
      <c r="D33" s="260"/>
    </row>
    <row r="34" spans="1:6" x14ac:dyDescent="0.2">
      <c r="A34" s="260" t="s">
        <v>307</v>
      </c>
      <c r="B34" s="265">
        <f>B32*0.139</f>
        <v>67.552957500000005</v>
      </c>
      <c r="C34" s="260"/>
      <c r="D34" s="260"/>
      <c r="E34" s="684">
        <f>B32*0.14</f>
        <v>68.038950000000014</v>
      </c>
      <c r="F34" s="684">
        <f>E34-B34</f>
        <v>0.48599250000000893</v>
      </c>
    </row>
    <row r="35" spans="1:6" x14ac:dyDescent="0.2">
      <c r="A35" s="260"/>
      <c r="B35" s="260"/>
      <c r="C35" s="260"/>
      <c r="D35" s="260"/>
    </row>
    <row r="36" spans="1:6" x14ac:dyDescent="0.2">
      <c r="A36" s="260"/>
      <c r="B36" s="260"/>
      <c r="C36" s="260"/>
      <c r="D36" s="260"/>
    </row>
    <row r="37" spans="1:6" x14ac:dyDescent="0.2">
      <c r="A37" s="260"/>
      <c r="B37" s="260"/>
      <c r="C37" s="260"/>
      <c r="D37" s="260"/>
    </row>
    <row r="38" spans="1:6" x14ac:dyDescent="0.2">
      <c r="A38" s="260" t="s">
        <v>308</v>
      </c>
      <c r="B38" s="260" t="s">
        <v>39</v>
      </c>
      <c r="C38" s="260"/>
      <c r="D38" s="260"/>
    </row>
    <row r="39" spans="1:6" x14ac:dyDescent="0.2">
      <c r="A39" s="260" t="s">
        <v>309</v>
      </c>
      <c r="B39" s="501">
        <v>365</v>
      </c>
      <c r="C39" s="260">
        <v>365</v>
      </c>
      <c r="D39" s="260"/>
      <c r="E39" s="94">
        <v>370</v>
      </c>
      <c r="F39" s="501">
        <v>365</v>
      </c>
    </row>
    <row r="40" spans="1:6" x14ac:dyDescent="0.2">
      <c r="A40" s="260" t="s">
        <v>310</v>
      </c>
      <c r="B40" s="262">
        <f>5%*B39</f>
        <v>18.25</v>
      </c>
      <c r="C40" s="260"/>
      <c r="D40" s="260"/>
      <c r="F40" s="262">
        <f>5%*F39</f>
        <v>18.25</v>
      </c>
    </row>
    <row r="41" spans="1:6" x14ac:dyDescent="0.2">
      <c r="A41" s="260" t="s">
        <v>311</v>
      </c>
      <c r="B41" s="262">
        <f>1%*(B39+B40)</f>
        <v>3.8325</v>
      </c>
      <c r="C41" s="260"/>
      <c r="D41" s="260"/>
      <c r="F41" s="262"/>
    </row>
    <row r="42" spans="1:6" x14ac:dyDescent="0.2">
      <c r="A42" s="260" t="s">
        <v>312</v>
      </c>
      <c r="B42" s="262">
        <f>2%*(B39+B40)</f>
        <v>7.665</v>
      </c>
      <c r="C42" s="260"/>
      <c r="D42" s="260"/>
      <c r="F42" s="262">
        <f>2%*(F39+F40)</f>
        <v>7.665</v>
      </c>
    </row>
    <row r="43" spans="1:6" x14ac:dyDescent="0.2">
      <c r="A43" s="260" t="s">
        <v>578</v>
      </c>
      <c r="B43" s="262">
        <f>10%*(B39+B40)</f>
        <v>38.325000000000003</v>
      </c>
      <c r="C43" s="260"/>
      <c r="D43" s="260"/>
      <c r="E43" s="94">
        <f>10%*(B40+B39)</f>
        <v>38.325000000000003</v>
      </c>
      <c r="F43" s="262">
        <f>10%*(F39+F40)</f>
        <v>38.325000000000003</v>
      </c>
    </row>
    <row r="44" spans="1:6" x14ac:dyDescent="0.2">
      <c r="A44" s="260" t="s">
        <v>313</v>
      </c>
      <c r="B44" s="262">
        <f>2%*(B39+B40)</f>
        <v>7.665</v>
      </c>
      <c r="C44" s="260"/>
      <c r="D44" s="260"/>
      <c r="F44" s="262">
        <f>2%*(F39+F40)</f>
        <v>7.665</v>
      </c>
    </row>
    <row r="45" spans="1:6" x14ac:dyDescent="0.2">
      <c r="A45" s="260" t="s">
        <v>47</v>
      </c>
      <c r="B45" s="262">
        <f>SUM(B39:B44)</f>
        <v>440.73750000000001</v>
      </c>
      <c r="C45" s="260"/>
      <c r="D45" s="260"/>
      <c r="F45" s="262">
        <f>SUM(F39:F44)</f>
        <v>436.90500000000003</v>
      </c>
    </row>
    <row r="46" spans="1:6" x14ac:dyDescent="0.2">
      <c r="A46" s="260"/>
      <c r="B46" s="260"/>
      <c r="C46" s="260"/>
      <c r="D46" s="260"/>
    </row>
    <row r="47" spans="1:6" x14ac:dyDescent="0.2">
      <c r="A47" s="260" t="s">
        <v>314</v>
      </c>
      <c r="B47" s="260"/>
      <c r="C47" s="260"/>
      <c r="D47" s="260"/>
    </row>
    <row r="48" spans="1:6" x14ac:dyDescent="0.2">
      <c r="A48" s="260"/>
      <c r="B48" s="260"/>
      <c r="C48" s="260"/>
      <c r="D48" s="260"/>
    </row>
    <row r="49" spans="1:4" x14ac:dyDescent="0.2">
      <c r="A49" s="260" t="s">
        <v>315</v>
      </c>
      <c r="B49" s="260"/>
      <c r="C49" s="260"/>
      <c r="D49" s="260"/>
    </row>
    <row r="50" spans="1:4" x14ac:dyDescent="0.2">
      <c r="A50" s="260" t="s">
        <v>316</v>
      </c>
      <c r="B50" s="260"/>
      <c r="C50" s="260"/>
      <c r="D50" s="260"/>
    </row>
    <row r="51" spans="1:4" x14ac:dyDescent="0.2">
      <c r="A51" s="260" t="s">
        <v>317</v>
      </c>
      <c r="B51" s="260"/>
      <c r="C51" s="260"/>
      <c r="D51" s="260"/>
    </row>
    <row r="52" spans="1:4" x14ac:dyDescent="0.2">
      <c r="A52" s="260" t="s">
        <v>318</v>
      </c>
      <c r="B52" s="260"/>
      <c r="C52" s="260"/>
      <c r="D52" s="260"/>
    </row>
    <row r="53" spans="1:4" x14ac:dyDescent="0.2">
      <c r="A53" s="260" t="s">
        <v>319</v>
      </c>
      <c r="B53" s="260"/>
      <c r="C53" s="260"/>
      <c r="D53" s="260"/>
    </row>
    <row r="54" spans="1:4" x14ac:dyDescent="0.2">
      <c r="A54" s="260" t="s">
        <v>320</v>
      </c>
      <c r="B54" s="260"/>
      <c r="C54" s="260"/>
      <c r="D54" s="260"/>
    </row>
    <row r="55" spans="1:4" x14ac:dyDescent="0.2">
      <c r="A55" s="260" t="s">
        <v>330</v>
      </c>
      <c r="B55" s="260"/>
      <c r="C55" s="260"/>
      <c r="D55" s="260"/>
    </row>
    <row r="56" spans="1:4" x14ac:dyDescent="0.2">
      <c r="A56" s="260" t="s">
        <v>47</v>
      </c>
      <c r="B56" s="260">
        <v>15</v>
      </c>
      <c r="C56" s="260"/>
      <c r="D56" s="260"/>
    </row>
    <row r="57" spans="1:4" x14ac:dyDescent="0.2">
      <c r="A57" s="260"/>
      <c r="B57" s="260"/>
      <c r="C57" s="260"/>
      <c r="D57" s="260"/>
    </row>
    <row r="58" spans="1:4" x14ac:dyDescent="0.2">
      <c r="A58" s="260"/>
      <c r="B58" s="260"/>
      <c r="C58" s="260"/>
      <c r="D58" s="260"/>
    </row>
    <row r="59" spans="1:4" x14ac:dyDescent="0.2">
      <c r="A59" s="260" t="s">
        <v>321</v>
      </c>
      <c r="B59" s="260"/>
      <c r="C59" s="260"/>
      <c r="D59" s="260"/>
    </row>
    <row r="60" spans="1:4" x14ac:dyDescent="0.2">
      <c r="A60" s="260"/>
      <c r="B60" s="260"/>
      <c r="C60" s="260"/>
      <c r="D60" s="260"/>
    </row>
    <row r="61" spans="1:4" x14ac:dyDescent="0.2">
      <c r="A61" s="260" t="s">
        <v>6</v>
      </c>
      <c r="B61" s="260"/>
      <c r="C61" s="260"/>
      <c r="D61" s="260"/>
    </row>
    <row r="62" spans="1:4" x14ac:dyDescent="0.2">
      <c r="A62" s="260" t="s">
        <v>322</v>
      </c>
      <c r="B62" s="260"/>
      <c r="C62" s="260"/>
      <c r="D62" s="260"/>
    </row>
    <row r="63" spans="1:4" x14ac:dyDescent="0.2">
      <c r="A63" s="260" t="s">
        <v>323</v>
      </c>
      <c r="B63" s="260"/>
      <c r="C63" s="260"/>
      <c r="D63" s="260"/>
    </row>
    <row r="64" spans="1:4" x14ac:dyDescent="0.2">
      <c r="A64" s="260" t="s">
        <v>324</v>
      </c>
      <c r="B64" s="260"/>
      <c r="C64" s="260"/>
      <c r="D64" s="260"/>
    </row>
    <row r="65" spans="1:11" x14ac:dyDescent="0.2">
      <c r="A65" s="260" t="s">
        <v>325</v>
      </c>
      <c r="B65" s="260"/>
      <c r="C65" s="260"/>
      <c r="D65" s="260"/>
    </row>
    <row r="66" spans="1:11" x14ac:dyDescent="0.2">
      <c r="A66" s="260" t="s">
        <v>326</v>
      </c>
      <c r="B66" s="260"/>
      <c r="C66" s="260"/>
      <c r="D66" s="260"/>
    </row>
    <row r="67" spans="1:11" x14ac:dyDescent="0.2">
      <c r="A67" s="260" t="s">
        <v>47</v>
      </c>
      <c r="B67" s="260">
        <v>2</v>
      </c>
      <c r="C67" s="260"/>
      <c r="D67" s="260"/>
    </row>
    <row r="68" spans="1:11" s="1" customFormat="1" x14ac:dyDescent="0.2">
      <c r="A68" s="349"/>
      <c r="B68" s="349"/>
      <c r="C68" s="349"/>
      <c r="D68" s="349"/>
      <c r="E68" s="349"/>
      <c r="F68" s="349"/>
      <c r="G68" s="349"/>
      <c r="H68" s="349"/>
      <c r="I68" s="349"/>
      <c r="J68" s="349"/>
      <c r="K68" s="349"/>
    </row>
    <row r="69" spans="1:11" s="319" customFormat="1" x14ac:dyDescent="0.2">
      <c r="A69" s="592" t="s">
        <v>398</v>
      </c>
      <c r="B69" s="349"/>
      <c r="C69" s="349"/>
      <c r="D69" s="349"/>
      <c r="E69" s="349"/>
      <c r="F69" s="349"/>
      <c r="G69" s="349"/>
      <c r="H69" s="349"/>
      <c r="I69" s="349"/>
      <c r="J69" s="349"/>
      <c r="K69" s="349"/>
    </row>
    <row r="70" spans="1:11" s="319" customFormat="1" x14ac:dyDescent="0.2">
      <c r="A70" s="349"/>
      <c r="B70" s="349"/>
      <c r="C70" s="349"/>
      <c r="D70" s="349"/>
      <c r="E70" s="349"/>
      <c r="F70" s="349"/>
      <c r="G70" s="349"/>
      <c r="H70" s="349"/>
      <c r="I70" s="349"/>
      <c r="J70" s="349"/>
      <c r="K70" s="349"/>
    </row>
    <row r="71" spans="1:11" s="319" customFormat="1" x14ac:dyDescent="0.2">
      <c r="A71" s="347" t="s">
        <v>469</v>
      </c>
      <c r="B71" s="552">
        <f>B11*100</f>
        <v>58624.545750000005</v>
      </c>
      <c r="C71" s="347" t="s">
        <v>470</v>
      </c>
      <c r="D71" s="349"/>
      <c r="E71" s="349"/>
      <c r="F71" s="349"/>
      <c r="G71" s="349"/>
      <c r="H71" s="349"/>
      <c r="I71" s="349"/>
      <c r="J71" s="349"/>
      <c r="K71" s="349"/>
    </row>
    <row r="72" spans="1:11" s="319" customFormat="1" x14ac:dyDescent="0.2">
      <c r="A72" s="347" t="s">
        <v>410</v>
      </c>
      <c r="B72" s="438">
        <f>K87</f>
        <v>4089.0620660625</v>
      </c>
      <c r="C72" s="347" t="s">
        <v>470</v>
      </c>
      <c r="D72" s="349"/>
      <c r="E72" s="349"/>
      <c r="F72" s="349"/>
      <c r="G72" s="349"/>
      <c r="H72" s="349"/>
      <c r="I72" s="349"/>
      <c r="J72" s="349"/>
      <c r="K72" s="349"/>
    </row>
    <row r="73" spans="1:11" s="319" customFormat="1" x14ac:dyDescent="0.2">
      <c r="A73" s="347" t="s">
        <v>475</v>
      </c>
      <c r="B73" s="593">
        <f>B71+B72</f>
        <v>62713.607816062504</v>
      </c>
      <c r="C73" s="347" t="s">
        <v>470</v>
      </c>
      <c r="D73" s="349"/>
      <c r="E73" s="349"/>
      <c r="F73" s="349"/>
      <c r="G73" s="349"/>
      <c r="H73" s="349"/>
      <c r="I73" s="349"/>
      <c r="J73" s="349"/>
      <c r="K73" s="349"/>
    </row>
    <row r="74" spans="1:11" s="319" customFormat="1" x14ac:dyDescent="0.2">
      <c r="A74" s="347"/>
      <c r="B74" s="552"/>
      <c r="C74" s="347"/>
      <c r="D74" s="349"/>
      <c r="E74" s="349"/>
      <c r="F74" s="349"/>
      <c r="G74" s="349"/>
      <c r="H74" s="349"/>
      <c r="I74" s="349"/>
      <c r="J74" s="349"/>
      <c r="K74" s="349"/>
    </row>
    <row r="75" spans="1:11" s="319" customFormat="1" x14ac:dyDescent="0.2">
      <c r="A75" s="347" t="s">
        <v>472</v>
      </c>
      <c r="B75" s="594">
        <v>0.75</v>
      </c>
      <c r="C75" s="594">
        <v>0.25</v>
      </c>
      <c r="D75" s="349"/>
      <c r="E75" s="349"/>
      <c r="F75" s="349"/>
      <c r="G75" s="349"/>
      <c r="H75" s="349"/>
      <c r="I75" s="349"/>
      <c r="J75" s="349"/>
      <c r="K75" s="349"/>
    </row>
    <row r="76" spans="1:11" s="319" customFormat="1" x14ac:dyDescent="0.2">
      <c r="A76" s="347" t="s">
        <v>417</v>
      </c>
      <c r="B76" s="595">
        <f>B71-B77+B72</f>
        <v>48057.471378562506</v>
      </c>
      <c r="C76" s="347"/>
      <c r="D76" s="349"/>
      <c r="E76" s="349"/>
      <c r="F76" s="349"/>
      <c r="G76" s="349"/>
      <c r="H76" s="349"/>
      <c r="I76" s="349"/>
      <c r="J76" s="349"/>
      <c r="K76" s="349"/>
    </row>
    <row r="77" spans="1:11" s="319" customFormat="1" x14ac:dyDescent="0.2">
      <c r="A77" s="347" t="s">
        <v>418</v>
      </c>
      <c r="B77" s="595">
        <f>B71*C75</f>
        <v>14656.136437500001</v>
      </c>
      <c r="C77" s="347"/>
      <c r="D77" s="349"/>
      <c r="E77" s="349"/>
      <c r="F77" s="349"/>
      <c r="G77" s="349"/>
      <c r="H77" s="349"/>
      <c r="I77" s="349"/>
      <c r="J77" s="349"/>
      <c r="K77" s="349"/>
    </row>
    <row r="78" spans="1:11" s="319" customFormat="1" x14ac:dyDescent="0.2">
      <c r="A78" s="347"/>
      <c r="B78" s="596">
        <f>B76+B77</f>
        <v>62713.607816062504</v>
      </c>
      <c r="C78" s="585"/>
      <c r="D78" s="592"/>
      <c r="E78" s="592"/>
      <c r="F78" s="592"/>
      <c r="G78" s="592"/>
      <c r="H78" s="349"/>
      <c r="I78" s="592"/>
      <c r="J78" s="592"/>
      <c r="K78" s="592"/>
    </row>
    <row r="79" spans="1:11" s="281" customFormat="1" x14ac:dyDescent="0.2">
      <c r="A79" s="328">
        <v>1</v>
      </c>
      <c r="B79" s="329" t="s">
        <v>459</v>
      </c>
      <c r="C79" s="464">
        <v>24</v>
      </c>
      <c r="D79" s="324"/>
      <c r="E79" s="324"/>
      <c r="F79" s="324"/>
      <c r="G79" s="324"/>
      <c r="H79" s="324"/>
      <c r="I79" s="324"/>
      <c r="J79" s="324"/>
      <c r="K79" s="324"/>
    </row>
    <row r="80" spans="1:11" s="281" customFormat="1" x14ac:dyDescent="0.2">
      <c r="A80" s="328">
        <v>2</v>
      </c>
      <c r="B80" s="329" t="s">
        <v>460</v>
      </c>
      <c r="C80" s="599">
        <f>Norms!B52</f>
        <v>0.09</v>
      </c>
      <c r="D80" s="324"/>
      <c r="E80" s="324"/>
      <c r="F80" s="324"/>
      <c r="G80" s="324"/>
      <c r="H80" s="324"/>
      <c r="I80" s="324"/>
      <c r="J80" s="324"/>
      <c r="K80" s="324"/>
    </row>
    <row r="81" spans="1:11" s="319" customFormat="1" x14ac:dyDescent="0.2">
      <c r="A81" s="206"/>
      <c r="B81" s="349"/>
      <c r="C81" s="597"/>
      <c r="D81" s="349"/>
      <c r="E81" s="704" t="s">
        <v>418</v>
      </c>
      <c r="F81" s="705"/>
      <c r="G81" s="706"/>
      <c r="H81" s="704" t="s">
        <v>417</v>
      </c>
      <c r="I81" s="705"/>
      <c r="J81" s="705"/>
      <c r="K81" s="706"/>
    </row>
    <row r="82" spans="1:11" s="319" customFormat="1" x14ac:dyDescent="0.2">
      <c r="A82" s="346" t="s">
        <v>402</v>
      </c>
      <c r="B82" s="347" t="s">
        <v>464</v>
      </c>
      <c r="C82" s="438" t="s">
        <v>463</v>
      </c>
      <c r="D82" s="346" t="s">
        <v>471</v>
      </c>
      <c r="E82" s="346" t="s">
        <v>474</v>
      </c>
      <c r="F82" s="346" t="s">
        <v>461</v>
      </c>
      <c r="G82" s="346" t="s">
        <v>473</v>
      </c>
      <c r="H82" s="346" t="s">
        <v>474</v>
      </c>
      <c r="I82" s="346" t="s">
        <v>462</v>
      </c>
      <c r="J82" s="346" t="s">
        <v>473</v>
      </c>
      <c r="K82" s="346" t="s">
        <v>280</v>
      </c>
    </row>
    <row r="83" spans="1:11" s="281" customFormat="1" x14ac:dyDescent="0.2">
      <c r="A83" s="328">
        <v>1</v>
      </c>
      <c r="B83" s="347" t="s">
        <v>465</v>
      </c>
      <c r="C83" s="598">
        <v>0.2</v>
      </c>
      <c r="D83" s="438">
        <f>C83*$B$71</f>
        <v>11724.909150000001</v>
      </c>
      <c r="E83" s="464">
        <f>D83</f>
        <v>11724.909150000001</v>
      </c>
      <c r="F83" s="464">
        <f>E83</f>
        <v>11724.909150000001</v>
      </c>
      <c r="G83" s="464">
        <f>B77-F83</f>
        <v>2931.2272874999999</v>
      </c>
      <c r="H83" s="464">
        <f>D83-E83</f>
        <v>0</v>
      </c>
      <c r="I83" s="464">
        <f>H83</f>
        <v>0</v>
      </c>
      <c r="J83" s="464">
        <f>B76-I83</f>
        <v>48057.471378562506</v>
      </c>
      <c r="K83" s="464">
        <f>I83*$C$80/2</f>
        <v>0</v>
      </c>
    </row>
    <row r="84" spans="1:11" s="281" customFormat="1" x14ac:dyDescent="0.2">
      <c r="A84" s="328">
        <v>2</v>
      </c>
      <c r="B84" s="347" t="s">
        <v>466</v>
      </c>
      <c r="C84" s="598">
        <v>0.3</v>
      </c>
      <c r="D84" s="438">
        <f t="shared" ref="D84:D86" si="0">C84*$B$71</f>
        <v>17587.363724999999</v>
      </c>
      <c r="E84" s="464">
        <f>IF(G83&gt;0, MIN(D84,G83),0)</f>
        <v>2931.2272874999999</v>
      </c>
      <c r="F84" s="464">
        <f>E84+F83</f>
        <v>14656.136437500001</v>
      </c>
      <c r="G84" s="464">
        <f>$B$77-F84</f>
        <v>0</v>
      </c>
      <c r="H84" s="464">
        <f>D84-E84</f>
        <v>14656.136437499999</v>
      </c>
      <c r="I84" s="464">
        <f>H84+I83</f>
        <v>14656.136437499999</v>
      </c>
      <c r="J84" s="464">
        <f>$B$76-I84</f>
        <v>33401.334941062509</v>
      </c>
      <c r="K84" s="464">
        <f t="shared" ref="K84:K86" si="1">I84*$C$80/2</f>
        <v>659.52613968749995</v>
      </c>
    </row>
    <row r="85" spans="1:11" s="281" customFormat="1" x14ac:dyDescent="0.2">
      <c r="A85" s="328">
        <v>3</v>
      </c>
      <c r="B85" s="347" t="s">
        <v>467</v>
      </c>
      <c r="C85" s="598">
        <v>0.3</v>
      </c>
      <c r="D85" s="438">
        <f t="shared" si="0"/>
        <v>17587.363724999999</v>
      </c>
      <c r="E85" s="464">
        <f>IF(G84&gt;0, MIN(D85,G84),0)</f>
        <v>0</v>
      </c>
      <c r="F85" s="464">
        <f>E85+F84</f>
        <v>14656.136437500001</v>
      </c>
      <c r="G85" s="464">
        <f t="shared" ref="G85:G87" si="2">$B$77-F85</f>
        <v>0</v>
      </c>
      <c r="H85" s="464">
        <f t="shared" ref="H85:H86" si="3">D85-E85</f>
        <v>17587.363724999999</v>
      </c>
      <c r="I85" s="464">
        <f>H85+I84</f>
        <v>32243.5001625</v>
      </c>
      <c r="J85" s="464">
        <f>$B$76-I85</f>
        <v>15813.971216062506</v>
      </c>
      <c r="K85" s="464">
        <f t="shared" si="1"/>
        <v>1450.9575073125</v>
      </c>
    </row>
    <row r="86" spans="1:11" s="281" customFormat="1" x14ac:dyDescent="0.2">
      <c r="A86" s="328">
        <v>4</v>
      </c>
      <c r="B86" s="347" t="s">
        <v>468</v>
      </c>
      <c r="C86" s="598">
        <v>0.2</v>
      </c>
      <c r="D86" s="438">
        <f t="shared" si="0"/>
        <v>11724.909150000001</v>
      </c>
      <c r="E86" s="464">
        <f>IF(G85&gt;0, MIN(D86,G85),0)</f>
        <v>0</v>
      </c>
      <c r="F86" s="464">
        <f>E86+F85</f>
        <v>14656.136437500001</v>
      </c>
      <c r="G86" s="464">
        <f t="shared" si="2"/>
        <v>0</v>
      </c>
      <c r="H86" s="464">
        <f t="shared" si="3"/>
        <v>11724.909150000001</v>
      </c>
      <c r="I86" s="464">
        <f>H86+I85</f>
        <v>43968.4093125</v>
      </c>
      <c r="J86" s="464">
        <f>$B$76-I86</f>
        <v>4089.0620660625063</v>
      </c>
      <c r="K86" s="464">
        <f t="shared" si="1"/>
        <v>1978.5784190625</v>
      </c>
    </row>
    <row r="87" spans="1:11" s="281" customFormat="1" x14ac:dyDescent="0.2">
      <c r="A87" s="328"/>
      <c r="B87" s="359" t="s">
        <v>47</v>
      </c>
      <c r="C87" s="599">
        <f>SUM(C83:C86)</f>
        <v>1</v>
      </c>
      <c r="D87" s="438">
        <f>SUM(D83:D86)</f>
        <v>58624.545749999997</v>
      </c>
      <c r="E87" s="464">
        <f>SUM(E83:E86)</f>
        <v>14656.136437500001</v>
      </c>
      <c r="F87" s="464">
        <f>F86</f>
        <v>14656.136437500001</v>
      </c>
      <c r="G87" s="464">
        <f t="shared" si="2"/>
        <v>0</v>
      </c>
      <c r="H87" s="464">
        <f>SUM(H83:H86)</f>
        <v>43968.4093125</v>
      </c>
      <c r="I87" s="464">
        <f>I86</f>
        <v>43968.4093125</v>
      </c>
      <c r="J87" s="464">
        <f>J86</f>
        <v>4089.0620660625063</v>
      </c>
      <c r="K87" s="600">
        <f>SUM(K83:K86)</f>
        <v>4089.0620660625</v>
      </c>
    </row>
    <row r="88" spans="1:11" s="281" customFormat="1" x14ac:dyDescent="0.2"/>
    <row r="93" spans="1:11" x14ac:dyDescent="0.2">
      <c r="K93" s="94" t="s">
        <v>249</v>
      </c>
    </row>
  </sheetData>
  <mergeCells count="3">
    <mergeCell ref="H81:K81"/>
    <mergeCell ref="A17:E17"/>
    <mergeCell ref="E81:G8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0"/>
  <sheetViews>
    <sheetView workbookViewId="0">
      <selection activeCell="C6" sqref="C6"/>
    </sheetView>
  </sheetViews>
  <sheetFormatPr defaultColWidth="9.140625" defaultRowHeight="12.75" x14ac:dyDescent="0.2"/>
  <cols>
    <col min="1" max="1" width="9.140625" style="604"/>
    <col min="2" max="2" width="34.85546875" style="604" customWidth="1"/>
    <col min="3" max="3" width="14.28515625" style="604" customWidth="1"/>
    <col min="4" max="16384" width="9.140625" style="604"/>
  </cols>
  <sheetData>
    <row r="1" spans="1:18" x14ac:dyDescent="0.2">
      <c r="B1" s="642" t="s">
        <v>548</v>
      </c>
    </row>
    <row r="2" spans="1:18" x14ac:dyDescent="0.2">
      <c r="A2" s="316" t="s">
        <v>402</v>
      </c>
      <c r="B2" s="643" t="s">
        <v>333</v>
      </c>
      <c r="C2" s="316" t="s">
        <v>541</v>
      </c>
      <c r="D2" s="316" t="s">
        <v>476</v>
      </c>
      <c r="E2" s="316" t="s">
        <v>477</v>
      </c>
      <c r="H2" s="644"/>
      <c r="I2" s="644"/>
      <c r="J2" s="644"/>
      <c r="K2" s="644"/>
      <c r="L2" s="644"/>
      <c r="M2" s="644"/>
      <c r="N2" s="644"/>
      <c r="O2" s="644"/>
      <c r="P2" s="644"/>
      <c r="Q2" s="644"/>
      <c r="R2" s="644"/>
    </row>
    <row r="3" spans="1:18" x14ac:dyDescent="0.2">
      <c r="A3" s="300">
        <v>1</v>
      </c>
      <c r="B3" s="645" t="s">
        <v>58</v>
      </c>
      <c r="C3" s="646">
        <f>Capex!B5</f>
        <v>440.73750000000001</v>
      </c>
      <c r="D3" s="647">
        <v>6.3299999999999995E-2</v>
      </c>
      <c r="E3" s="648">
        <v>0.15</v>
      </c>
      <c r="H3" s="644"/>
      <c r="I3" s="644"/>
      <c r="J3" s="644"/>
      <c r="K3" s="644"/>
      <c r="L3" s="644"/>
      <c r="M3" s="644"/>
      <c r="N3" s="644"/>
      <c r="O3" s="644"/>
      <c r="P3" s="644"/>
      <c r="Q3" s="644"/>
      <c r="R3" s="644"/>
    </row>
    <row r="4" spans="1:18" x14ac:dyDescent="0.2">
      <c r="A4" s="300">
        <v>2</v>
      </c>
      <c r="B4" s="301" t="s">
        <v>479</v>
      </c>
      <c r="C4" s="646">
        <f>Capex!B4</f>
        <v>8.254999999999999</v>
      </c>
      <c r="D4" s="647">
        <v>3.1699999999999999E-2</v>
      </c>
      <c r="E4" s="648">
        <v>0.1</v>
      </c>
      <c r="H4" s="644"/>
      <c r="I4" s="644"/>
      <c r="J4" s="644"/>
      <c r="K4" s="644"/>
      <c r="L4" s="644"/>
      <c r="M4" s="644"/>
      <c r="N4" s="644"/>
      <c r="O4" s="644"/>
      <c r="P4" s="644"/>
      <c r="Q4" s="644"/>
      <c r="R4" s="644"/>
    </row>
    <row r="5" spans="1:18" x14ac:dyDescent="0.2">
      <c r="A5" s="300">
        <v>3</v>
      </c>
      <c r="B5" s="301" t="s">
        <v>478</v>
      </c>
      <c r="C5" s="646">
        <f>Capex!B11-C3-C4</f>
        <v>137.25295750000004</v>
      </c>
      <c r="D5" s="647">
        <v>6.3299999999999995E-2</v>
      </c>
      <c r="E5" s="648">
        <v>0.15</v>
      </c>
      <c r="H5" s="644"/>
      <c r="I5" s="644" t="s">
        <v>249</v>
      </c>
      <c r="J5" s="644"/>
      <c r="K5" s="644"/>
      <c r="L5" s="644"/>
      <c r="M5" s="644"/>
      <c r="N5" s="644"/>
      <c r="O5" s="644"/>
      <c r="P5" s="644"/>
      <c r="Q5" s="644"/>
      <c r="R5" s="644"/>
    </row>
    <row r="6" spans="1:18" x14ac:dyDescent="0.2">
      <c r="A6" s="300">
        <v>4</v>
      </c>
      <c r="B6" s="649" t="s">
        <v>47</v>
      </c>
      <c r="C6" s="650">
        <f>SUM(C3:C5)</f>
        <v>586.24545750000004</v>
      </c>
      <c r="D6" s="644"/>
      <c r="E6" s="644"/>
      <c r="F6" s="644"/>
      <c r="G6" s="644"/>
      <c r="H6" s="644"/>
      <c r="I6" s="644"/>
      <c r="J6" s="644"/>
      <c r="K6" s="644"/>
      <c r="L6" s="644"/>
      <c r="M6" s="644"/>
      <c r="N6" s="644"/>
      <c r="O6" s="644"/>
      <c r="P6" s="644"/>
      <c r="Q6" s="644"/>
      <c r="R6" s="644"/>
    </row>
    <row r="7" spans="1:18" x14ac:dyDescent="0.2">
      <c r="A7" s="302"/>
      <c r="B7" s="651"/>
      <c r="C7" s="652"/>
      <c r="D7" s="303"/>
      <c r="E7" s="303"/>
      <c r="F7" s="303"/>
      <c r="G7" s="644"/>
      <c r="H7" s="644"/>
      <c r="I7" s="644"/>
      <c r="J7" s="644"/>
      <c r="K7" s="644"/>
      <c r="L7" s="644"/>
      <c r="M7" s="644"/>
      <c r="N7" s="644"/>
      <c r="O7" s="644"/>
      <c r="P7" s="644"/>
      <c r="Q7" s="644"/>
      <c r="R7" s="644"/>
    </row>
    <row r="8" spans="1:18" ht="15.75" x14ac:dyDescent="0.2">
      <c r="A8" s="708" t="s">
        <v>549</v>
      </c>
      <c r="B8" s="708"/>
      <c r="C8" s="708"/>
      <c r="D8" s="708"/>
      <c r="E8" s="708"/>
      <c r="F8" s="708"/>
      <c r="G8" s="708"/>
      <c r="H8" s="708"/>
      <c r="I8" s="708"/>
      <c r="J8" s="708"/>
      <c r="K8" s="708"/>
      <c r="L8" s="708"/>
      <c r="M8" s="708"/>
      <c r="N8" s="708"/>
      <c r="O8" s="708"/>
      <c r="P8" s="708"/>
      <c r="Q8" s="708"/>
      <c r="R8" s="708"/>
    </row>
    <row r="9" spans="1:18" s="642" customFormat="1" x14ac:dyDescent="0.2">
      <c r="A9" s="316" t="s">
        <v>402</v>
      </c>
      <c r="B9" s="316" t="s">
        <v>333</v>
      </c>
      <c r="C9" s="653" t="s">
        <v>441</v>
      </c>
      <c r="D9" s="653">
        <v>1</v>
      </c>
      <c r="E9" s="653">
        <v>2</v>
      </c>
      <c r="F9" s="653">
        <v>3</v>
      </c>
      <c r="G9" s="653">
        <v>4</v>
      </c>
      <c r="H9" s="653">
        <v>5</v>
      </c>
      <c r="I9" s="653">
        <v>6</v>
      </c>
      <c r="J9" s="653">
        <v>7</v>
      </c>
      <c r="K9" s="653">
        <v>8</v>
      </c>
      <c r="L9" s="653">
        <v>9</v>
      </c>
      <c r="M9" s="653">
        <v>10</v>
      </c>
      <c r="N9" s="653">
        <v>11</v>
      </c>
      <c r="O9" s="653">
        <v>12</v>
      </c>
      <c r="P9" s="653">
        <v>13</v>
      </c>
      <c r="Q9" s="653">
        <v>14</v>
      </c>
      <c r="R9" s="653">
        <v>15</v>
      </c>
    </row>
    <row r="10" spans="1:18" x14ac:dyDescent="0.2">
      <c r="A10" s="654">
        <v>1</v>
      </c>
      <c r="B10" s="655" t="str">
        <f>B3</f>
        <v>Plant &amp; Machinery</v>
      </c>
      <c r="C10" s="316" t="s">
        <v>541</v>
      </c>
      <c r="D10" s="656">
        <f>$C$3*$D$3</f>
        <v>27.89868375</v>
      </c>
      <c r="E10" s="656">
        <f t="shared" ref="E10:R10" si="0">$C$3*$D$3</f>
        <v>27.89868375</v>
      </c>
      <c r="F10" s="656">
        <f t="shared" si="0"/>
        <v>27.89868375</v>
      </c>
      <c r="G10" s="656">
        <f t="shared" si="0"/>
        <v>27.89868375</v>
      </c>
      <c r="H10" s="656">
        <f t="shared" si="0"/>
        <v>27.89868375</v>
      </c>
      <c r="I10" s="656">
        <f t="shared" si="0"/>
        <v>27.89868375</v>
      </c>
      <c r="J10" s="656">
        <f t="shared" si="0"/>
        <v>27.89868375</v>
      </c>
      <c r="K10" s="656">
        <f t="shared" si="0"/>
        <v>27.89868375</v>
      </c>
      <c r="L10" s="656">
        <f t="shared" si="0"/>
        <v>27.89868375</v>
      </c>
      <c r="M10" s="656">
        <f t="shared" si="0"/>
        <v>27.89868375</v>
      </c>
      <c r="N10" s="656">
        <f t="shared" si="0"/>
        <v>27.89868375</v>
      </c>
      <c r="O10" s="656">
        <f t="shared" si="0"/>
        <v>27.89868375</v>
      </c>
      <c r="P10" s="656">
        <f t="shared" si="0"/>
        <v>27.89868375</v>
      </c>
      <c r="Q10" s="656">
        <f t="shared" si="0"/>
        <v>27.89868375</v>
      </c>
      <c r="R10" s="656">
        <f t="shared" si="0"/>
        <v>27.89868375</v>
      </c>
    </row>
    <row r="11" spans="1:18" x14ac:dyDescent="0.2">
      <c r="A11" s="654">
        <v>2</v>
      </c>
      <c r="B11" s="655" t="str">
        <f>B4</f>
        <v>Civil Works-building &amp; site development</v>
      </c>
      <c r="C11" s="657" t="str">
        <f>C10</f>
        <v>INR Cr</v>
      </c>
      <c r="D11" s="656">
        <f>$C$4*$D$4</f>
        <v>0.26168349999999996</v>
      </c>
      <c r="E11" s="656">
        <f t="shared" ref="E11:R11" si="1">$C$4*$D$4</f>
        <v>0.26168349999999996</v>
      </c>
      <c r="F11" s="656">
        <f t="shared" si="1"/>
        <v>0.26168349999999996</v>
      </c>
      <c r="G11" s="656">
        <f t="shared" si="1"/>
        <v>0.26168349999999996</v>
      </c>
      <c r="H11" s="656">
        <f t="shared" si="1"/>
        <v>0.26168349999999996</v>
      </c>
      <c r="I11" s="656">
        <f t="shared" si="1"/>
        <v>0.26168349999999996</v>
      </c>
      <c r="J11" s="656">
        <f t="shared" si="1"/>
        <v>0.26168349999999996</v>
      </c>
      <c r="K11" s="656">
        <f t="shared" si="1"/>
        <v>0.26168349999999996</v>
      </c>
      <c r="L11" s="656">
        <f t="shared" si="1"/>
        <v>0.26168349999999996</v>
      </c>
      <c r="M11" s="656">
        <f t="shared" si="1"/>
        <v>0.26168349999999996</v>
      </c>
      <c r="N11" s="656">
        <f t="shared" si="1"/>
        <v>0.26168349999999996</v>
      </c>
      <c r="O11" s="656">
        <f t="shared" si="1"/>
        <v>0.26168349999999996</v>
      </c>
      <c r="P11" s="656">
        <f t="shared" si="1"/>
        <v>0.26168349999999996</v>
      </c>
      <c r="Q11" s="656">
        <f t="shared" si="1"/>
        <v>0.26168349999999996</v>
      </c>
      <c r="R11" s="656">
        <f t="shared" si="1"/>
        <v>0.26168349999999996</v>
      </c>
    </row>
    <row r="12" spans="1:18" x14ac:dyDescent="0.2">
      <c r="A12" s="654">
        <v>3</v>
      </c>
      <c r="B12" s="655" t="str">
        <f>B5</f>
        <v>Miscellaneous</v>
      </c>
      <c r="C12" s="658" t="str">
        <f>C10</f>
        <v>INR Cr</v>
      </c>
      <c r="D12" s="656">
        <f>$C$5*$D$5</f>
        <v>8.6881122097500008</v>
      </c>
      <c r="E12" s="656">
        <f t="shared" ref="E12:R12" si="2">$C$5*$D$5</f>
        <v>8.6881122097500008</v>
      </c>
      <c r="F12" s="656">
        <f t="shared" si="2"/>
        <v>8.6881122097500008</v>
      </c>
      <c r="G12" s="656">
        <f t="shared" si="2"/>
        <v>8.6881122097500008</v>
      </c>
      <c r="H12" s="656">
        <f t="shared" si="2"/>
        <v>8.6881122097500008</v>
      </c>
      <c r="I12" s="656">
        <f t="shared" si="2"/>
        <v>8.6881122097500008</v>
      </c>
      <c r="J12" s="656">
        <f t="shared" si="2"/>
        <v>8.6881122097500008</v>
      </c>
      <c r="K12" s="656">
        <f t="shared" si="2"/>
        <v>8.6881122097500008</v>
      </c>
      <c r="L12" s="656">
        <f t="shared" si="2"/>
        <v>8.6881122097500008</v>
      </c>
      <c r="M12" s="656">
        <f t="shared" si="2"/>
        <v>8.6881122097500008</v>
      </c>
      <c r="N12" s="656">
        <f t="shared" si="2"/>
        <v>8.6881122097500008</v>
      </c>
      <c r="O12" s="656">
        <f t="shared" si="2"/>
        <v>8.6881122097500008</v>
      </c>
      <c r="P12" s="656">
        <f t="shared" si="2"/>
        <v>8.6881122097500008</v>
      </c>
      <c r="Q12" s="656">
        <f t="shared" si="2"/>
        <v>8.6881122097500008</v>
      </c>
      <c r="R12" s="656">
        <f t="shared" si="2"/>
        <v>8.6881122097500008</v>
      </c>
    </row>
    <row r="13" spans="1:18" s="642" customFormat="1" x14ac:dyDescent="0.2">
      <c r="A13" s="653">
        <v>4</v>
      </c>
      <c r="B13" s="659" t="s">
        <v>480</v>
      </c>
      <c r="C13" s="653" t="str">
        <f>C10</f>
        <v>INR Cr</v>
      </c>
      <c r="D13" s="660">
        <f>SUM(D10:D12)</f>
        <v>36.848479459750003</v>
      </c>
      <c r="E13" s="660">
        <f t="shared" ref="E13:R13" si="3">SUM(E10:E12)</f>
        <v>36.848479459750003</v>
      </c>
      <c r="F13" s="660">
        <f t="shared" si="3"/>
        <v>36.848479459750003</v>
      </c>
      <c r="G13" s="660">
        <f t="shared" si="3"/>
        <v>36.848479459750003</v>
      </c>
      <c r="H13" s="660">
        <f t="shared" si="3"/>
        <v>36.848479459750003</v>
      </c>
      <c r="I13" s="660">
        <f t="shared" si="3"/>
        <v>36.848479459750003</v>
      </c>
      <c r="J13" s="660">
        <f t="shared" si="3"/>
        <v>36.848479459750003</v>
      </c>
      <c r="K13" s="660">
        <f t="shared" si="3"/>
        <v>36.848479459750003</v>
      </c>
      <c r="L13" s="660">
        <f t="shared" si="3"/>
        <v>36.848479459750003</v>
      </c>
      <c r="M13" s="660">
        <f t="shared" si="3"/>
        <v>36.848479459750003</v>
      </c>
      <c r="N13" s="660">
        <f t="shared" si="3"/>
        <v>36.848479459750003</v>
      </c>
      <c r="O13" s="660">
        <f t="shared" si="3"/>
        <v>36.848479459750003</v>
      </c>
      <c r="P13" s="660">
        <f t="shared" si="3"/>
        <v>36.848479459750003</v>
      </c>
      <c r="Q13" s="660">
        <f t="shared" si="3"/>
        <v>36.848479459750003</v>
      </c>
      <c r="R13" s="660">
        <f t="shared" si="3"/>
        <v>36.848479459750003</v>
      </c>
    </row>
    <row r="14" spans="1:18" x14ac:dyDescent="0.2">
      <c r="A14" s="654"/>
      <c r="B14" s="644"/>
      <c r="C14" s="644"/>
      <c r="D14" s="644"/>
      <c r="E14" s="644"/>
      <c r="F14" s="644"/>
      <c r="G14" s="644"/>
      <c r="H14" s="644"/>
      <c r="I14" s="644"/>
      <c r="J14" s="644"/>
      <c r="K14" s="644"/>
      <c r="L14" s="644"/>
      <c r="M14" s="644"/>
      <c r="N14" s="644"/>
      <c r="O14" s="644"/>
      <c r="P14" s="644"/>
      <c r="Q14" s="644"/>
      <c r="R14" s="644"/>
    </row>
    <row r="15" spans="1:18" ht="15.75" x14ac:dyDescent="0.2">
      <c r="A15" s="708" t="s">
        <v>550</v>
      </c>
      <c r="B15" s="708"/>
      <c r="C15" s="708"/>
      <c r="D15" s="708"/>
      <c r="E15" s="708"/>
      <c r="F15" s="708"/>
      <c r="G15" s="708"/>
      <c r="H15" s="708"/>
      <c r="I15" s="708"/>
      <c r="J15" s="708"/>
      <c r="K15" s="708"/>
      <c r="L15" s="708"/>
      <c r="M15" s="708"/>
      <c r="N15" s="708"/>
      <c r="O15" s="708"/>
      <c r="P15" s="708"/>
      <c r="Q15" s="708"/>
      <c r="R15" s="708"/>
    </row>
    <row r="16" spans="1:18" s="642" customFormat="1" x14ac:dyDescent="0.2">
      <c r="A16" s="316" t="s">
        <v>402</v>
      </c>
      <c r="B16" s="316" t="s">
        <v>333</v>
      </c>
      <c r="C16" s="653" t="s">
        <v>441</v>
      </c>
      <c r="D16" s="653">
        <v>1</v>
      </c>
      <c r="E16" s="653">
        <v>2</v>
      </c>
      <c r="F16" s="653">
        <v>3</v>
      </c>
      <c r="G16" s="653">
        <v>4</v>
      </c>
      <c r="H16" s="653">
        <v>5</v>
      </c>
      <c r="I16" s="653">
        <v>6</v>
      </c>
      <c r="J16" s="653">
        <v>7</v>
      </c>
      <c r="K16" s="653">
        <v>8</v>
      </c>
      <c r="L16" s="653">
        <v>9</v>
      </c>
      <c r="M16" s="653">
        <v>10</v>
      </c>
      <c r="N16" s="653">
        <v>11</v>
      </c>
      <c r="O16" s="653">
        <v>12</v>
      </c>
      <c r="P16" s="653">
        <v>13</v>
      </c>
      <c r="Q16" s="653">
        <v>14</v>
      </c>
      <c r="R16" s="653">
        <v>15</v>
      </c>
    </row>
    <row r="17" spans="1:18" x14ac:dyDescent="0.2">
      <c r="A17" s="654">
        <v>1</v>
      </c>
      <c r="B17" s="655" t="str">
        <f>B10</f>
        <v>Plant &amp; Machinery</v>
      </c>
      <c r="C17" s="661" t="str">
        <f>C10</f>
        <v>INR Cr</v>
      </c>
      <c r="D17" s="662">
        <f>$C$3*$E$3</f>
        <v>66.110624999999999</v>
      </c>
      <c r="E17" s="662">
        <f>($C$3-SUM($D$17:D17))*$E$3</f>
        <v>56.194031250000002</v>
      </c>
      <c r="F17" s="662">
        <f>($C$3-SUM($D$17:E17))*$E$3</f>
        <v>47.764926562500001</v>
      </c>
      <c r="G17" s="662">
        <f>($C$3-SUM($D$17:F17))*$E$3</f>
        <v>40.600187578125009</v>
      </c>
      <c r="H17" s="662">
        <f>($C$3-SUM($D$17:G17))*$E$3</f>
        <v>34.510159441406252</v>
      </c>
      <c r="I17" s="662">
        <f>($C$3-SUM($D$17:H17))*$E$3</f>
        <v>29.333635525195316</v>
      </c>
      <c r="J17" s="662">
        <f>($C$3-SUM($D$17:I17))*$E$3</f>
        <v>24.933590196416024</v>
      </c>
      <c r="K17" s="662">
        <f>($C$3-SUM($D$17:J17))*$E$3</f>
        <v>21.193551666953613</v>
      </c>
      <c r="L17" s="662">
        <f>($C$3-SUM($D$17:K17))*$E$3</f>
        <v>18.014518916910571</v>
      </c>
      <c r="M17" s="662">
        <f>($C$3-SUM($D$17:L17))*$E$3</f>
        <v>15.312341079373986</v>
      </c>
      <c r="N17" s="662">
        <f>($C$3-SUM($D$17:M17))*$E$3</f>
        <v>13.015489917467889</v>
      </c>
      <c r="O17" s="662">
        <f>($C$3-SUM($D$17:N17))*$E$3</f>
        <v>11.063166429847703</v>
      </c>
      <c r="P17" s="662">
        <f>($C$3-SUM($D$17:O17))*$E$3</f>
        <v>9.4036914653705512</v>
      </c>
      <c r="Q17" s="662">
        <f>($C$3-SUM($D$17:P17))*$E$3</f>
        <v>7.9931377455649653</v>
      </c>
      <c r="R17" s="662">
        <f>($C$3-SUM($D$17:Q17))*$E$3</f>
        <v>6.7941670837302182</v>
      </c>
    </row>
    <row r="18" spans="1:18" x14ac:dyDescent="0.2">
      <c r="A18" s="654">
        <v>2</v>
      </c>
      <c r="B18" s="655" t="str">
        <f>B11</f>
        <v>Civil Works-building &amp; site development</v>
      </c>
      <c r="C18" s="657" t="str">
        <f>C17</f>
        <v>INR Cr</v>
      </c>
      <c r="D18" s="662">
        <f>$C$4*$E$4</f>
        <v>0.8254999999999999</v>
      </c>
      <c r="E18" s="662">
        <f>($C$4-SUM($D$18:D18))*$E$4</f>
        <v>0.74295</v>
      </c>
      <c r="F18" s="662">
        <f>($C$4-SUM($D$18:E18))*$E$4</f>
        <v>0.66865499999999989</v>
      </c>
      <c r="G18" s="662">
        <f>($C$4-SUM($D$18:F18))*$E$4</f>
        <v>0.60178949999999998</v>
      </c>
      <c r="H18" s="662">
        <f>($C$4-SUM($D$18:G18))*$E$4</f>
        <v>0.54161055000000002</v>
      </c>
      <c r="I18" s="662">
        <f>($C$4-SUM($D$18:H18))*$E$4</f>
        <v>0.4874494949999999</v>
      </c>
      <c r="J18" s="662">
        <f>($C$4-SUM($D$18:I18))*$E$4</f>
        <v>0.43870454549999993</v>
      </c>
      <c r="K18" s="662">
        <f>($C$4-SUM($D$18:J18))*$E$4</f>
        <v>0.39483409094999999</v>
      </c>
      <c r="L18" s="662">
        <f>($C$4-SUM($D$18:K18))*$E$4</f>
        <v>0.35535068185500002</v>
      </c>
      <c r="M18" s="662">
        <f>($C$4-SUM($D$18:L18))*$E$4</f>
        <v>0.31981561366950007</v>
      </c>
      <c r="N18" s="662">
        <f>($C$4-SUM($D$18:M18))*$E$4</f>
        <v>0.28783405230254999</v>
      </c>
      <c r="O18" s="662">
        <f>($C$4-SUM($D$18:N18))*$E$4</f>
        <v>0.25905064707229503</v>
      </c>
      <c r="P18" s="662">
        <f>($C$4-SUM($D$18:O18))*$E$4</f>
        <v>0.23314558236506555</v>
      </c>
      <c r="Q18" s="662">
        <f>($C$4-SUM($D$18:P18))*$E$4</f>
        <v>0.20983102412855895</v>
      </c>
      <c r="R18" s="662">
        <f>($C$4-SUM($D$18:Q18))*$E$4</f>
        <v>0.18884792171570305</v>
      </c>
    </row>
    <row r="19" spans="1:18" x14ac:dyDescent="0.2">
      <c r="A19" s="654">
        <v>3</v>
      </c>
      <c r="B19" s="655" t="str">
        <f>B12</f>
        <v>Miscellaneous</v>
      </c>
      <c r="C19" s="658" t="str">
        <f>C17</f>
        <v>INR Cr</v>
      </c>
      <c r="D19" s="662">
        <f>$C$5*$E$5</f>
        <v>20.587943625000005</v>
      </c>
      <c r="E19" s="662">
        <f>($C$5-SUM($D$19:D19))*$E$5</f>
        <v>17.499752081250005</v>
      </c>
      <c r="F19" s="662">
        <f>($C$5-SUM($D$19:E19))*$E$5</f>
        <v>14.874789269062504</v>
      </c>
      <c r="G19" s="662">
        <f>($C$5-SUM($D$19:F19))*$E$5</f>
        <v>12.643570878703127</v>
      </c>
      <c r="H19" s="662">
        <f>($C$5-SUM($D$19:G19))*$E$5</f>
        <v>10.74703524689766</v>
      </c>
      <c r="I19" s="662">
        <f>($C$5-SUM($D$19:H19))*$E$5</f>
        <v>9.1349799598630099</v>
      </c>
      <c r="J19" s="662">
        <f>($C$5-SUM($D$19:I19))*$E$5</f>
        <v>7.7647329658835567</v>
      </c>
      <c r="K19" s="662">
        <f>($C$5-SUM($D$19:J19))*$E$5</f>
        <v>6.6000230210010242</v>
      </c>
      <c r="L19" s="662">
        <f>($C$5-SUM($D$19:K19))*$E$5</f>
        <v>5.6100195678508706</v>
      </c>
      <c r="M19" s="662">
        <f>($C$5-SUM($D$19:L19))*$E$5</f>
        <v>4.7685166326732409</v>
      </c>
      <c r="N19" s="662">
        <f>($C$5-SUM($D$19:M19))*$E$5</f>
        <v>4.0532391377722545</v>
      </c>
      <c r="O19" s="662">
        <f>($C$5-SUM($D$19:N19))*$E$5</f>
        <v>3.4452532671064167</v>
      </c>
      <c r="P19" s="662">
        <f>($C$5-SUM($D$19:O19))*$E$5</f>
        <v>2.9284652770404533</v>
      </c>
      <c r="Q19" s="662">
        <f>($C$5-SUM($D$19:P19))*$E$5</f>
        <v>2.4891954854843843</v>
      </c>
      <c r="R19" s="662">
        <f>($C$5-SUM($D$19:Q19))*$E$5</f>
        <v>2.1158161626617265</v>
      </c>
    </row>
    <row r="20" spans="1:18" s="642" customFormat="1" x14ac:dyDescent="0.2">
      <c r="A20" s="653">
        <v>4</v>
      </c>
      <c r="B20" s="659" t="s">
        <v>551</v>
      </c>
      <c r="C20" s="663" t="str">
        <f>C17</f>
        <v>INR Cr</v>
      </c>
      <c r="D20" s="660">
        <f>SUM(D17:D19)</f>
        <v>87.524068625000012</v>
      </c>
      <c r="E20" s="660">
        <f t="shared" ref="E20:O20" si="4">SUM(E17:E19)</f>
        <v>74.436733331250011</v>
      </c>
      <c r="F20" s="660">
        <f t="shared" si="4"/>
        <v>63.308370831562506</v>
      </c>
      <c r="G20" s="660">
        <f t="shared" si="4"/>
        <v>53.845547956828142</v>
      </c>
      <c r="H20" s="660">
        <f t="shared" si="4"/>
        <v>45.798805238303913</v>
      </c>
      <c r="I20" s="660">
        <f t="shared" si="4"/>
        <v>38.956064980058329</v>
      </c>
      <c r="J20" s="660">
        <f t="shared" si="4"/>
        <v>33.137027707799575</v>
      </c>
      <c r="K20" s="660">
        <f t="shared" si="4"/>
        <v>28.188408778904638</v>
      </c>
      <c r="L20" s="660">
        <f t="shared" si="4"/>
        <v>23.979889166616442</v>
      </c>
      <c r="M20" s="660">
        <f t="shared" si="4"/>
        <v>20.400673325716728</v>
      </c>
      <c r="N20" s="660">
        <f t="shared" si="4"/>
        <v>17.356563107542694</v>
      </c>
      <c r="O20" s="660">
        <f t="shared" si="4"/>
        <v>14.767470344026414</v>
      </c>
      <c r="P20" s="660">
        <f>SUM(P17:P19)</f>
        <v>12.56530232477607</v>
      </c>
      <c r="Q20" s="660">
        <f t="shared" ref="Q20" si="5">SUM(Q17:Q19)</f>
        <v>10.692164255177907</v>
      </c>
      <c r="R20" s="660">
        <f t="shared" ref="R20" si="6">SUM(R17:R19)</f>
        <v>9.0988311681076475</v>
      </c>
    </row>
  </sheetData>
  <mergeCells count="2">
    <mergeCell ref="A8:R8"/>
    <mergeCell ref="A15:R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32"/>
  <sheetViews>
    <sheetView workbookViewId="0">
      <selection activeCell="E11" sqref="E11"/>
    </sheetView>
  </sheetViews>
  <sheetFormatPr defaultColWidth="9.140625" defaultRowHeight="12.75" x14ac:dyDescent="0.25"/>
  <cols>
    <col min="1" max="1" width="9.140625" style="303"/>
    <col min="2" max="2" width="35.28515625" style="303" customWidth="1"/>
    <col min="3" max="18" width="10.7109375" style="303" customWidth="1"/>
    <col min="19" max="19" width="9.140625" style="303"/>
    <col min="20" max="32" width="9.140625" style="373"/>
    <col min="33" max="16384" width="9.140625" style="303"/>
  </cols>
  <sheetData>
    <row r="1" spans="1:33" x14ac:dyDescent="0.25">
      <c r="B1" s="472" t="s">
        <v>560</v>
      </c>
      <c r="C1" s="472" t="s">
        <v>561</v>
      </c>
    </row>
    <row r="2" spans="1:33" x14ac:dyDescent="0.25">
      <c r="B2" s="301" t="s">
        <v>331</v>
      </c>
      <c r="C2" s="672">
        <v>0.18</v>
      </c>
      <c r="D2" s="499"/>
    </row>
    <row r="3" spans="1:33" x14ac:dyDescent="0.25">
      <c r="B3" s="301" t="s">
        <v>58</v>
      </c>
      <c r="C3" s="672">
        <v>0.18</v>
      </c>
      <c r="D3" s="476"/>
      <c r="E3" s="476"/>
      <c r="F3" s="477"/>
      <c r="G3" s="476"/>
      <c r="H3" s="476"/>
      <c r="I3" s="476"/>
      <c r="J3" s="476"/>
      <c r="K3" s="476"/>
      <c r="L3" s="476"/>
      <c r="M3" s="476"/>
      <c r="N3" s="476"/>
      <c r="O3" s="476"/>
      <c r="P3" s="476"/>
      <c r="Q3" s="476"/>
      <c r="R3" s="476"/>
    </row>
    <row r="4" spans="1:33" x14ac:dyDescent="0.25">
      <c r="B4" s="301"/>
      <c r="C4" s="301"/>
      <c r="D4" s="476"/>
      <c r="E4" s="476"/>
      <c r="F4" s="477"/>
      <c r="G4" s="476"/>
      <c r="H4" s="476"/>
      <c r="I4" s="476"/>
      <c r="J4" s="476"/>
      <c r="K4" s="476"/>
      <c r="L4" s="476"/>
      <c r="M4" s="476"/>
      <c r="N4" s="476"/>
      <c r="O4" s="476"/>
      <c r="P4" s="476"/>
      <c r="Q4" s="476"/>
      <c r="R4" s="476"/>
    </row>
    <row r="5" spans="1:33" x14ac:dyDescent="0.25">
      <c r="B5" s="472" t="s">
        <v>562</v>
      </c>
      <c r="C5" s="301"/>
      <c r="D5" s="476"/>
      <c r="E5" s="476"/>
      <c r="F5" s="477"/>
      <c r="G5" s="476"/>
      <c r="H5" s="476"/>
      <c r="I5" s="476"/>
      <c r="J5" s="476"/>
      <c r="K5" s="476"/>
      <c r="L5" s="476"/>
      <c r="M5" s="476"/>
      <c r="N5" s="476"/>
      <c r="O5" s="476"/>
      <c r="P5" s="476"/>
      <c r="Q5" s="476"/>
      <c r="R5" s="476"/>
    </row>
    <row r="6" spans="1:33" x14ac:dyDescent="0.25">
      <c r="B6" s="301" t="s">
        <v>563</v>
      </c>
      <c r="C6" s="672">
        <v>0.05</v>
      </c>
      <c r="D6" s="476"/>
      <c r="E6" s="476"/>
      <c r="F6" s="477"/>
      <c r="G6" s="476"/>
      <c r="H6" s="476"/>
      <c r="I6" s="476"/>
      <c r="J6" s="476"/>
      <c r="K6" s="476"/>
      <c r="L6" s="476"/>
      <c r="M6" s="476"/>
      <c r="N6" s="476"/>
      <c r="O6" s="476"/>
      <c r="P6" s="476"/>
      <c r="Q6" s="476"/>
      <c r="R6" s="476"/>
    </row>
    <row r="7" spans="1:33" x14ac:dyDescent="0.25">
      <c r="B7" s="301" t="s">
        <v>139</v>
      </c>
      <c r="C7" s="672">
        <v>0.05</v>
      </c>
      <c r="D7" s="476"/>
      <c r="E7" s="476"/>
      <c r="F7" s="477"/>
      <c r="G7" s="476"/>
      <c r="H7" s="476"/>
      <c r="I7" s="476"/>
      <c r="J7" s="476"/>
      <c r="K7" s="476"/>
      <c r="L7" s="476"/>
      <c r="M7" s="476"/>
      <c r="N7" s="476"/>
      <c r="O7" s="476"/>
      <c r="P7" s="476"/>
      <c r="Q7" s="476"/>
      <c r="R7" s="476"/>
    </row>
    <row r="8" spans="1:33" x14ac:dyDescent="0.25">
      <c r="D8" s="476"/>
      <c r="E8" s="476"/>
      <c r="F8" s="477"/>
      <c r="G8" s="476"/>
      <c r="H8" s="476"/>
      <c r="I8" s="476"/>
      <c r="J8" s="476"/>
      <c r="K8" s="476"/>
      <c r="L8" s="476"/>
      <c r="M8" s="476"/>
      <c r="N8" s="476"/>
      <c r="O8" s="476"/>
      <c r="P8" s="476"/>
      <c r="Q8" s="476"/>
      <c r="R8" s="476"/>
    </row>
    <row r="9" spans="1:33" ht="15.75" x14ac:dyDescent="0.25">
      <c r="A9" s="301"/>
      <c r="B9" s="708" t="s">
        <v>559</v>
      </c>
      <c r="C9" s="708"/>
      <c r="D9" s="708"/>
      <c r="E9" s="708"/>
      <c r="F9" s="708"/>
      <c r="G9" s="708"/>
      <c r="H9" s="708"/>
      <c r="I9" s="708"/>
      <c r="J9" s="708"/>
      <c r="K9" s="708"/>
      <c r="L9" s="708"/>
      <c r="M9" s="708"/>
      <c r="N9" s="708"/>
      <c r="O9" s="708"/>
      <c r="P9" s="708"/>
      <c r="Q9" s="708"/>
      <c r="R9" s="708"/>
    </row>
    <row r="10" spans="1:33" s="470" customFormat="1" ht="20.100000000000001" customHeight="1" x14ac:dyDescent="0.25">
      <c r="A10" s="470" t="s">
        <v>402</v>
      </c>
      <c r="B10" s="496" t="s">
        <v>554</v>
      </c>
      <c r="C10" s="497" t="s">
        <v>441</v>
      </c>
      <c r="D10" s="498">
        <v>1</v>
      </c>
      <c r="E10" s="498">
        <v>2</v>
      </c>
      <c r="F10" s="498">
        <v>3</v>
      </c>
      <c r="G10" s="498">
        <v>4</v>
      </c>
      <c r="H10" s="498">
        <v>5</v>
      </c>
      <c r="I10" s="498">
        <v>6</v>
      </c>
      <c r="J10" s="498">
        <v>7</v>
      </c>
      <c r="K10" s="498">
        <v>8</v>
      </c>
      <c r="L10" s="498">
        <v>9</v>
      </c>
      <c r="M10" s="498">
        <v>10</v>
      </c>
      <c r="N10" s="498">
        <v>11</v>
      </c>
      <c r="O10" s="498">
        <v>12</v>
      </c>
      <c r="P10" s="498">
        <v>13</v>
      </c>
      <c r="Q10" s="498">
        <v>14</v>
      </c>
      <c r="R10" s="498">
        <v>15</v>
      </c>
      <c r="S10" s="493"/>
      <c r="T10" s="489"/>
      <c r="U10" s="489"/>
      <c r="V10" s="489"/>
      <c r="W10" s="489"/>
      <c r="X10" s="489"/>
      <c r="Y10" s="489"/>
      <c r="Z10" s="489"/>
      <c r="AA10" s="489"/>
      <c r="AB10" s="489"/>
      <c r="AC10" s="489"/>
      <c r="AD10" s="489"/>
      <c r="AE10" s="489"/>
      <c r="AF10" s="489"/>
      <c r="AG10" s="494"/>
    </row>
    <row r="11" spans="1:33" s="373" customFormat="1" ht="20.100000000000001" customHeight="1" x14ac:dyDescent="0.25">
      <c r="A11" s="354">
        <v>1</v>
      </c>
      <c r="B11" s="389" t="s">
        <v>331</v>
      </c>
      <c r="C11" s="354" t="s">
        <v>541</v>
      </c>
      <c r="D11" s="487">
        <f>Opex!D7*$C$2</f>
        <v>7.9306735921874969</v>
      </c>
      <c r="E11" s="487">
        <f>Opex!E7*$C$2</f>
        <v>9.063626962499999</v>
      </c>
      <c r="F11" s="487">
        <f>Opex!F7*$C$2</f>
        <v>10.76305701796875</v>
      </c>
      <c r="G11" s="487">
        <f>Opex!G7*$C$2</f>
        <v>10.76305701796875</v>
      </c>
      <c r="H11" s="487">
        <f>Opex!H7*$C$2</f>
        <v>10.76305701796875</v>
      </c>
      <c r="I11" s="487">
        <f>Opex!I7*$C$2</f>
        <v>10.76305701796875</v>
      </c>
      <c r="J11" s="487">
        <f>Opex!J7*$C$2</f>
        <v>10.76305701796875</v>
      </c>
      <c r="K11" s="487">
        <f>Opex!K7*$C$2</f>
        <v>10.76305701796875</v>
      </c>
      <c r="L11" s="487">
        <f>Opex!L7*$C$2</f>
        <v>10.76305701796875</v>
      </c>
      <c r="M11" s="487">
        <f>Opex!M7*$C$2</f>
        <v>10.76305701796875</v>
      </c>
      <c r="N11" s="487">
        <f>Opex!N7*$C$2</f>
        <v>10.76305701796875</v>
      </c>
      <c r="O11" s="487">
        <f>Opex!O7*$C$2</f>
        <v>10.76305701796875</v>
      </c>
      <c r="P11" s="487">
        <f>Opex!P7*$C$2</f>
        <v>10.76305701796875</v>
      </c>
      <c r="Q11" s="487">
        <f>Opex!Q7*$C$2</f>
        <v>10.76305701796875</v>
      </c>
      <c r="R11" s="487">
        <f>Opex!R7*$C$2</f>
        <v>10.76305701796875</v>
      </c>
    </row>
    <row r="12" spans="1:33" s="489" customFormat="1" ht="20.100000000000001" customHeight="1" x14ac:dyDescent="0.25">
      <c r="A12" s="381">
        <v>2</v>
      </c>
      <c r="B12" s="470" t="s">
        <v>555</v>
      </c>
      <c r="C12" s="348" t="s">
        <v>541</v>
      </c>
      <c r="D12" s="488">
        <f t="shared" ref="D12:R12" si="0">SUM(D11:D11)</f>
        <v>7.9306735921874969</v>
      </c>
      <c r="E12" s="488">
        <f t="shared" si="0"/>
        <v>9.063626962499999</v>
      </c>
      <c r="F12" s="488">
        <f t="shared" si="0"/>
        <v>10.76305701796875</v>
      </c>
      <c r="G12" s="488">
        <f t="shared" si="0"/>
        <v>10.76305701796875</v>
      </c>
      <c r="H12" s="488">
        <f t="shared" si="0"/>
        <v>10.76305701796875</v>
      </c>
      <c r="I12" s="488">
        <f t="shared" si="0"/>
        <v>10.76305701796875</v>
      </c>
      <c r="J12" s="488">
        <f t="shared" si="0"/>
        <v>10.76305701796875</v>
      </c>
      <c r="K12" s="488">
        <f t="shared" si="0"/>
        <v>10.76305701796875</v>
      </c>
      <c r="L12" s="488">
        <f t="shared" si="0"/>
        <v>10.76305701796875</v>
      </c>
      <c r="M12" s="488">
        <f t="shared" si="0"/>
        <v>10.76305701796875</v>
      </c>
      <c r="N12" s="488">
        <f t="shared" si="0"/>
        <v>10.76305701796875</v>
      </c>
      <c r="O12" s="488">
        <f t="shared" si="0"/>
        <v>10.76305701796875</v>
      </c>
      <c r="P12" s="488">
        <f t="shared" si="0"/>
        <v>10.76305701796875</v>
      </c>
      <c r="Q12" s="488">
        <f t="shared" si="0"/>
        <v>10.76305701796875</v>
      </c>
      <c r="R12" s="488">
        <f t="shared" si="0"/>
        <v>10.76305701796875</v>
      </c>
    </row>
    <row r="13" spans="1:33" s="373" customFormat="1" ht="20.100000000000001" customHeight="1" x14ac:dyDescent="0.25">
      <c r="B13" s="490"/>
      <c r="D13" s="491"/>
      <c r="E13" s="491"/>
      <c r="F13" s="491"/>
      <c r="G13" s="491"/>
      <c r="H13" s="491"/>
      <c r="I13" s="491"/>
      <c r="J13" s="491"/>
      <c r="K13" s="491"/>
      <c r="L13" s="491"/>
      <c r="M13" s="491"/>
      <c r="N13" s="491"/>
      <c r="O13" s="491"/>
      <c r="P13" s="491"/>
      <c r="Q13" s="491"/>
      <c r="R13" s="491"/>
    </row>
    <row r="14" spans="1:33" s="470" customFormat="1" ht="20.100000000000001" customHeight="1" x14ac:dyDescent="0.25">
      <c r="A14" s="470" t="s">
        <v>402</v>
      </c>
      <c r="B14" s="492" t="s">
        <v>556</v>
      </c>
      <c r="C14" s="381"/>
      <c r="D14" s="486"/>
      <c r="E14" s="486"/>
      <c r="F14" s="486"/>
      <c r="G14" s="486"/>
      <c r="H14" s="486"/>
      <c r="I14" s="486"/>
      <c r="J14" s="486"/>
      <c r="K14" s="486"/>
      <c r="L14" s="486"/>
      <c r="M14" s="486"/>
      <c r="N14" s="486"/>
      <c r="O14" s="486"/>
      <c r="P14" s="486"/>
      <c r="Q14" s="486"/>
      <c r="R14" s="486"/>
      <c r="S14" s="493"/>
      <c r="T14" s="489"/>
      <c r="U14" s="489"/>
      <c r="V14" s="489"/>
      <c r="W14" s="489"/>
      <c r="X14" s="489"/>
      <c r="Y14" s="489"/>
      <c r="Z14" s="489"/>
      <c r="AA14" s="489"/>
      <c r="AB14" s="489"/>
      <c r="AC14" s="489"/>
      <c r="AD14" s="489"/>
      <c r="AE14" s="489"/>
      <c r="AF14" s="489"/>
      <c r="AG14" s="494"/>
    </row>
    <row r="15" spans="1:33" ht="20.100000000000001" customHeight="1" x14ac:dyDescent="0.25">
      <c r="A15" s="313">
        <v>1</v>
      </c>
      <c r="B15" s="308" t="s">
        <v>563</v>
      </c>
      <c r="C15" s="354" t="s">
        <v>541</v>
      </c>
      <c r="D15" s="478">
        <f>'Cashflow '!F15*$C$6</f>
        <v>13.413050000000002</v>
      </c>
      <c r="E15" s="478">
        <f>'Cashflow '!G15*$C$6</f>
        <v>15.3292</v>
      </c>
      <c r="F15" s="478">
        <f>'Cashflow '!H15*$C$6</f>
        <v>18.203424999999999</v>
      </c>
      <c r="G15" s="478">
        <f>'Cashflow '!I15*$C$6</f>
        <v>18.203424999999999</v>
      </c>
      <c r="H15" s="478">
        <f>'Cashflow '!J15*$C$6</f>
        <v>18.203424999999999</v>
      </c>
      <c r="I15" s="478">
        <f>'Cashflow '!K15*$C$6</f>
        <v>18.203424999999999</v>
      </c>
      <c r="J15" s="478">
        <f>'Cashflow '!L15*$C$6</f>
        <v>18.203424999999999</v>
      </c>
      <c r="K15" s="478">
        <f>'Cashflow '!M15*$C$6</f>
        <v>18.203424999999999</v>
      </c>
      <c r="L15" s="478">
        <f>'Cashflow '!N15*$C$6</f>
        <v>18.203424999999999</v>
      </c>
      <c r="M15" s="478">
        <f>'Cashflow '!O15*$C$6</f>
        <v>18.203424999999999</v>
      </c>
      <c r="N15" s="478">
        <f>'Cashflow '!P15*$C$6</f>
        <v>18.203424999999999</v>
      </c>
      <c r="O15" s="478">
        <f>'Cashflow '!Q15*$C$6</f>
        <v>18.203424999999999</v>
      </c>
      <c r="P15" s="478">
        <f>'Cashflow '!R15*$C$6</f>
        <v>18.203424999999999</v>
      </c>
      <c r="Q15" s="478">
        <f>'Cashflow '!S15*$C$6</f>
        <v>18.203424999999999</v>
      </c>
      <c r="R15" s="478">
        <f>'Cashflow '!T15*$C$6</f>
        <v>18.203424999999999</v>
      </c>
    </row>
    <row r="16" spans="1:33" ht="20.100000000000001" customHeight="1" x14ac:dyDescent="0.25">
      <c r="A16" s="313">
        <v>2</v>
      </c>
      <c r="B16" s="308" t="s">
        <v>139</v>
      </c>
      <c r="C16" s="354" t="s">
        <v>541</v>
      </c>
      <c r="D16" s="478">
        <f>'Cashflow '!F14*$C$7</f>
        <v>0.27467159999999929</v>
      </c>
      <c r="E16" s="478">
        <f>'Cashflow '!G14*$C$7</f>
        <v>0.31391040000000003</v>
      </c>
      <c r="F16" s="478">
        <f>'Cashflow '!H14*$C$7</f>
        <v>0.37276860000000001</v>
      </c>
      <c r="G16" s="478">
        <f>'Cashflow '!I14*$C$7</f>
        <v>0.37276860000000001</v>
      </c>
      <c r="H16" s="478">
        <f>'Cashflow '!J14*$C$7</f>
        <v>0.37276860000000001</v>
      </c>
      <c r="I16" s="478">
        <f>'Cashflow '!K14*$C$7</f>
        <v>0.37276860000000001</v>
      </c>
      <c r="J16" s="478">
        <f>'Cashflow '!L14*$C$7</f>
        <v>0.37276860000000001</v>
      </c>
      <c r="K16" s="478">
        <f>'Cashflow '!M14*$C$7</f>
        <v>0.37276860000000001</v>
      </c>
      <c r="L16" s="478">
        <f>'Cashflow '!N14*$C$7</f>
        <v>0.37276860000000001</v>
      </c>
      <c r="M16" s="478">
        <f>'Cashflow '!O14*$C$7</f>
        <v>0.37276860000000001</v>
      </c>
      <c r="N16" s="478">
        <f>'Cashflow '!P14*$C$7</f>
        <v>0.37276860000000001</v>
      </c>
      <c r="O16" s="478">
        <f>'Cashflow '!Q14*$C$7</f>
        <v>0.37276860000000001</v>
      </c>
      <c r="P16" s="478">
        <f>'Cashflow '!R14*$C$7</f>
        <v>0.37276860000000001</v>
      </c>
      <c r="Q16" s="478">
        <f>'Cashflow '!S14*$C$7</f>
        <v>0.37276860000000001</v>
      </c>
      <c r="R16" s="478">
        <f>'Cashflow '!T14*$C$7</f>
        <v>0.37276860000000001</v>
      </c>
    </row>
    <row r="17" spans="1:33" ht="20.100000000000001" customHeight="1" x14ac:dyDescent="0.25">
      <c r="A17" s="300">
        <v>3</v>
      </c>
      <c r="B17" s="472" t="s">
        <v>565</v>
      </c>
      <c r="C17" s="348" t="s">
        <v>541</v>
      </c>
      <c r="D17" s="480">
        <f t="shared" ref="D17:R17" si="1">SUM(D15:D16)</f>
        <v>13.687721600000001</v>
      </c>
      <c r="E17" s="480">
        <f t="shared" si="1"/>
        <v>15.643110399999999</v>
      </c>
      <c r="F17" s="480">
        <f t="shared" si="1"/>
        <v>18.5761936</v>
      </c>
      <c r="G17" s="480">
        <f t="shared" si="1"/>
        <v>18.5761936</v>
      </c>
      <c r="H17" s="480">
        <f t="shared" si="1"/>
        <v>18.5761936</v>
      </c>
      <c r="I17" s="480">
        <f t="shared" si="1"/>
        <v>18.5761936</v>
      </c>
      <c r="J17" s="480">
        <f t="shared" si="1"/>
        <v>18.5761936</v>
      </c>
      <c r="K17" s="480">
        <f t="shared" si="1"/>
        <v>18.5761936</v>
      </c>
      <c r="L17" s="480">
        <f t="shared" si="1"/>
        <v>18.5761936</v>
      </c>
      <c r="M17" s="480">
        <f t="shared" si="1"/>
        <v>18.5761936</v>
      </c>
      <c r="N17" s="480">
        <f t="shared" si="1"/>
        <v>18.5761936</v>
      </c>
      <c r="O17" s="480">
        <f t="shared" si="1"/>
        <v>18.5761936</v>
      </c>
      <c r="P17" s="480">
        <f t="shared" si="1"/>
        <v>18.5761936</v>
      </c>
      <c r="Q17" s="480">
        <f t="shared" si="1"/>
        <v>18.5761936</v>
      </c>
      <c r="R17" s="480">
        <f t="shared" si="1"/>
        <v>18.5761936</v>
      </c>
      <c r="S17" s="481"/>
    </row>
    <row r="18" spans="1:33" ht="20.100000000000001" customHeight="1" x14ac:dyDescent="0.25">
      <c r="B18" s="306"/>
      <c r="D18" s="482"/>
      <c r="E18" s="482"/>
      <c r="F18" s="482"/>
      <c r="G18" s="482"/>
      <c r="H18" s="482"/>
      <c r="I18" s="482"/>
      <c r="J18" s="482"/>
      <c r="K18" s="482"/>
      <c r="L18" s="482"/>
      <c r="M18" s="482"/>
      <c r="N18" s="482"/>
      <c r="O18" s="482"/>
      <c r="P18" s="482"/>
      <c r="Q18" s="482"/>
      <c r="R18" s="482"/>
    </row>
    <row r="19" spans="1:33" s="470" customFormat="1" ht="20.100000000000001" customHeight="1" x14ac:dyDescent="0.25">
      <c r="A19" s="470" t="s">
        <v>402</v>
      </c>
      <c r="B19" s="390" t="s">
        <v>566</v>
      </c>
      <c r="C19" s="673">
        <f>(Capex!B5+Capex!B7+Capex!B6)*C3</f>
        <v>85.632750000000001</v>
      </c>
      <c r="D19" s="471"/>
      <c r="E19" s="471"/>
      <c r="F19" s="471"/>
      <c r="G19" s="471"/>
      <c r="H19" s="471"/>
      <c r="I19" s="471"/>
      <c r="J19" s="471"/>
      <c r="K19" s="471"/>
      <c r="L19" s="471"/>
      <c r="M19" s="471"/>
      <c r="N19" s="471"/>
      <c r="O19" s="471"/>
      <c r="P19" s="471"/>
      <c r="Q19" s="471"/>
      <c r="R19" s="471"/>
      <c r="S19" s="493"/>
      <c r="T19" s="489"/>
      <c r="U19" s="489"/>
      <c r="V19" s="489"/>
      <c r="W19" s="489"/>
      <c r="X19" s="489"/>
      <c r="Y19" s="489"/>
      <c r="Z19" s="489"/>
      <c r="AA19" s="489"/>
      <c r="AB19" s="489"/>
      <c r="AC19" s="489"/>
      <c r="AD19" s="489"/>
      <c r="AE19" s="489"/>
      <c r="AF19" s="489"/>
      <c r="AG19" s="494"/>
    </row>
    <row r="20" spans="1:33" ht="26.1" customHeight="1" x14ac:dyDescent="0.25">
      <c r="A20" s="313">
        <v>1</v>
      </c>
      <c r="B20" s="315" t="s">
        <v>564</v>
      </c>
      <c r="C20" s="354" t="s">
        <v>541</v>
      </c>
      <c r="D20" s="479"/>
      <c r="E20" s="479"/>
      <c r="F20" s="479"/>
      <c r="G20" s="479"/>
      <c r="H20" s="479"/>
      <c r="I20" s="479"/>
      <c r="J20" s="479"/>
      <c r="K20" s="479"/>
      <c r="L20" s="479"/>
      <c r="M20" s="479"/>
      <c r="N20" s="479"/>
      <c r="O20" s="479"/>
      <c r="P20" s="479"/>
      <c r="Q20" s="479"/>
      <c r="R20" s="479"/>
      <c r="S20" s="302"/>
    </row>
    <row r="21" spans="1:33" ht="26.1" customHeight="1" x14ac:dyDescent="0.25">
      <c r="A21" s="313">
        <v>2</v>
      </c>
      <c r="B21" s="483" t="s">
        <v>557</v>
      </c>
      <c r="C21" s="354" t="s">
        <v>541</v>
      </c>
      <c r="D21" s="479">
        <f t="shared" ref="D21:R21" si="2">IF((D10&lt;=5),$C$19/5,0)</f>
        <v>17.126550000000002</v>
      </c>
      <c r="E21" s="479">
        <f t="shared" si="2"/>
        <v>17.126550000000002</v>
      </c>
      <c r="F21" s="479">
        <f t="shared" si="2"/>
        <v>17.126550000000002</v>
      </c>
      <c r="G21" s="479">
        <f t="shared" si="2"/>
        <v>17.126550000000002</v>
      </c>
      <c r="H21" s="479">
        <f t="shared" si="2"/>
        <v>17.126550000000002</v>
      </c>
      <c r="I21" s="479">
        <f t="shared" si="2"/>
        <v>0</v>
      </c>
      <c r="J21" s="479">
        <f t="shared" si="2"/>
        <v>0</v>
      </c>
      <c r="K21" s="479">
        <f t="shared" si="2"/>
        <v>0</v>
      </c>
      <c r="L21" s="479">
        <f t="shared" si="2"/>
        <v>0</v>
      </c>
      <c r="M21" s="479">
        <f t="shared" si="2"/>
        <v>0</v>
      </c>
      <c r="N21" s="479">
        <f t="shared" si="2"/>
        <v>0</v>
      </c>
      <c r="O21" s="479">
        <f t="shared" si="2"/>
        <v>0</v>
      </c>
      <c r="P21" s="479">
        <f t="shared" si="2"/>
        <v>0</v>
      </c>
      <c r="Q21" s="479">
        <f t="shared" si="2"/>
        <v>0</v>
      </c>
      <c r="R21" s="479">
        <f t="shared" si="2"/>
        <v>0</v>
      </c>
      <c r="S21" s="302"/>
    </row>
    <row r="22" spans="1:33" ht="20.100000000000001" customHeight="1" x14ac:dyDescent="0.25">
      <c r="A22" s="313">
        <v>3</v>
      </c>
      <c r="B22" s="315" t="s">
        <v>568</v>
      </c>
      <c r="C22" s="354" t="s">
        <v>541</v>
      </c>
      <c r="D22" s="479">
        <f>D21+D12</f>
        <v>25.057223592187498</v>
      </c>
      <c r="E22" s="479">
        <f t="shared" ref="E22:R22" si="3">E21+E12</f>
        <v>26.190176962500001</v>
      </c>
      <c r="F22" s="479">
        <f t="shared" si="3"/>
        <v>27.88960701796875</v>
      </c>
      <c r="G22" s="479">
        <f t="shared" si="3"/>
        <v>27.88960701796875</v>
      </c>
      <c r="H22" s="479">
        <f t="shared" si="3"/>
        <v>27.88960701796875</v>
      </c>
      <c r="I22" s="479">
        <f t="shared" si="3"/>
        <v>10.76305701796875</v>
      </c>
      <c r="J22" s="479">
        <f t="shared" si="3"/>
        <v>10.76305701796875</v>
      </c>
      <c r="K22" s="479">
        <f t="shared" si="3"/>
        <v>10.76305701796875</v>
      </c>
      <c r="L22" s="479">
        <f t="shared" si="3"/>
        <v>10.76305701796875</v>
      </c>
      <c r="M22" s="479">
        <f t="shared" si="3"/>
        <v>10.76305701796875</v>
      </c>
      <c r="N22" s="479">
        <f t="shared" si="3"/>
        <v>10.76305701796875</v>
      </c>
      <c r="O22" s="479">
        <f t="shared" si="3"/>
        <v>10.76305701796875</v>
      </c>
      <c r="P22" s="479">
        <f t="shared" si="3"/>
        <v>10.76305701796875</v>
      </c>
      <c r="Q22" s="479">
        <f t="shared" si="3"/>
        <v>10.76305701796875</v>
      </c>
      <c r="R22" s="479">
        <f t="shared" si="3"/>
        <v>10.76305701796875</v>
      </c>
      <c r="S22" s="302"/>
    </row>
    <row r="23" spans="1:33" ht="20.100000000000001" customHeight="1" x14ac:dyDescent="0.25">
      <c r="A23" s="313">
        <v>4</v>
      </c>
      <c r="B23" s="315" t="s">
        <v>569</v>
      </c>
      <c r="C23" s="354" t="s">
        <v>541</v>
      </c>
      <c r="D23" s="479">
        <f t="shared" ref="D23:R23" si="4">D17</f>
        <v>13.687721600000001</v>
      </c>
      <c r="E23" s="479">
        <f t="shared" si="4"/>
        <v>15.643110399999999</v>
      </c>
      <c r="F23" s="479">
        <f t="shared" si="4"/>
        <v>18.5761936</v>
      </c>
      <c r="G23" s="479">
        <f t="shared" si="4"/>
        <v>18.5761936</v>
      </c>
      <c r="H23" s="479">
        <f t="shared" si="4"/>
        <v>18.5761936</v>
      </c>
      <c r="I23" s="479">
        <f t="shared" si="4"/>
        <v>18.5761936</v>
      </c>
      <c r="J23" s="479">
        <f t="shared" si="4"/>
        <v>18.5761936</v>
      </c>
      <c r="K23" s="479">
        <f t="shared" si="4"/>
        <v>18.5761936</v>
      </c>
      <c r="L23" s="479">
        <f t="shared" si="4"/>
        <v>18.5761936</v>
      </c>
      <c r="M23" s="479">
        <f t="shared" si="4"/>
        <v>18.5761936</v>
      </c>
      <c r="N23" s="479">
        <f t="shared" si="4"/>
        <v>18.5761936</v>
      </c>
      <c r="O23" s="479">
        <f t="shared" si="4"/>
        <v>18.5761936</v>
      </c>
      <c r="P23" s="479">
        <f t="shared" si="4"/>
        <v>18.5761936</v>
      </c>
      <c r="Q23" s="479">
        <f t="shared" si="4"/>
        <v>18.5761936</v>
      </c>
      <c r="R23" s="479">
        <f t="shared" si="4"/>
        <v>18.5761936</v>
      </c>
      <c r="S23" s="302"/>
    </row>
    <row r="24" spans="1:33" ht="20.100000000000001" customHeight="1" x14ac:dyDescent="0.25">
      <c r="A24" s="313">
        <v>5</v>
      </c>
      <c r="B24" s="314" t="s">
        <v>558</v>
      </c>
      <c r="C24" s="479">
        <v>0</v>
      </c>
      <c r="D24" s="479">
        <f t="shared" ref="D24:R24" si="5">IF((C24+D22-D23)&gt;=0,(C24+D22-D23),0)</f>
        <v>11.369501992187496</v>
      </c>
      <c r="E24" s="479">
        <f t="shared" si="5"/>
        <v>21.916568554687501</v>
      </c>
      <c r="F24" s="479">
        <f t="shared" si="5"/>
        <v>31.229981972656251</v>
      </c>
      <c r="G24" s="479">
        <f t="shared" si="5"/>
        <v>40.543395390625008</v>
      </c>
      <c r="H24" s="479">
        <f t="shared" si="5"/>
        <v>49.856808808593755</v>
      </c>
      <c r="I24" s="479">
        <f t="shared" si="5"/>
        <v>42.043672226562506</v>
      </c>
      <c r="J24" s="479">
        <f t="shared" si="5"/>
        <v>34.230535644531258</v>
      </c>
      <c r="K24" s="479">
        <f t="shared" si="5"/>
        <v>26.417399062500007</v>
      </c>
      <c r="L24" s="479">
        <f t="shared" si="5"/>
        <v>18.604262480468758</v>
      </c>
      <c r="M24" s="479">
        <f t="shared" si="5"/>
        <v>10.79112589843751</v>
      </c>
      <c r="N24" s="479">
        <f t="shared" si="5"/>
        <v>2.9779893164062621</v>
      </c>
      <c r="O24" s="479">
        <f t="shared" si="5"/>
        <v>0</v>
      </c>
      <c r="P24" s="479">
        <f t="shared" si="5"/>
        <v>0</v>
      </c>
      <c r="Q24" s="479">
        <f t="shared" si="5"/>
        <v>0</v>
      </c>
      <c r="R24" s="479">
        <f t="shared" si="5"/>
        <v>0</v>
      </c>
    </row>
    <row r="25" spans="1:33" s="299" customFormat="1" ht="20.100000000000001" customHeight="1" x14ac:dyDescent="0.25">
      <c r="A25" s="316">
        <v>6</v>
      </c>
      <c r="B25" s="484" t="s">
        <v>567</v>
      </c>
      <c r="C25" s="348" t="s">
        <v>541</v>
      </c>
      <c r="D25" s="485">
        <f t="shared" ref="D25:R25" si="6">IF((D24&gt;0),0,(D23-D22))</f>
        <v>0</v>
      </c>
      <c r="E25" s="485">
        <f t="shared" si="6"/>
        <v>0</v>
      </c>
      <c r="F25" s="485">
        <f t="shared" si="6"/>
        <v>0</v>
      </c>
      <c r="G25" s="485">
        <f t="shared" si="6"/>
        <v>0</v>
      </c>
      <c r="H25" s="485">
        <f t="shared" si="6"/>
        <v>0</v>
      </c>
      <c r="I25" s="485">
        <f t="shared" si="6"/>
        <v>0</v>
      </c>
      <c r="J25" s="485">
        <f t="shared" si="6"/>
        <v>0</v>
      </c>
      <c r="K25" s="485">
        <f t="shared" si="6"/>
        <v>0</v>
      </c>
      <c r="L25" s="485">
        <f t="shared" si="6"/>
        <v>0</v>
      </c>
      <c r="M25" s="485">
        <f t="shared" si="6"/>
        <v>0</v>
      </c>
      <c r="N25" s="485">
        <f t="shared" si="6"/>
        <v>0</v>
      </c>
      <c r="O25" s="485">
        <f t="shared" si="6"/>
        <v>7.8131365820312499</v>
      </c>
      <c r="P25" s="485">
        <f t="shared" si="6"/>
        <v>7.8131365820312499</v>
      </c>
      <c r="Q25" s="485">
        <f t="shared" si="6"/>
        <v>7.8131365820312499</v>
      </c>
      <c r="R25" s="485">
        <f t="shared" si="6"/>
        <v>7.8131365820312499</v>
      </c>
      <c r="T25" s="495"/>
      <c r="U25" s="495"/>
      <c r="V25" s="495"/>
      <c r="W25" s="495"/>
      <c r="X25" s="495"/>
      <c r="Y25" s="495"/>
      <c r="Z25" s="495"/>
      <c r="AA25" s="495"/>
      <c r="AB25" s="495"/>
      <c r="AC25" s="495"/>
      <c r="AD25" s="495"/>
      <c r="AE25" s="495"/>
      <c r="AF25" s="495"/>
    </row>
    <row r="26" spans="1:33" ht="15" customHeight="1" x14ac:dyDescent="0.25">
      <c r="H26" s="307"/>
    </row>
    <row r="28" spans="1:33" x14ac:dyDescent="0.25">
      <c r="H28" s="307"/>
    </row>
    <row r="29" spans="1:33" x14ac:dyDescent="0.25">
      <c r="H29" s="307"/>
    </row>
    <row r="31" spans="1:33" x14ac:dyDescent="0.25">
      <c r="H31" s="307"/>
    </row>
    <row r="32" spans="1:33" ht="15" customHeight="1" x14ac:dyDescent="0.25">
      <c r="H32" s="307"/>
    </row>
  </sheetData>
  <mergeCells count="1">
    <mergeCell ref="B9:R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V24"/>
  <sheetViews>
    <sheetView workbookViewId="0">
      <selection activeCell="F14" sqref="F14"/>
    </sheetView>
  </sheetViews>
  <sheetFormatPr defaultColWidth="9.140625" defaultRowHeight="12.75" x14ac:dyDescent="0.25"/>
  <cols>
    <col min="1" max="1" width="9.140625" style="302"/>
    <col min="2" max="2" width="43.85546875" style="303" customWidth="1"/>
    <col min="3" max="3" width="10.85546875" style="302" customWidth="1"/>
    <col min="4" max="18" width="12.7109375" style="303" customWidth="1"/>
    <col min="19" max="16384" width="9.140625" style="303"/>
  </cols>
  <sheetData>
    <row r="1" spans="1:48" x14ac:dyDescent="0.25">
      <c r="D1" s="304"/>
      <c r="E1" s="304"/>
      <c r="F1" s="304"/>
      <c r="G1" s="304"/>
      <c r="H1" s="305"/>
      <c r="I1" s="304"/>
      <c r="J1" s="304"/>
      <c r="K1" s="304"/>
      <c r="L1" s="304"/>
      <c r="M1" s="304"/>
      <c r="N1" s="304"/>
      <c r="O1" s="304"/>
    </row>
    <row r="2" spans="1:48" ht="14.45" customHeight="1" x14ac:dyDescent="0.25">
      <c r="A2" s="708" t="s">
        <v>495</v>
      </c>
      <c r="B2" s="708"/>
      <c r="C2" s="708"/>
      <c r="D2" s="708"/>
      <c r="E2" s="708"/>
      <c r="F2" s="708"/>
      <c r="G2" s="708"/>
      <c r="H2" s="708"/>
      <c r="I2" s="708"/>
      <c r="J2" s="708"/>
      <c r="K2" s="708"/>
      <c r="L2" s="708"/>
      <c r="M2" s="708"/>
      <c r="N2" s="708"/>
      <c r="O2" s="708"/>
      <c r="P2" s="708"/>
      <c r="Q2" s="708"/>
      <c r="R2" s="708"/>
    </row>
    <row r="3" spans="1:48" x14ac:dyDescent="0.25">
      <c r="C3" s="299" t="s">
        <v>552</v>
      </c>
      <c r="D3" s="306"/>
      <c r="H3" s="307"/>
      <c r="N3" s="304"/>
      <c r="O3" s="304"/>
    </row>
    <row r="4" spans="1:48" s="301" customFormat="1" x14ac:dyDescent="0.25">
      <c r="A4" s="300" t="s">
        <v>402</v>
      </c>
      <c r="B4" s="301" t="s">
        <v>333</v>
      </c>
      <c r="C4" s="300" t="s">
        <v>441</v>
      </c>
      <c r="D4" s="316">
        <v>1</v>
      </c>
      <c r="E4" s="300">
        <v>2</v>
      </c>
      <c r="F4" s="300">
        <v>3</v>
      </c>
      <c r="G4" s="300">
        <v>4</v>
      </c>
      <c r="H4" s="300">
        <v>5</v>
      </c>
      <c r="I4" s="300">
        <v>6</v>
      </c>
      <c r="J4" s="300">
        <v>7</v>
      </c>
      <c r="K4" s="300">
        <v>8</v>
      </c>
      <c r="L4" s="300">
        <v>9</v>
      </c>
      <c r="M4" s="300">
        <v>10</v>
      </c>
      <c r="N4" s="300">
        <v>11</v>
      </c>
      <c r="O4" s="300">
        <v>12</v>
      </c>
      <c r="P4" s="300">
        <v>13</v>
      </c>
      <c r="Q4" s="300">
        <v>14</v>
      </c>
      <c r="R4" s="300">
        <v>15</v>
      </c>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row>
    <row r="5" spans="1:48" s="310" customFormat="1" x14ac:dyDescent="0.25">
      <c r="A5" s="300">
        <v>1</v>
      </c>
      <c r="B5" s="308" t="s">
        <v>481</v>
      </c>
      <c r="C5" s="300" t="s">
        <v>14</v>
      </c>
      <c r="D5" s="309">
        <v>330</v>
      </c>
      <c r="E5" s="309">
        <v>330</v>
      </c>
      <c r="F5" s="309">
        <v>330</v>
      </c>
      <c r="G5" s="309">
        <v>330</v>
      </c>
      <c r="H5" s="309">
        <v>330</v>
      </c>
      <c r="I5" s="309">
        <v>330</v>
      </c>
      <c r="J5" s="309">
        <v>330</v>
      </c>
      <c r="K5" s="309">
        <v>330</v>
      </c>
      <c r="L5" s="309">
        <v>330</v>
      </c>
      <c r="M5" s="309">
        <v>330</v>
      </c>
      <c r="N5" s="309">
        <v>330</v>
      </c>
      <c r="O5" s="309">
        <v>330</v>
      </c>
      <c r="P5" s="309">
        <v>330</v>
      </c>
      <c r="Q5" s="309">
        <v>330</v>
      </c>
      <c r="R5" s="309">
        <v>330</v>
      </c>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row>
    <row r="6" spans="1:48" s="311" customFormat="1" x14ac:dyDescent="0.25">
      <c r="B6" s="302"/>
      <c r="C6" s="302"/>
      <c r="D6" s="312"/>
      <c r="E6" s="312"/>
      <c r="F6" s="312"/>
      <c r="G6" s="312"/>
      <c r="H6" s="312"/>
      <c r="I6" s="312"/>
      <c r="J6" s="312"/>
      <c r="K6" s="312"/>
      <c r="L6" s="312"/>
      <c r="M6" s="312"/>
      <c r="N6" s="312"/>
      <c r="O6" s="312"/>
      <c r="P6" s="312"/>
      <c r="Q6" s="312"/>
      <c r="R6" s="312"/>
    </row>
    <row r="7" spans="1:48" x14ac:dyDescent="0.25">
      <c r="A7" s="300"/>
      <c r="B7" s="472" t="s">
        <v>482</v>
      </c>
      <c r="C7" s="300" t="s">
        <v>14</v>
      </c>
      <c r="D7" s="473"/>
      <c r="E7" s="473"/>
      <c r="F7" s="473"/>
      <c r="G7" s="473"/>
      <c r="H7" s="474"/>
      <c r="I7" s="473"/>
      <c r="J7" s="473"/>
      <c r="K7" s="473"/>
      <c r="L7" s="473"/>
      <c r="M7" s="473"/>
      <c r="N7" s="473"/>
      <c r="O7" s="473"/>
      <c r="P7" s="301"/>
      <c r="Q7" s="301"/>
      <c r="R7" s="301"/>
    </row>
    <row r="8" spans="1:48" x14ac:dyDescent="0.25">
      <c r="A8" s="300">
        <v>1</v>
      </c>
      <c r="B8" s="301" t="s">
        <v>487</v>
      </c>
      <c r="C8" s="300">
        <v>15</v>
      </c>
      <c r="D8" s="321">
        <f>'Cashflow '!F12*$C$8/D5</f>
        <v>12.443383272727274</v>
      </c>
      <c r="E8" s="321">
        <f>'Cashflow '!G12*$C$8/E5</f>
        <v>14.221009454545454</v>
      </c>
      <c r="F8" s="321">
        <f>'Cashflow '!H12*$C$8/F5</f>
        <v>16.887448727272727</v>
      </c>
      <c r="G8" s="321">
        <f>'Cashflow '!I12*$C$8/G5</f>
        <v>16.887448727272727</v>
      </c>
      <c r="H8" s="321">
        <f>'Cashflow '!J12*$C$8/H5</f>
        <v>16.887448727272727</v>
      </c>
      <c r="I8" s="321">
        <f>'Cashflow '!K12*$C$8/I5</f>
        <v>16.887448727272727</v>
      </c>
      <c r="J8" s="321">
        <f>'Cashflow '!L12*$C$8/J5</f>
        <v>16.887448727272727</v>
      </c>
      <c r="K8" s="321">
        <f>'Cashflow '!M12*$C$8/K5</f>
        <v>16.887448727272727</v>
      </c>
      <c r="L8" s="321">
        <f>'Cashflow '!N12*$C$8/L5</f>
        <v>16.887448727272727</v>
      </c>
      <c r="M8" s="321">
        <f>'Cashflow '!O12*$C$8/M5</f>
        <v>16.887448727272727</v>
      </c>
      <c r="N8" s="321">
        <f>'Cashflow '!P12*$C$8/N5</f>
        <v>16.887448727272727</v>
      </c>
      <c r="O8" s="321">
        <f>'Cashflow '!Q12*$C$8/O5</f>
        <v>16.532306155362214</v>
      </c>
      <c r="P8" s="321">
        <f>'Cashflow '!R12*$C$8/P5</f>
        <v>16.532306155362214</v>
      </c>
      <c r="Q8" s="321">
        <f>'Cashflow '!S12*$C$8/Q5</f>
        <v>16.887448727272727</v>
      </c>
      <c r="R8" s="321">
        <f>'Cashflow '!T12*$C$8/R5</f>
        <v>16.887448727272727</v>
      </c>
    </row>
    <row r="9" spans="1:48" x14ac:dyDescent="0.25">
      <c r="A9" s="300">
        <v>2</v>
      </c>
      <c r="B9" s="301" t="s">
        <v>488</v>
      </c>
      <c r="C9" s="300">
        <v>15</v>
      </c>
      <c r="D9" s="321">
        <f>'Cashflow '!F14*$C$9/D5</f>
        <v>0.24970145454545387</v>
      </c>
      <c r="E9" s="321">
        <f>'Cashflow '!G14*$C$9/E5</f>
        <v>0.28537309090909091</v>
      </c>
      <c r="F9" s="321">
        <f>'Cashflow '!H14*$C$9/F5</f>
        <v>0.33888054545454543</v>
      </c>
      <c r="G9" s="321">
        <f>'Cashflow '!I14*$C$9/G5</f>
        <v>0.33888054545454543</v>
      </c>
      <c r="H9" s="321">
        <f>'Cashflow '!J14*$C$9/H5</f>
        <v>0.33888054545454543</v>
      </c>
      <c r="I9" s="321">
        <f>'Cashflow '!K14*$C$9/I5</f>
        <v>0.33888054545454543</v>
      </c>
      <c r="J9" s="321">
        <f>'Cashflow '!L14*$C$9/J5</f>
        <v>0.33888054545454543</v>
      </c>
      <c r="K9" s="321">
        <f>'Cashflow '!M14*$C$9/K5</f>
        <v>0.33888054545454543</v>
      </c>
      <c r="L9" s="321">
        <f>'Cashflow '!N14*$C$9/L5</f>
        <v>0.33888054545454543</v>
      </c>
      <c r="M9" s="321">
        <f>'Cashflow '!O14*$C$9/M5</f>
        <v>0.33888054545454543</v>
      </c>
      <c r="N9" s="321">
        <f>'Cashflow '!P14*$C$9/N5</f>
        <v>0.33888054545454543</v>
      </c>
      <c r="O9" s="321">
        <f>'Cashflow '!Q14*$C$9/O5</f>
        <v>0.33888054545454543</v>
      </c>
      <c r="P9" s="321">
        <f>'Cashflow '!R14*$C$9/P5</f>
        <v>0.33888054545454543</v>
      </c>
      <c r="Q9" s="321">
        <f>'Cashflow '!S14*$C$9/Q5</f>
        <v>0.33888054545454543</v>
      </c>
      <c r="R9" s="321">
        <f>'Cashflow '!T14*$C$9/R5</f>
        <v>0.33888054545454543</v>
      </c>
    </row>
    <row r="10" spans="1:48" x14ac:dyDescent="0.25">
      <c r="A10" s="300">
        <v>3</v>
      </c>
      <c r="B10" s="301" t="s">
        <v>489</v>
      </c>
      <c r="C10" s="300">
        <v>3</v>
      </c>
      <c r="D10" s="321">
        <f>(Opex!D7+Opex!D24)*$C$10/D5</f>
        <v>0.76023265440340893</v>
      </c>
      <c r="E10" s="321">
        <f>(Opex!E7+Opex!E24)*$C$10/E5</f>
        <v>0.86883731931818187</v>
      </c>
      <c r="F10" s="321">
        <f>(Opex!F7+Opex!F24)*$C$10/F5</f>
        <v>1.0317443166903408</v>
      </c>
      <c r="G10" s="321">
        <f>(Opex!G7+Opex!G24)*$C$10/G5</f>
        <v>1.0317443166903408</v>
      </c>
      <c r="H10" s="321">
        <f>(Opex!H7+Opex!H24)*$C$10/H5</f>
        <v>1.0317443166903408</v>
      </c>
      <c r="I10" s="321">
        <f>(Opex!I7+Opex!I24)*$C$10/I5</f>
        <v>1.0317443166903408</v>
      </c>
      <c r="J10" s="321">
        <f>(Opex!J7+Opex!J24)*$C$10/J5</f>
        <v>1.0317443166903408</v>
      </c>
      <c r="K10" s="321">
        <f>(Opex!K7+Opex!K24)*$C$10/K5</f>
        <v>1.0317443166903408</v>
      </c>
      <c r="L10" s="321">
        <f>(Opex!L7+Opex!L24)*$C$10/L5</f>
        <v>1.0317443166903408</v>
      </c>
      <c r="M10" s="321">
        <f>(Opex!M7+Opex!M24)*$C$10/M5</f>
        <v>1.0317443166903408</v>
      </c>
      <c r="N10" s="321">
        <f>(Opex!N7+Opex!N24)*$C$10/N5</f>
        <v>1.0317443166903408</v>
      </c>
      <c r="O10" s="321">
        <f>(Opex!O7+Opex!O24)*$C$10/O5</f>
        <v>1.0317443166903408</v>
      </c>
      <c r="P10" s="321">
        <f>(Opex!P7+Opex!P24)*$C$10/P5</f>
        <v>1.0317443166903408</v>
      </c>
      <c r="Q10" s="321">
        <f>(Opex!Q7+Opex!Q24)*$C$10/Q5</f>
        <v>1.0317443166903408</v>
      </c>
      <c r="R10" s="321">
        <f>(Opex!R7+Opex!R24)*$C$10/R5</f>
        <v>1.0317443166903408</v>
      </c>
    </row>
    <row r="11" spans="1:48" x14ac:dyDescent="0.25">
      <c r="A11" s="300">
        <v>4</v>
      </c>
      <c r="B11" s="301" t="s">
        <v>496</v>
      </c>
      <c r="C11" s="300">
        <f>[6]Main!D104</f>
        <v>30</v>
      </c>
      <c r="D11" s="473">
        <f>+Opex!D11*$C$11/D5</f>
        <v>1.6225504900730117</v>
      </c>
      <c r="E11" s="473">
        <f>+Opex!E11*$C$11/E5</f>
        <v>1.6416754900730115</v>
      </c>
      <c r="F11" s="473">
        <f>+Opex!F11*$C$11/F5</f>
        <v>1.6703629900730115</v>
      </c>
      <c r="G11" s="473">
        <f>+Opex!G11*$C$11/G5</f>
        <v>1.6703629900730115</v>
      </c>
      <c r="H11" s="473">
        <f>+Opex!H11*$C$11/H5</f>
        <v>1.6703629900730115</v>
      </c>
      <c r="I11" s="473">
        <f>+Opex!I11*$C$11/I5</f>
        <v>1.6703629900730115</v>
      </c>
      <c r="J11" s="473">
        <f>+Opex!J11*$C$11/J5</f>
        <v>1.6703629900730115</v>
      </c>
      <c r="K11" s="473">
        <f>+Opex!K11*$C$11/K5</f>
        <v>1.6703629900730115</v>
      </c>
      <c r="L11" s="473">
        <f>+Opex!L11*$C$11/L5</f>
        <v>1.6703629900730115</v>
      </c>
      <c r="M11" s="473">
        <f>+Opex!M11*$C$11/M5</f>
        <v>1.6703629900730115</v>
      </c>
      <c r="N11" s="473">
        <f>+Opex!N11*$C$11/N5</f>
        <v>1.6703629900730115</v>
      </c>
      <c r="O11" s="473">
        <f>+Opex!O11*$C$11/O5</f>
        <v>1.6703629900730115</v>
      </c>
      <c r="P11" s="473">
        <f>+Opex!P11*$C$11/P5</f>
        <v>1.6703629900730115</v>
      </c>
      <c r="Q11" s="473">
        <f>+Opex!Q11*$C$11/Q5</f>
        <v>1.6703629900730115</v>
      </c>
      <c r="R11" s="473">
        <f>+Opex!R11*$C$11/R5</f>
        <v>1.6703629900730115</v>
      </c>
    </row>
    <row r="12" spans="1:48" x14ac:dyDescent="0.25">
      <c r="A12" s="300">
        <v>5</v>
      </c>
      <c r="B12" s="301" t="s">
        <v>490</v>
      </c>
      <c r="C12" s="300">
        <f>[6]Main!D105</f>
        <v>7</v>
      </c>
      <c r="D12" s="321">
        <f>-D10*$C$12/$C$10</f>
        <v>-1.7738761936079541</v>
      </c>
      <c r="E12" s="321">
        <f t="shared" ref="E12:R12" si="0">-E10*$C$12/$C$10</f>
        <v>-2.0272870784090911</v>
      </c>
      <c r="F12" s="321">
        <f t="shared" si="0"/>
        <v>-2.4074034056107951</v>
      </c>
      <c r="G12" s="321">
        <f t="shared" si="0"/>
        <v>-2.4074034056107951</v>
      </c>
      <c r="H12" s="321">
        <f t="shared" si="0"/>
        <v>-2.4074034056107951</v>
      </c>
      <c r="I12" s="321">
        <f t="shared" si="0"/>
        <v>-2.4074034056107951</v>
      </c>
      <c r="J12" s="321">
        <f t="shared" si="0"/>
        <v>-2.4074034056107951</v>
      </c>
      <c r="K12" s="321">
        <f t="shared" si="0"/>
        <v>-2.4074034056107951</v>
      </c>
      <c r="L12" s="321">
        <f t="shared" si="0"/>
        <v>-2.4074034056107951</v>
      </c>
      <c r="M12" s="321">
        <f t="shared" si="0"/>
        <v>-2.4074034056107951</v>
      </c>
      <c r="N12" s="321">
        <f t="shared" si="0"/>
        <v>-2.4074034056107951</v>
      </c>
      <c r="O12" s="321">
        <f t="shared" si="0"/>
        <v>-2.4074034056107951</v>
      </c>
      <c r="P12" s="321">
        <f t="shared" si="0"/>
        <v>-2.4074034056107951</v>
      </c>
      <c r="Q12" s="321">
        <f t="shared" si="0"/>
        <v>-2.4074034056107951</v>
      </c>
      <c r="R12" s="321">
        <f t="shared" si="0"/>
        <v>-2.4074034056107951</v>
      </c>
    </row>
    <row r="13" spans="1:48" ht="20.100000000000001" customHeight="1" x14ac:dyDescent="0.25">
      <c r="A13" s="316">
        <v>6</v>
      </c>
      <c r="B13" s="472" t="s">
        <v>483</v>
      </c>
      <c r="C13" s="316" t="s">
        <v>541</v>
      </c>
      <c r="D13" s="475">
        <f t="shared" ref="D13:R13" si="1">SUM(D8:D12)</f>
        <v>13.301991678141194</v>
      </c>
      <c r="E13" s="475">
        <f t="shared" si="1"/>
        <v>14.989608276436648</v>
      </c>
      <c r="F13" s="475">
        <f t="shared" si="1"/>
        <v>17.521033173879829</v>
      </c>
      <c r="G13" s="475">
        <f t="shared" si="1"/>
        <v>17.521033173879829</v>
      </c>
      <c r="H13" s="475">
        <f t="shared" si="1"/>
        <v>17.521033173879829</v>
      </c>
      <c r="I13" s="475">
        <f t="shared" si="1"/>
        <v>17.521033173879829</v>
      </c>
      <c r="J13" s="475">
        <f t="shared" si="1"/>
        <v>17.521033173879829</v>
      </c>
      <c r="K13" s="475">
        <f t="shared" si="1"/>
        <v>17.521033173879829</v>
      </c>
      <c r="L13" s="475">
        <f t="shared" si="1"/>
        <v>17.521033173879829</v>
      </c>
      <c r="M13" s="475">
        <f t="shared" si="1"/>
        <v>17.521033173879829</v>
      </c>
      <c r="N13" s="475">
        <f t="shared" si="1"/>
        <v>17.521033173879829</v>
      </c>
      <c r="O13" s="475">
        <f t="shared" si="1"/>
        <v>17.165890601969316</v>
      </c>
      <c r="P13" s="475">
        <f t="shared" si="1"/>
        <v>17.165890601969316</v>
      </c>
      <c r="Q13" s="475">
        <f t="shared" si="1"/>
        <v>17.521033173879829</v>
      </c>
      <c r="R13" s="475">
        <f t="shared" si="1"/>
        <v>17.521033173879829</v>
      </c>
    </row>
    <row r="14" spans="1:48" ht="20.100000000000001" customHeight="1" x14ac:dyDescent="0.25"/>
    <row r="15" spans="1:48" ht="20.100000000000001" customHeight="1" x14ac:dyDescent="0.25">
      <c r="A15" s="300"/>
      <c r="B15" s="472" t="s">
        <v>484</v>
      </c>
      <c r="C15" s="601">
        <v>0.25</v>
      </c>
      <c r="D15" s="301"/>
      <c r="E15" s="301"/>
      <c r="F15" s="301"/>
      <c r="G15" s="301"/>
      <c r="H15" s="301"/>
      <c r="I15" s="301"/>
      <c r="J15" s="301"/>
      <c r="K15" s="301"/>
      <c r="L15" s="301"/>
      <c r="M15" s="301"/>
      <c r="N15" s="301"/>
      <c r="O15" s="301"/>
      <c r="P15" s="301"/>
      <c r="Q15" s="301"/>
      <c r="R15" s="301"/>
    </row>
    <row r="16" spans="1:48" ht="20.100000000000001" customHeight="1" x14ac:dyDescent="0.25">
      <c r="A16" s="300">
        <v>1</v>
      </c>
      <c r="B16" s="472" t="s">
        <v>497</v>
      </c>
      <c r="C16" s="316" t="s">
        <v>541</v>
      </c>
      <c r="D16" s="475">
        <f>D13*$C$15</f>
        <v>3.3254979195352985</v>
      </c>
      <c r="E16" s="475">
        <f t="shared" ref="E16:R16" si="2">E13*$C$15</f>
        <v>3.7474020691091621</v>
      </c>
      <c r="F16" s="475">
        <f t="shared" si="2"/>
        <v>4.3802582934699572</v>
      </c>
      <c r="G16" s="475">
        <f t="shared" si="2"/>
        <v>4.3802582934699572</v>
      </c>
      <c r="H16" s="475">
        <f t="shared" si="2"/>
        <v>4.3802582934699572</v>
      </c>
      <c r="I16" s="475">
        <f t="shared" si="2"/>
        <v>4.3802582934699572</v>
      </c>
      <c r="J16" s="475">
        <f t="shared" si="2"/>
        <v>4.3802582934699572</v>
      </c>
      <c r="K16" s="475">
        <f t="shared" si="2"/>
        <v>4.3802582934699572</v>
      </c>
      <c r="L16" s="475">
        <f t="shared" si="2"/>
        <v>4.3802582934699572</v>
      </c>
      <c r="M16" s="475">
        <f t="shared" si="2"/>
        <v>4.3802582934699572</v>
      </c>
      <c r="N16" s="475">
        <f t="shared" si="2"/>
        <v>4.3802582934699572</v>
      </c>
      <c r="O16" s="475">
        <f t="shared" si="2"/>
        <v>4.2914726504923291</v>
      </c>
      <c r="P16" s="475">
        <f t="shared" si="2"/>
        <v>4.2914726504923291</v>
      </c>
      <c r="Q16" s="475">
        <f t="shared" si="2"/>
        <v>4.3802582934699572</v>
      </c>
      <c r="R16" s="475">
        <f t="shared" si="2"/>
        <v>4.3802582934699572</v>
      </c>
    </row>
    <row r="17" spans="1:18" ht="20.100000000000001" customHeight="1" x14ac:dyDescent="0.25">
      <c r="A17" s="300">
        <v>2</v>
      </c>
      <c r="B17" s="301" t="s">
        <v>594</v>
      </c>
      <c r="C17" s="300" t="s">
        <v>541</v>
      </c>
      <c r="D17" s="321">
        <f>D16</f>
        <v>3.3254979195352985</v>
      </c>
      <c r="E17" s="321">
        <f t="shared" ref="E17:R17" si="3">E16-D16</f>
        <v>0.42190414957386357</v>
      </c>
      <c r="F17" s="321">
        <f t="shared" si="3"/>
        <v>0.63285622436079514</v>
      </c>
      <c r="G17" s="321">
        <f t="shared" si="3"/>
        <v>0</v>
      </c>
      <c r="H17" s="321">
        <f t="shared" si="3"/>
        <v>0</v>
      </c>
      <c r="I17" s="321">
        <f t="shared" si="3"/>
        <v>0</v>
      </c>
      <c r="J17" s="321">
        <f t="shared" si="3"/>
        <v>0</v>
      </c>
      <c r="K17" s="321">
        <f t="shared" si="3"/>
        <v>0</v>
      </c>
      <c r="L17" s="321">
        <f t="shared" si="3"/>
        <v>0</v>
      </c>
      <c r="M17" s="321">
        <f t="shared" si="3"/>
        <v>0</v>
      </c>
      <c r="N17" s="321">
        <f t="shared" si="3"/>
        <v>0</v>
      </c>
      <c r="O17" s="321">
        <f t="shared" si="3"/>
        <v>-8.8785642977628143E-2</v>
      </c>
      <c r="P17" s="321">
        <f t="shared" si="3"/>
        <v>0</v>
      </c>
      <c r="Q17" s="321">
        <f t="shared" si="3"/>
        <v>8.8785642977628143E-2</v>
      </c>
      <c r="R17" s="321">
        <f t="shared" si="3"/>
        <v>0</v>
      </c>
    </row>
    <row r="18" spans="1:18" ht="20.100000000000001" customHeight="1" x14ac:dyDescent="0.25">
      <c r="A18" s="300">
        <v>3</v>
      </c>
      <c r="B18" s="308" t="s">
        <v>485</v>
      </c>
      <c r="C18" s="300" t="s">
        <v>541</v>
      </c>
      <c r="D18" s="321">
        <f>+D13*(1-$C$15)</f>
        <v>9.9764937586058959</v>
      </c>
      <c r="E18" s="321">
        <f t="shared" ref="E18:R18" si="4">+E13*(1-$C$15)</f>
        <v>11.242206207327486</v>
      </c>
      <c r="F18" s="321">
        <f t="shared" si="4"/>
        <v>13.140774880409872</v>
      </c>
      <c r="G18" s="321">
        <f t="shared" si="4"/>
        <v>13.140774880409872</v>
      </c>
      <c r="H18" s="321">
        <f t="shared" si="4"/>
        <v>13.140774880409872</v>
      </c>
      <c r="I18" s="321">
        <f t="shared" si="4"/>
        <v>13.140774880409872</v>
      </c>
      <c r="J18" s="321">
        <f t="shared" si="4"/>
        <v>13.140774880409872</v>
      </c>
      <c r="K18" s="321">
        <f t="shared" si="4"/>
        <v>13.140774880409872</v>
      </c>
      <c r="L18" s="321">
        <f t="shared" si="4"/>
        <v>13.140774880409872</v>
      </c>
      <c r="M18" s="321">
        <f t="shared" si="4"/>
        <v>13.140774880409872</v>
      </c>
      <c r="N18" s="321">
        <f t="shared" si="4"/>
        <v>13.140774880409872</v>
      </c>
      <c r="O18" s="321">
        <f t="shared" si="4"/>
        <v>12.874417951476987</v>
      </c>
      <c r="P18" s="321">
        <f t="shared" si="4"/>
        <v>12.874417951476987</v>
      </c>
      <c r="Q18" s="321">
        <f t="shared" si="4"/>
        <v>13.140774880409872</v>
      </c>
      <c r="R18" s="321">
        <f t="shared" si="4"/>
        <v>13.140774880409872</v>
      </c>
    </row>
    <row r="19" spans="1:18" ht="20.100000000000001" customHeight="1" x14ac:dyDescent="0.25">
      <c r="A19" s="300">
        <v>4</v>
      </c>
      <c r="B19" s="308" t="s">
        <v>553</v>
      </c>
      <c r="C19" s="300" t="s">
        <v>541</v>
      </c>
      <c r="D19" s="321">
        <f>D18*Norms!$B$53</f>
        <v>0.79811950068847171</v>
      </c>
      <c r="E19" s="321">
        <f>E18*Norms!$B$53</f>
        <v>0.89937649658619889</v>
      </c>
      <c r="F19" s="321">
        <f>F18*Norms!$B$53</f>
        <v>1.0512619904327898</v>
      </c>
      <c r="G19" s="321">
        <f>G18*Norms!$B$53</f>
        <v>1.0512619904327898</v>
      </c>
      <c r="H19" s="321">
        <f>H18*Norms!$B$53</f>
        <v>1.0512619904327898</v>
      </c>
      <c r="I19" s="321">
        <f>I18*Norms!$B$53</f>
        <v>1.0512619904327898</v>
      </c>
      <c r="J19" s="321">
        <f>J18*Norms!$B$53</f>
        <v>1.0512619904327898</v>
      </c>
      <c r="K19" s="321">
        <f>K18*Norms!$B$53</f>
        <v>1.0512619904327898</v>
      </c>
      <c r="L19" s="321">
        <f>L18*Norms!$B$53</f>
        <v>1.0512619904327898</v>
      </c>
      <c r="M19" s="321">
        <f>M18*Norms!$B$53</f>
        <v>1.0512619904327898</v>
      </c>
      <c r="N19" s="321">
        <f>N18*Norms!$B$53</f>
        <v>1.0512619904327898</v>
      </c>
      <c r="O19" s="321">
        <f>O18*Norms!$B$53</f>
        <v>1.029953436118159</v>
      </c>
      <c r="P19" s="321">
        <f>P18*Norms!$B$53</f>
        <v>1.029953436118159</v>
      </c>
      <c r="Q19" s="321">
        <f>Q18*Norms!$B$53</f>
        <v>1.0512619904327898</v>
      </c>
      <c r="R19" s="321">
        <f>R18*Norms!$B$53</f>
        <v>1.0512619904327898</v>
      </c>
    </row>
    <row r="20" spans="1:18" ht="20.100000000000001" customHeight="1" x14ac:dyDescent="0.25">
      <c r="A20" s="300">
        <v>5</v>
      </c>
      <c r="B20" s="301" t="s">
        <v>486</v>
      </c>
      <c r="C20" s="300" t="s">
        <v>541</v>
      </c>
      <c r="D20" s="321">
        <f>D18</f>
        <v>9.9764937586058959</v>
      </c>
      <c r="E20" s="321">
        <f>E18-D18</f>
        <v>1.2657124487215903</v>
      </c>
      <c r="F20" s="321">
        <f>F18-E18</f>
        <v>1.8985686730823854</v>
      </c>
      <c r="G20" s="321">
        <f t="shared" ref="G20:R20" si="5">G18-F18</f>
        <v>0</v>
      </c>
      <c r="H20" s="321">
        <f t="shared" si="5"/>
        <v>0</v>
      </c>
      <c r="I20" s="321">
        <f t="shared" si="5"/>
        <v>0</v>
      </c>
      <c r="J20" s="321">
        <f t="shared" si="5"/>
        <v>0</v>
      </c>
      <c r="K20" s="321">
        <f t="shared" si="5"/>
        <v>0</v>
      </c>
      <c r="L20" s="321">
        <f t="shared" si="5"/>
        <v>0</v>
      </c>
      <c r="M20" s="321">
        <f t="shared" si="5"/>
        <v>0</v>
      </c>
      <c r="N20" s="321">
        <f t="shared" si="5"/>
        <v>0</v>
      </c>
      <c r="O20" s="321">
        <f t="shared" si="5"/>
        <v>-0.26635692893288443</v>
      </c>
      <c r="P20" s="321">
        <f t="shared" si="5"/>
        <v>0</v>
      </c>
      <c r="Q20" s="321">
        <f t="shared" si="5"/>
        <v>0.26635692893288443</v>
      </c>
      <c r="R20" s="321">
        <f t="shared" si="5"/>
        <v>0</v>
      </c>
    </row>
    <row r="23" spans="1:18" ht="15" customHeight="1" x14ac:dyDescent="0.25">
      <c r="D23" s="304"/>
      <c r="E23" s="304"/>
      <c r="F23" s="304"/>
      <c r="G23" s="304"/>
      <c r="H23" s="305"/>
      <c r="I23" s="304"/>
      <c r="J23" s="304"/>
      <c r="K23" s="304"/>
      <c r="L23" s="304"/>
      <c r="M23" s="304"/>
      <c r="N23" s="304"/>
      <c r="O23" s="304"/>
    </row>
    <row r="24" spans="1:18" ht="15" customHeight="1" x14ac:dyDescent="0.25">
      <c r="D24" s="304"/>
      <c r="E24" s="304"/>
      <c r="F24" s="304"/>
      <c r="G24" s="304"/>
      <c r="H24" s="305"/>
      <c r="I24" s="304"/>
      <c r="J24" s="304"/>
      <c r="K24" s="304"/>
      <c r="L24" s="304"/>
      <c r="M24" s="304"/>
      <c r="N24" s="304"/>
      <c r="O24" s="304"/>
      <c r="P24" s="304"/>
      <c r="Q24" s="304"/>
      <c r="R24" s="304"/>
    </row>
  </sheetData>
  <mergeCells count="1">
    <mergeCell ref="A2: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92"/>
  <sheetViews>
    <sheetView showGridLines="0" zoomScale="85" zoomScaleNormal="85" workbookViewId="0">
      <selection activeCell="B89" sqref="B89"/>
    </sheetView>
  </sheetViews>
  <sheetFormatPr defaultColWidth="9.140625" defaultRowHeight="12.75" x14ac:dyDescent="0.2"/>
  <cols>
    <col min="1" max="1" width="34.85546875" style="184" bestFit="1" customWidth="1"/>
    <col min="2" max="2" width="70" style="184" customWidth="1"/>
    <col min="3" max="3" width="40.7109375" style="184" customWidth="1"/>
    <col min="4" max="4" width="25" style="184" bestFit="1" customWidth="1"/>
    <col min="5" max="5" width="20" style="184" bestFit="1" customWidth="1"/>
    <col min="6" max="6" width="25.7109375" style="184" customWidth="1"/>
    <col min="7" max="7" width="11.140625" style="184" bestFit="1" customWidth="1"/>
    <col min="8" max="8" width="26.5703125" style="184" bestFit="1" customWidth="1"/>
    <col min="9" max="9" width="20.5703125" style="184" customWidth="1"/>
    <col min="10" max="10" width="30.7109375" style="185" bestFit="1" customWidth="1"/>
    <col min="11" max="19" width="9.140625" style="185"/>
    <col min="20" max="23" width="9.140625" style="217"/>
    <col min="24" max="16384" width="9.140625" style="185"/>
  </cols>
  <sheetData>
    <row r="1" spans="1:41" x14ac:dyDescent="0.2">
      <c r="A1" s="700" t="s">
        <v>197</v>
      </c>
      <c r="B1" s="700"/>
      <c r="C1" s="700"/>
      <c r="D1" s="700"/>
      <c r="E1" s="700"/>
      <c r="F1" s="185"/>
      <c r="G1" s="185"/>
      <c r="H1" s="185"/>
      <c r="I1" s="185"/>
    </row>
    <row r="2" spans="1:41" ht="38.25" customHeight="1" x14ac:dyDescent="0.2">
      <c r="A2" s="138" t="s">
        <v>206</v>
      </c>
      <c r="B2" s="80" t="s">
        <v>204</v>
      </c>
      <c r="C2" s="80" t="s">
        <v>198</v>
      </c>
      <c r="D2" s="80" t="s">
        <v>207</v>
      </c>
      <c r="E2" s="139" t="s">
        <v>45</v>
      </c>
      <c r="F2" s="185"/>
      <c r="G2" s="185"/>
      <c r="H2" s="185"/>
      <c r="I2" s="185"/>
    </row>
    <row r="3" spans="1:41" ht="38.25" customHeight="1" x14ac:dyDescent="0.2">
      <c r="A3" s="725" t="s">
        <v>134</v>
      </c>
      <c r="B3" s="729">
        <v>82500</v>
      </c>
      <c r="C3" s="152" t="s">
        <v>136</v>
      </c>
      <c r="D3" s="152">
        <f>Norms!$D$3*100000</f>
        <v>28749.999999999996</v>
      </c>
      <c r="E3" s="140" t="s">
        <v>46</v>
      </c>
      <c r="F3" s="185"/>
      <c r="G3" s="185"/>
      <c r="H3" s="185"/>
      <c r="I3" s="185"/>
    </row>
    <row r="4" spans="1:41" ht="38.25" customHeight="1" x14ac:dyDescent="0.2">
      <c r="A4" s="725"/>
      <c r="B4" s="729"/>
      <c r="C4" s="152" t="s">
        <v>205</v>
      </c>
      <c r="D4" s="152">
        <f>Norms!$D$4*100000</f>
        <v>8.5</v>
      </c>
      <c r="E4" s="140" t="s">
        <v>199</v>
      </c>
      <c r="F4" s="185"/>
      <c r="G4" s="185"/>
      <c r="H4" s="185"/>
      <c r="I4" s="185"/>
    </row>
    <row r="5" spans="1:41" ht="38.25" customHeight="1" x14ac:dyDescent="0.2">
      <c r="A5" s="725" t="s">
        <v>177</v>
      </c>
      <c r="B5" s="729">
        <v>100000</v>
      </c>
      <c r="C5" s="152" t="s">
        <v>187</v>
      </c>
      <c r="D5" s="152">
        <f>Norms!$D$5*100000</f>
        <v>78700</v>
      </c>
      <c r="E5" s="140" t="s">
        <v>46</v>
      </c>
      <c r="F5" s="185"/>
      <c r="G5" s="185"/>
      <c r="H5" s="185"/>
      <c r="I5" s="185"/>
    </row>
    <row r="6" spans="1:41" ht="38.25" customHeight="1" x14ac:dyDescent="0.2">
      <c r="A6" s="726"/>
      <c r="B6" s="730"/>
      <c r="C6" s="153" t="s">
        <v>136</v>
      </c>
      <c r="D6" s="153">
        <f>Norms!$D$6*100000</f>
        <v>21300</v>
      </c>
      <c r="E6" s="141" t="s">
        <v>46</v>
      </c>
      <c r="F6" s="185"/>
      <c r="G6" s="185"/>
      <c r="H6" s="185"/>
      <c r="I6" s="185"/>
    </row>
    <row r="7" spans="1:41" x14ac:dyDescent="0.2">
      <c r="A7" s="717" t="s">
        <v>222</v>
      </c>
      <c r="B7" s="717"/>
      <c r="C7" s="717"/>
      <c r="D7" s="185"/>
      <c r="E7" s="185"/>
      <c r="F7" s="185"/>
      <c r="G7" s="185"/>
      <c r="H7" s="185"/>
      <c r="I7" s="185"/>
    </row>
    <row r="8" spans="1:41" s="187" customFormat="1" x14ac:dyDescent="0.2">
      <c r="A8" s="163" t="s">
        <v>97</v>
      </c>
      <c r="B8" s="164" t="s">
        <v>1</v>
      </c>
      <c r="C8" s="194" t="s">
        <v>217</v>
      </c>
      <c r="D8" s="228" t="s">
        <v>266</v>
      </c>
      <c r="E8" s="185"/>
      <c r="F8" s="185"/>
      <c r="G8" s="185"/>
      <c r="H8" s="185"/>
      <c r="I8" s="185"/>
      <c r="J8" s="185"/>
      <c r="K8" s="186"/>
      <c r="L8" s="186"/>
      <c r="M8" s="186"/>
      <c r="N8" s="186"/>
      <c r="O8" s="186"/>
      <c r="P8" s="186"/>
      <c r="Q8" s="186"/>
      <c r="R8" s="186"/>
      <c r="S8" s="186"/>
      <c r="T8" s="218"/>
      <c r="U8" s="218"/>
      <c r="V8" s="218"/>
      <c r="W8" s="218"/>
      <c r="X8" s="186"/>
      <c r="Y8" s="186"/>
      <c r="Z8" s="186"/>
      <c r="AA8" s="186"/>
      <c r="AB8" s="186"/>
      <c r="AC8" s="186"/>
      <c r="AD8" s="186"/>
      <c r="AE8" s="186"/>
      <c r="AF8" s="186"/>
      <c r="AG8" s="186"/>
      <c r="AH8" s="186"/>
      <c r="AI8" s="186"/>
      <c r="AJ8" s="186"/>
      <c r="AK8" s="186"/>
      <c r="AL8" s="186"/>
      <c r="AM8" s="186"/>
      <c r="AN8" s="186"/>
      <c r="AO8" s="186"/>
    </row>
    <row r="9" spans="1:41" s="187" customFormat="1" ht="12.75" hidden="1" customHeight="1" x14ac:dyDescent="0.2">
      <c r="A9" s="724" t="s">
        <v>100</v>
      </c>
      <c r="B9" s="14" t="s">
        <v>0</v>
      </c>
      <c r="C9" s="165" t="e">
        <v>#DIV/0!</v>
      </c>
      <c r="D9" s="185"/>
      <c r="E9" s="185"/>
      <c r="F9" s="185"/>
      <c r="G9" s="185"/>
      <c r="H9" s="185"/>
      <c r="I9" s="185"/>
      <c r="J9" s="185"/>
      <c r="K9" s="186"/>
      <c r="L9" s="186"/>
      <c r="M9" s="186"/>
      <c r="N9" s="186"/>
      <c r="O9" s="186"/>
      <c r="P9" s="186"/>
      <c r="Q9" s="186"/>
      <c r="R9" s="186"/>
      <c r="S9" s="186"/>
      <c r="T9" s="218"/>
      <c r="U9" s="218"/>
      <c r="V9" s="218"/>
      <c r="W9" s="218"/>
      <c r="X9" s="186"/>
      <c r="Y9" s="186"/>
      <c r="Z9" s="186"/>
      <c r="AA9" s="186"/>
      <c r="AB9" s="186"/>
      <c r="AC9" s="186"/>
      <c r="AD9" s="186"/>
      <c r="AE9" s="186"/>
      <c r="AF9" s="186"/>
      <c r="AG9" s="186"/>
      <c r="AH9" s="186"/>
      <c r="AI9" s="186"/>
      <c r="AJ9" s="186"/>
      <c r="AK9" s="186"/>
      <c r="AL9" s="186"/>
      <c r="AM9" s="186"/>
      <c r="AN9" s="186"/>
      <c r="AO9" s="186"/>
    </row>
    <row r="10" spans="1:41" s="187" customFormat="1" ht="12.75" hidden="1" customHeight="1" x14ac:dyDescent="0.2">
      <c r="A10" s="725"/>
      <c r="B10" s="167" t="s">
        <v>135</v>
      </c>
      <c r="C10" s="165" t="e">
        <v>#DIV/0!</v>
      </c>
      <c r="D10" s="185"/>
      <c r="E10" s="185"/>
      <c r="F10" s="185"/>
      <c r="G10" s="185"/>
      <c r="H10" s="185"/>
      <c r="I10" s="185"/>
      <c r="J10" s="185"/>
      <c r="K10" s="186"/>
      <c r="L10" s="186"/>
      <c r="M10" s="186"/>
      <c r="N10" s="186"/>
      <c r="O10" s="186"/>
      <c r="P10" s="186"/>
      <c r="Q10" s="186"/>
      <c r="R10" s="186"/>
      <c r="S10" s="186"/>
      <c r="T10" s="218"/>
      <c r="U10" s="218"/>
      <c r="V10" s="218"/>
      <c r="W10" s="218"/>
      <c r="X10" s="186"/>
      <c r="Y10" s="186"/>
      <c r="Z10" s="186"/>
      <c r="AA10" s="186"/>
      <c r="AB10" s="186"/>
      <c r="AC10" s="186"/>
      <c r="AD10" s="186"/>
      <c r="AE10" s="186"/>
      <c r="AF10" s="186"/>
      <c r="AG10" s="186"/>
      <c r="AH10" s="186"/>
      <c r="AI10" s="186"/>
      <c r="AJ10" s="186"/>
      <c r="AK10" s="186"/>
      <c r="AL10" s="186"/>
      <c r="AM10" s="186"/>
      <c r="AN10" s="186"/>
      <c r="AO10" s="186"/>
    </row>
    <row r="11" spans="1:41" s="187" customFormat="1" x14ac:dyDescent="0.2">
      <c r="A11" s="724" t="s">
        <v>102</v>
      </c>
      <c r="B11" s="168" t="s">
        <v>238</v>
      </c>
      <c r="C11" s="165">
        <v>26536.75</v>
      </c>
      <c r="D11" s="185"/>
      <c r="E11" s="185"/>
      <c r="F11" s="185"/>
      <c r="G11" s="185"/>
      <c r="H11" s="185"/>
      <c r="I11" s="185"/>
      <c r="J11" s="185"/>
      <c r="K11" s="186"/>
      <c r="L11" s="186"/>
      <c r="M11" s="186"/>
      <c r="N11" s="186"/>
      <c r="O11" s="186"/>
      <c r="P11" s="186"/>
      <c r="Q11" s="186"/>
      <c r="R11" s="186"/>
      <c r="S11" s="186"/>
      <c r="T11" s="218"/>
      <c r="U11" s="218"/>
      <c r="V11" s="218"/>
      <c r="W11" s="218"/>
      <c r="X11" s="186"/>
      <c r="Y11" s="186"/>
      <c r="Z11" s="186"/>
      <c r="AA11" s="186"/>
      <c r="AB11" s="186"/>
      <c r="AC11" s="186"/>
      <c r="AD11" s="186"/>
      <c r="AE11" s="186"/>
      <c r="AF11" s="186"/>
      <c r="AG11" s="186"/>
      <c r="AH11" s="186"/>
      <c r="AI11" s="186"/>
      <c r="AJ11" s="186"/>
      <c r="AK11" s="186"/>
      <c r="AL11" s="186"/>
      <c r="AM11" s="186"/>
      <c r="AN11" s="186"/>
      <c r="AO11" s="186"/>
    </row>
    <row r="12" spans="1:41" s="187" customFormat="1" x14ac:dyDescent="0.2">
      <c r="A12" s="725"/>
      <c r="B12" s="170" t="s">
        <v>239</v>
      </c>
      <c r="C12" s="171">
        <v>10335.608065151127</v>
      </c>
      <c r="D12" s="185"/>
      <c r="E12" s="185"/>
      <c r="F12" s="185"/>
      <c r="G12" s="185"/>
      <c r="H12" s="185"/>
      <c r="I12" s="185"/>
      <c r="J12" s="185"/>
      <c r="K12" s="186"/>
      <c r="L12" s="186"/>
      <c r="M12" s="186"/>
      <c r="N12" s="186"/>
      <c r="O12" s="186"/>
      <c r="P12" s="186"/>
      <c r="Q12" s="186"/>
      <c r="R12" s="186"/>
      <c r="S12" s="186"/>
      <c r="T12" s="218"/>
      <c r="U12" s="218"/>
      <c r="V12" s="218"/>
      <c r="W12" s="218"/>
      <c r="X12" s="186"/>
      <c r="Y12" s="186"/>
      <c r="Z12" s="186"/>
      <c r="AA12" s="186"/>
      <c r="AB12" s="186"/>
      <c r="AC12" s="186"/>
      <c r="AD12" s="186"/>
      <c r="AE12" s="186"/>
      <c r="AF12" s="186"/>
      <c r="AG12" s="186"/>
      <c r="AH12" s="186"/>
      <c r="AI12" s="186"/>
      <c r="AJ12" s="186"/>
      <c r="AK12" s="186"/>
      <c r="AL12" s="186"/>
      <c r="AM12" s="186"/>
      <c r="AN12" s="186"/>
      <c r="AO12" s="186"/>
    </row>
    <row r="13" spans="1:41" s="187" customFormat="1" x14ac:dyDescent="0.2">
      <c r="A13" s="726"/>
      <c r="B13" s="172" t="s">
        <v>238</v>
      </c>
      <c r="C13" s="173">
        <v>29242.25</v>
      </c>
      <c r="D13" s="185"/>
      <c r="E13" s="185"/>
      <c r="F13" s="185"/>
      <c r="G13" s="185"/>
      <c r="H13" s="185"/>
      <c r="I13" s="185"/>
      <c r="J13" s="185"/>
      <c r="K13" s="186"/>
      <c r="L13" s="186"/>
      <c r="M13" s="186"/>
      <c r="N13" s="186"/>
      <c r="O13" s="186"/>
      <c r="P13" s="186"/>
      <c r="Q13" s="186"/>
      <c r="R13" s="186"/>
      <c r="S13" s="186"/>
      <c r="T13" s="218"/>
      <c r="U13" s="218"/>
      <c r="V13" s="218"/>
      <c r="W13" s="218"/>
      <c r="X13" s="186"/>
      <c r="Y13" s="186"/>
      <c r="Z13" s="186"/>
      <c r="AA13" s="186"/>
      <c r="AB13" s="186"/>
      <c r="AC13" s="186"/>
      <c r="AD13" s="186"/>
      <c r="AE13" s="186"/>
      <c r="AF13" s="186"/>
      <c r="AG13" s="186"/>
      <c r="AH13" s="186"/>
      <c r="AI13" s="186"/>
      <c r="AJ13" s="186"/>
      <c r="AK13" s="186"/>
      <c r="AL13" s="186"/>
      <c r="AM13" s="186"/>
      <c r="AN13" s="186"/>
      <c r="AO13" s="186"/>
    </row>
    <row r="14" spans="1:41" s="187" customFormat="1" x14ac:dyDescent="0.2">
      <c r="A14" s="211" t="s">
        <v>137</v>
      </c>
      <c r="B14" s="212" t="s">
        <v>240</v>
      </c>
      <c r="C14" s="213">
        <v>100000</v>
      </c>
      <c r="D14" s="214" t="s">
        <v>265</v>
      </c>
      <c r="E14" s="185"/>
      <c r="F14" s="185"/>
      <c r="G14" s="185"/>
      <c r="H14" s="185"/>
      <c r="I14" s="185"/>
      <c r="J14" s="185"/>
      <c r="K14" s="186"/>
      <c r="L14" s="186"/>
      <c r="M14" s="186"/>
      <c r="N14" s="186"/>
      <c r="O14" s="186"/>
      <c r="P14" s="186"/>
      <c r="Q14" s="186"/>
      <c r="R14" s="186"/>
      <c r="S14" s="186"/>
      <c r="T14" s="218"/>
      <c r="U14" s="218"/>
      <c r="V14" s="218"/>
      <c r="W14" s="218"/>
      <c r="X14" s="186"/>
      <c r="Y14" s="186"/>
      <c r="Z14" s="186"/>
      <c r="AA14" s="186"/>
      <c r="AB14" s="186"/>
      <c r="AC14" s="186"/>
      <c r="AD14" s="186"/>
      <c r="AE14" s="186"/>
      <c r="AF14" s="186"/>
      <c r="AG14" s="186"/>
      <c r="AH14" s="186"/>
      <c r="AI14" s="186"/>
      <c r="AJ14" s="186"/>
      <c r="AK14" s="186"/>
      <c r="AL14" s="186"/>
      <c r="AM14" s="186"/>
      <c r="AN14" s="186"/>
      <c r="AO14" s="186"/>
    </row>
    <row r="15" spans="1:41" s="187" customFormat="1" ht="15" customHeight="1" x14ac:dyDescent="0.2">
      <c r="A15" s="724" t="s">
        <v>140</v>
      </c>
      <c r="B15" s="174" t="s">
        <v>42</v>
      </c>
      <c r="C15" s="215">
        <v>1928.3693750000002</v>
      </c>
      <c r="D15" s="214" t="s">
        <v>265</v>
      </c>
      <c r="E15" s="185"/>
      <c r="F15" s="185"/>
      <c r="G15" s="185"/>
      <c r="H15" s="185"/>
      <c r="I15" s="185"/>
      <c r="J15" s="185"/>
      <c r="T15" s="219"/>
      <c r="U15" s="219"/>
      <c r="V15" s="219"/>
      <c r="W15" s="219"/>
    </row>
    <row r="16" spans="1:41" s="187" customFormat="1" x14ac:dyDescent="0.2">
      <c r="A16" s="725"/>
      <c r="B16" s="175" t="s">
        <v>41</v>
      </c>
      <c r="C16" s="216">
        <v>5387255.0749999993</v>
      </c>
      <c r="D16" s="214" t="s">
        <v>265</v>
      </c>
      <c r="E16" s="185"/>
      <c r="F16" s="185"/>
      <c r="G16" s="185"/>
      <c r="H16" s="185"/>
      <c r="I16" s="185"/>
      <c r="J16" s="185"/>
      <c r="T16" s="219"/>
      <c r="U16" s="219"/>
      <c r="V16" s="219"/>
      <c r="W16" s="219"/>
    </row>
    <row r="17" spans="1:42" s="187" customFormat="1" x14ac:dyDescent="0.2">
      <c r="A17" s="725"/>
      <c r="B17" s="175"/>
      <c r="C17" s="171"/>
      <c r="D17" s="214" t="s">
        <v>265</v>
      </c>
      <c r="E17" s="185"/>
      <c r="F17" s="185"/>
      <c r="G17" s="185"/>
      <c r="H17" s="185"/>
      <c r="I17" s="185"/>
      <c r="J17" s="185"/>
      <c r="T17" s="219"/>
      <c r="U17" s="219"/>
      <c r="V17" s="219"/>
      <c r="W17" s="219"/>
    </row>
    <row r="18" spans="1:42" s="187" customFormat="1" ht="24.75" customHeight="1" x14ac:dyDescent="0.2">
      <c r="A18" s="725"/>
      <c r="B18" s="175" t="s">
        <v>40</v>
      </c>
      <c r="C18" s="171">
        <v>338.58106500000002</v>
      </c>
      <c r="D18" s="214" t="s">
        <v>265</v>
      </c>
      <c r="E18" s="185"/>
      <c r="F18" s="185"/>
      <c r="G18" s="185"/>
      <c r="H18" s="185"/>
      <c r="I18" s="185"/>
      <c r="J18" s="185"/>
      <c r="T18" s="219"/>
      <c r="U18" s="219"/>
      <c r="V18" s="219"/>
      <c r="W18" s="219"/>
    </row>
    <row r="19" spans="1:42" s="187" customFormat="1" x14ac:dyDescent="0.2">
      <c r="A19" s="725"/>
      <c r="B19" s="175"/>
      <c r="C19" s="171"/>
      <c r="D19" s="214" t="s">
        <v>265</v>
      </c>
      <c r="E19" s="185"/>
      <c r="F19" s="185"/>
      <c r="G19" s="185"/>
      <c r="H19" s="185"/>
      <c r="I19" s="185"/>
      <c r="J19" s="185"/>
      <c r="T19" s="219"/>
      <c r="U19" s="219"/>
      <c r="V19" s="219"/>
      <c r="W19" s="219"/>
    </row>
    <row r="20" spans="1:42" s="187" customFormat="1" ht="12" customHeight="1" x14ac:dyDescent="0.2">
      <c r="A20" s="725"/>
      <c r="B20" s="175" t="s">
        <v>149</v>
      </c>
      <c r="C20" s="171" t="e">
        <v>#DIV/0!</v>
      </c>
      <c r="D20" s="214" t="s">
        <v>265</v>
      </c>
      <c r="E20" s="185"/>
      <c r="F20" s="185"/>
      <c r="G20" s="185"/>
      <c r="H20" s="185"/>
      <c r="I20" s="185"/>
      <c r="J20" s="185"/>
      <c r="T20" s="219"/>
      <c r="U20" s="219"/>
      <c r="V20" s="219"/>
      <c r="W20" s="219"/>
    </row>
    <row r="21" spans="1:42" s="187" customFormat="1" x14ac:dyDescent="0.2">
      <c r="A21" s="725"/>
      <c r="B21" s="177" t="s">
        <v>105</v>
      </c>
      <c r="C21" s="171">
        <v>43439.057500000003</v>
      </c>
      <c r="D21" s="214" t="s">
        <v>265</v>
      </c>
      <c r="E21" s="185"/>
      <c r="F21" s="185"/>
      <c r="G21" s="185"/>
      <c r="H21" s="185"/>
      <c r="I21" s="185"/>
      <c r="J21" s="185"/>
      <c r="T21" s="219"/>
      <c r="U21" s="219"/>
      <c r="V21" s="219"/>
      <c r="W21" s="219"/>
    </row>
    <row r="22" spans="1:42" s="187" customFormat="1" x14ac:dyDescent="0.2">
      <c r="A22" s="726"/>
      <c r="B22" s="178" t="s">
        <v>106</v>
      </c>
      <c r="C22" s="173">
        <v>53394802.015112996</v>
      </c>
      <c r="D22" s="214" t="s">
        <v>265</v>
      </c>
      <c r="E22" s="185"/>
      <c r="F22" s="185"/>
      <c r="G22" s="185"/>
      <c r="H22" s="185"/>
      <c r="I22" s="185"/>
      <c r="J22" s="185"/>
      <c r="T22" s="219"/>
      <c r="U22" s="219"/>
      <c r="V22" s="219"/>
      <c r="W22" s="219"/>
    </row>
    <row r="23" spans="1:42" s="187" customFormat="1" x14ac:dyDescent="0.2">
      <c r="A23" s="724" t="s">
        <v>231</v>
      </c>
      <c r="B23" s="174" t="s">
        <v>42</v>
      </c>
      <c r="C23" s="165">
        <v>267.46053949335783</v>
      </c>
      <c r="D23" s="214" t="s">
        <v>265</v>
      </c>
      <c r="E23" s="185"/>
      <c r="F23" s="185"/>
      <c r="G23" s="185"/>
      <c r="H23" s="185"/>
      <c r="I23" s="185"/>
      <c r="J23" s="185"/>
      <c r="T23" s="219"/>
      <c r="U23" s="219"/>
      <c r="V23" s="219"/>
      <c r="W23" s="219"/>
    </row>
    <row r="24" spans="1:42" s="187" customFormat="1" x14ac:dyDescent="0.2">
      <c r="A24" s="725"/>
      <c r="B24" s="175" t="s">
        <v>41</v>
      </c>
      <c r="C24" s="171">
        <v>200595.40462001838</v>
      </c>
      <c r="D24" s="214" t="s">
        <v>265</v>
      </c>
      <c r="E24" s="185"/>
      <c r="F24" s="185"/>
      <c r="G24" s="185"/>
      <c r="H24" s="185"/>
      <c r="I24" s="185"/>
      <c r="J24" s="185"/>
      <c r="T24" s="219"/>
      <c r="U24" s="219"/>
      <c r="V24" s="219"/>
      <c r="W24" s="219"/>
    </row>
    <row r="25" spans="1:42" s="187" customFormat="1" x14ac:dyDescent="0.2">
      <c r="A25" s="725"/>
      <c r="B25" s="175"/>
      <c r="C25" s="171"/>
      <c r="D25" s="214" t="s">
        <v>265</v>
      </c>
      <c r="E25" s="185"/>
      <c r="F25" s="185"/>
      <c r="G25" s="185"/>
      <c r="H25" s="185"/>
      <c r="I25" s="185"/>
      <c r="J25" s="185"/>
      <c r="T25" s="219"/>
      <c r="U25" s="219"/>
      <c r="V25" s="219"/>
      <c r="W25" s="219"/>
    </row>
    <row r="26" spans="1:42" s="187" customFormat="1" x14ac:dyDescent="0.2">
      <c r="A26" s="725"/>
      <c r="B26" s="175" t="s">
        <v>40</v>
      </c>
      <c r="C26" s="171">
        <v>80.238161848007351</v>
      </c>
      <c r="D26" s="214" t="s">
        <v>265</v>
      </c>
      <c r="E26" s="185"/>
      <c r="F26" s="185"/>
      <c r="G26" s="185"/>
      <c r="H26" s="185"/>
      <c r="I26" s="185"/>
      <c r="J26" s="185"/>
      <c r="T26" s="219"/>
      <c r="U26" s="219"/>
      <c r="V26" s="219"/>
      <c r="W26" s="219"/>
    </row>
    <row r="27" spans="1:42" s="187" customFormat="1" x14ac:dyDescent="0.2">
      <c r="A27" s="725"/>
      <c r="B27" s="175" t="s">
        <v>246</v>
      </c>
      <c r="C27" s="171">
        <v>3797.9396608056813</v>
      </c>
      <c r="D27" s="214" t="s">
        <v>265</v>
      </c>
      <c r="E27" s="185"/>
      <c r="F27" s="185"/>
      <c r="G27" s="185"/>
      <c r="H27" s="185"/>
      <c r="I27" s="185"/>
      <c r="J27" s="185"/>
      <c r="T27" s="219"/>
      <c r="U27" s="219"/>
      <c r="V27" s="219"/>
      <c r="W27" s="219"/>
    </row>
    <row r="28" spans="1:42" s="187" customFormat="1" x14ac:dyDescent="0.2">
      <c r="A28" s="725"/>
      <c r="B28" s="175" t="s">
        <v>149</v>
      </c>
      <c r="C28" s="171" t="e">
        <v>#DIV/0!</v>
      </c>
      <c r="D28" s="214" t="s">
        <v>265</v>
      </c>
      <c r="E28" s="185"/>
      <c r="F28" s="185"/>
      <c r="G28" s="185"/>
      <c r="H28" s="185"/>
      <c r="I28" s="185"/>
      <c r="J28" s="185"/>
      <c r="T28" s="219"/>
      <c r="U28" s="219"/>
      <c r="V28" s="219"/>
      <c r="W28" s="219"/>
    </row>
    <row r="29" spans="1:42" x14ac:dyDescent="0.2">
      <c r="A29" s="725"/>
      <c r="B29" s="177"/>
      <c r="C29" s="171"/>
      <c r="D29" s="214" t="s">
        <v>265</v>
      </c>
      <c r="E29" s="185"/>
      <c r="F29" s="185"/>
      <c r="G29" s="185"/>
      <c r="H29" s="185"/>
      <c r="I29" s="185"/>
    </row>
    <row r="30" spans="1:42" s="187" customFormat="1" x14ac:dyDescent="0.2">
      <c r="A30" s="726"/>
      <c r="B30" s="179" t="s">
        <v>106</v>
      </c>
      <c r="C30" s="173">
        <v>1450642.784714049</v>
      </c>
      <c r="D30" s="214" t="s">
        <v>265</v>
      </c>
      <c r="E30" s="185"/>
      <c r="F30" s="185"/>
      <c r="G30" s="185"/>
      <c r="H30" s="185"/>
      <c r="I30" s="185"/>
      <c r="J30" s="185"/>
      <c r="T30" s="219"/>
      <c r="U30" s="219"/>
      <c r="V30" s="219"/>
      <c r="W30" s="219"/>
    </row>
    <row r="31" spans="1:42" s="187" customFormat="1" ht="32.25" customHeight="1" x14ac:dyDescent="0.2">
      <c r="A31" s="157" t="s">
        <v>107</v>
      </c>
      <c r="B31" s="167" t="s">
        <v>236</v>
      </c>
      <c r="C31" s="207">
        <v>18860000</v>
      </c>
      <c r="D31" s="214" t="s">
        <v>265</v>
      </c>
      <c r="E31" s="185"/>
      <c r="F31" s="185"/>
      <c r="G31" s="185"/>
      <c r="H31" s="185"/>
      <c r="I31" s="185"/>
      <c r="J31" s="185"/>
      <c r="K31" s="186"/>
      <c r="L31" s="186"/>
      <c r="M31" s="186"/>
      <c r="N31" s="186"/>
      <c r="O31" s="186"/>
      <c r="P31" s="186"/>
      <c r="Q31" s="186"/>
      <c r="R31" s="186"/>
      <c r="S31" s="186"/>
      <c r="T31" s="218"/>
      <c r="U31" s="218"/>
      <c r="V31" s="218"/>
      <c r="W31" s="218"/>
      <c r="X31" s="186"/>
      <c r="Y31" s="186"/>
      <c r="Z31" s="186"/>
      <c r="AA31" s="186"/>
      <c r="AB31" s="186"/>
      <c r="AC31" s="186"/>
      <c r="AD31" s="186"/>
      <c r="AE31" s="186"/>
      <c r="AF31" s="186"/>
      <c r="AG31" s="186"/>
      <c r="AH31" s="186"/>
      <c r="AI31" s="186"/>
      <c r="AJ31" s="186"/>
      <c r="AK31" s="186"/>
      <c r="AL31" s="186"/>
      <c r="AM31" s="186"/>
      <c r="AN31" s="186"/>
      <c r="AO31" s="186"/>
      <c r="AP31" s="188"/>
    </row>
    <row r="32" spans="1:42" s="187" customFormat="1" ht="24" customHeight="1" x14ac:dyDescent="0.2">
      <c r="A32" s="157" t="s">
        <v>10</v>
      </c>
      <c r="B32" s="180" t="s">
        <v>235</v>
      </c>
      <c r="C32" s="207">
        <v>564200000</v>
      </c>
      <c r="D32" s="185"/>
      <c r="E32" s="185"/>
      <c r="F32" s="185"/>
      <c r="G32" s="185"/>
      <c r="H32" s="185"/>
      <c r="I32" s="185"/>
      <c r="J32" s="185"/>
      <c r="K32" s="186"/>
      <c r="L32" s="186"/>
      <c r="M32" s="186"/>
      <c r="N32" s="186"/>
      <c r="O32" s="186"/>
      <c r="P32" s="186"/>
      <c r="Q32" s="186"/>
      <c r="R32" s="186"/>
      <c r="S32" s="186"/>
      <c r="T32" s="218"/>
      <c r="U32" s="218"/>
      <c r="V32" s="218"/>
      <c r="W32" s="218"/>
      <c r="X32" s="186"/>
      <c r="Y32" s="186"/>
      <c r="Z32" s="186"/>
      <c r="AA32" s="186"/>
      <c r="AB32" s="186"/>
      <c r="AC32" s="186"/>
      <c r="AD32" s="186"/>
      <c r="AE32" s="186"/>
      <c r="AF32" s="186"/>
      <c r="AG32" s="186"/>
      <c r="AH32" s="186"/>
      <c r="AI32" s="186"/>
      <c r="AJ32" s="186"/>
      <c r="AK32" s="186"/>
      <c r="AL32" s="186"/>
      <c r="AM32" s="186"/>
      <c r="AN32" s="186"/>
      <c r="AO32" s="186"/>
    </row>
    <row r="33" spans="1:41" s="190" customFormat="1" ht="27" customHeight="1" x14ac:dyDescent="0.2">
      <c r="A33" s="157" t="s">
        <v>54</v>
      </c>
      <c r="B33" s="180" t="s">
        <v>235</v>
      </c>
      <c r="C33" s="207">
        <v>221967608.67077586</v>
      </c>
      <c r="D33" s="185"/>
      <c r="E33" s="184"/>
      <c r="F33" s="184"/>
      <c r="G33" s="185"/>
      <c r="H33" s="185"/>
      <c r="I33" s="185"/>
      <c r="J33" s="185"/>
      <c r="K33" s="189"/>
      <c r="L33" s="189"/>
      <c r="M33" s="189"/>
      <c r="N33" s="189"/>
      <c r="O33" s="189"/>
      <c r="P33" s="189"/>
      <c r="Q33" s="189"/>
      <c r="R33" s="189"/>
      <c r="S33" s="189"/>
      <c r="T33" s="220"/>
      <c r="U33" s="220"/>
      <c r="V33" s="220"/>
      <c r="W33" s="220"/>
      <c r="X33" s="189"/>
      <c r="Y33" s="189"/>
      <c r="Z33" s="189"/>
      <c r="AA33" s="189"/>
      <c r="AB33" s="189"/>
      <c r="AC33" s="189"/>
      <c r="AD33" s="189"/>
      <c r="AE33" s="189"/>
      <c r="AF33" s="189"/>
      <c r="AG33" s="189"/>
      <c r="AH33" s="189"/>
      <c r="AI33" s="189"/>
      <c r="AJ33" s="189"/>
      <c r="AK33" s="189"/>
      <c r="AL33" s="189"/>
      <c r="AM33" s="189"/>
      <c r="AN33" s="189"/>
      <c r="AO33" s="189"/>
    </row>
    <row r="34" spans="1:41" s="187" customFormat="1" x14ac:dyDescent="0.2">
      <c r="A34" s="185"/>
      <c r="B34" s="185"/>
      <c r="C34" s="185"/>
      <c r="D34" s="185"/>
      <c r="E34" s="185"/>
      <c r="F34" s="185"/>
      <c r="G34" s="185"/>
      <c r="H34" s="185"/>
      <c r="I34" s="185"/>
      <c r="J34" s="185"/>
      <c r="T34" s="219"/>
      <c r="U34" s="219"/>
      <c r="V34" s="219"/>
      <c r="W34" s="219"/>
    </row>
    <row r="35" spans="1:41" s="187" customFormat="1" x14ac:dyDescent="0.2">
      <c r="A35" s="185"/>
      <c r="B35" s="185"/>
      <c r="C35" s="185"/>
      <c r="D35" s="185"/>
      <c r="E35" s="185"/>
      <c r="F35" s="185"/>
      <c r="G35" s="185"/>
      <c r="H35" s="185"/>
      <c r="I35" s="185"/>
      <c r="T35" s="219"/>
      <c r="U35" s="219"/>
      <c r="V35" s="219"/>
      <c r="W35" s="219"/>
    </row>
    <row r="36" spans="1:41" s="187" customFormat="1" x14ac:dyDescent="0.2">
      <c r="A36" s="700" t="s">
        <v>223</v>
      </c>
      <c r="B36" s="700"/>
      <c r="C36" s="700"/>
      <c r="D36" s="700"/>
      <c r="E36" s="700"/>
      <c r="F36" s="700"/>
      <c r="G36" s="700"/>
      <c r="H36" s="700"/>
      <c r="I36" s="700"/>
      <c r="K36" s="186"/>
      <c r="T36" s="219"/>
      <c r="U36" s="219"/>
      <c r="V36" s="219"/>
      <c r="W36" s="219"/>
    </row>
    <row r="37" spans="1:41" x14ac:dyDescent="0.2">
      <c r="A37" s="727"/>
      <c r="B37" s="728"/>
      <c r="C37" s="728"/>
      <c r="D37" s="728"/>
      <c r="E37" s="156">
        <v>1</v>
      </c>
      <c r="F37" s="156">
        <v>2</v>
      </c>
      <c r="G37" s="156">
        <v>3</v>
      </c>
      <c r="H37" s="156">
        <v>4</v>
      </c>
      <c r="I37" s="156">
        <v>5</v>
      </c>
      <c r="J37" s="156">
        <v>6</v>
      </c>
      <c r="K37" s="104">
        <v>7</v>
      </c>
      <c r="L37" s="156">
        <v>8</v>
      </c>
      <c r="M37" s="104">
        <v>9</v>
      </c>
      <c r="N37" s="156">
        <v>10</v>
      </c>
      <c r="O37" s="156">
        <v>11</v>
      </c>
      <c r="P37" s="156">
        <v>12</v>
      </c>
      <c r="Q37" s="156">
        <v>13</v>
      </c>
      <c r="R37" s="104">
        <v>14</v>
      </c>
      <c r="S37" s="156">
        <v>15</v>
      </c>
      <c r="T37" s="221">
        <v>16</v>
      </c>
      <c r="U37" s="221">
        <v>17</v>
      </c>
      <c r="V37" s="221">
        <v>18</v>
      </c>
      <c r="W37" s="222">
        <v>19</v>
      </c>
    </row>
    <row r="38" spans="1:41" x14ac:dyDescent="0.2">
      <c r="A38" s="4" t="s">
        <v>12</v>
      </c>
      <c r="B38" s="152"/>
      <c r="C38" s="2"/>
      <c r="D38" s="181"/>
      <c r="E38" s="152"/>
      <c r="F38" s="152"/>
      <c r="G38" s="152"/>
      <c r="H38" s="152"/>
      <c r="I38" s="152"/>
      <c r="J38" s="152"/>
      <c r="K38" s="152"/>
      <c r="L38" s="152"/>
      <c r="M38" s="152"/>
      <c r="N38" s="152"/>
      <c r="O38" s="181"/>
      <c r="P38" s="181"/>
      <c r="Q38" s="181"/>
      <c r="R38" s="152"/>
      <c r="S38" s="152"/>
      <c r="T38" s="223"/>
      <c r="U38" s="223"/>
      <c r="V38" s="223"/>
      <c r="W38" s="220"/>
    </row>
    <row r="39" spans="1:41" x14ac:dyDescent="0.2">
      <c r="A39" s="20"/>
      <c r="B39" s="2" t="s">
        <v>13</v>
      </c>
      <c r="C39" s="152" t="s">
        <v>14</v>
      </c>
      <c r="D39" s="181"/>
      <c r="E39" s="105">
        <v>30</v>
      </c>
      <c r="F39" s="105">
        <v>30</v>
      </c>
      <c r="G39" s="105">
        <v>30</v>
      </c>
      <c r="H39" s="105">
        <v>30</v>
      </c>
      <c r="I39" s="105">
        <v>30</v>
      </c>
      <c r="J39" s="105">
        <v>30</v>
      </c>
      <c r="K39" s="105">
        <v>30</v>
      </c>
      <c r="L39" s="105">
        <v>30</v>
      </c>
      <c r="M39" s="105">
        <v>30</v>
      </c>
      <c r="N39" s="105">
        <v>30</v>
      </c>
      <c r="O39" s="105">
        <v>30</v>
      </c>
      <c r="P39" s="105">
        <v>30</v>
      </c>
      <c r="Q39" s="105">
        <v>30</v>
      </c>
      <c r="R39" s="105">
        <v>30</v>
      </c>
      <c r="S39" s="105">
        <v>30</v>
      </c>
      <c r="T39" s="224">
        <v>30</v>
      </c>
      <c r="U39" s="224">
        <v>30</v>
      </c>
      <c r="V39" s="224">
        <v>30</v>
      </c>
      <c r="W39" s="224">
        <v>30</v>
      </c>
    </row>
    <row r="40" spans="1:41" x14ac:dyDescent="0.2">
      <c r="A40" s="20"/>
      <c r="B40" s="2" t="s">
        <v>15</v>
      </c>
      <c r="C40" s="152"/>
      <c r="D40" s="181"/>
      <c r="E40" s="3">
        <f>'Cashflow '!F12</f>
        <v>273.75443200000001</v>
      </c>
      <c r="F40" s="3">
        <f>'Cashflow '!G12</f>
        <v>312.86220800000001</v>
      </c>
      <c r="G40" s="3">
        <f>'Cashflow '!H12</f>
        <v>371.52387199999998</v>
      </c>
      <c r="H40" s="3">
        <f>'Cashflow '!I12</f>
        <v>371.52387199999998</v>
      </c>
      <c r="I40" s="3">
        <f>'Cashflow '!J12</f>
        <v>371.52387199999998</v>
      </c>
      <c r="J40" s="3">
        <f>'Cashflow '!K12</f>
        <v>371.52387199999998</v>
      </c>
      <c r="K40" s="3">
        <f>'Cashflow '!L12</f>
        <v>371.52387199999998</v>
      </c>
      <c r="L40" s="3">
        <f>'Cashflow '!M12</f>
        <v>371.52387199999998</v>
      </c>
      <c r="M40" s="3">
        <f>'Cashflow '!N12</f>
        <v>371.52387199999998</v>
      </c>
      <c r="N40" s="3">
        <f>'Cashflow '!O12</f>
        <v>371.52387199999998</v>
      </c>
      <c r="O40" s="3">
        <f>'Cashflow '!P12</f>
        <v>371.52387199999998</v>
      </c>
      <c r="P40" s="3">
        <f>'Cashflow '!Q12</f>
        <v>363.71073541796875</v>
      </c>
      <c r="Q40" s="3">
        <f>'Cashflow '!R12</f>
        <v>363.71073541796875</v>
      </c>
      <c r="R40" s="3" t="e">
        <f>'Cashflow '!#REF!</f>
        <v>#REF!</v>
      </c>
      <c r="S40" s="3" t="e">
        <f>'Cashflow '!#REF!</f>
        <v>#REF!</v>
      </c>
      <c r="T40" s="225" t="e">
        <f>'Cashflow '!#REF!</f>
        <v>#REF!</v>
      </c>
      <c r="U40" s="225" t="e">
        <f>'Cashflow '!#REF!</f>
        <v>#REF!</v>
      </c>
      <c r="V40" s="225" t="e">
        <f>'Cashflow '!#REF!</f>
        <v>#REF!</v>
      </c>
      <c r="W40" s="225" t="e">
        <f>'Cashflow '!#REF!</f>
        <v>#REF!</v>
      </c>
    </row>
    <row r="41" spans="1:41" x14ac:dyDescent="0.2">
      <c r="A41" s="20"/>
      <c r="B41" s="2" t="s">
        <v>16</v>
      </c>
      <c r="C41" s="152"/>
      <c r="D41" s="181"/>
      <c r="E41" s="3">
        <f>+E40/365*E39</f>
        <v>22.500364273972604</v>
      </c>
      <c r="F41" s="3">
        <f t="shared" ref="F41:W41" si="0">+F40/365*F39</f>
        <v>25.714702027397259</v>
      </c>
      <c r="G41" s="3">
        <f t="shared" si="0"/>
        <v>30.536208657534246</v>
      </c>
      <c r="H41" s="3">
        <f t="shared" si="0"/>
        <v>30.536208657534246</v>
      </c>
      <c r="I41" s="3">
        <f t="shared" si="0"/>
        <v>30.536208657534246</v>
      </c>
      <c r="J41" s="3">
        <f t="shared" si="0"/>
        <v>30.536208657534246</v>
      </c>
      <c r="K41" s="3">
        <f t="shared" si="0"/>
        <v>30.536208657534246</v>
      </c>
      <c r="L41" s="3">
        <f t="shared" si="0"/>
        <v>30.536208657534246</v>
      </c>
      <c r="M41" s="3">
        <f t="shared" si="0"/>
        <v>30.536208657534246</v>
      </c>
      <c r="N41" s="3">
        <f t="shared" si="0"/>
        <v>30.536208657534246</v>
      </c>
      <c r="O41" s="3">
        <f t="shared" si="0"/>
        <v>30.536208657534246</v>
      </c>
      <c r="P41" s="3">
        <f t="shared" si="0"/>
        <v>29.894033048052226</v>
      </c>
      <c r="Q41" s="3">
        <f t="shared" si="0"/>
        <v>29.894033048052226</v>
      </c>
      <c r="R41" s="3" t="e">
        <f t="shared" si="0"/>
        <v>#REF!</v>
      </c>
      <c r="S41" s="3" t="e">
        <f t="shared" si="0"/>
        <v>#REF!</v>
      </c>
      <c r="T41" s="225" t="e">
        <f t="shared" si="0"/>
        <v>#REF!</v>
      </c>
      <c r="U41" s="225" t="e">
        <f t="shared" si="0"/>
        <v>#REF!</v>
      </c>
      <c r="V41" s="225" t="e">
        <f t="shared" si="0"/>
        <v>#REF!</v>
      </c>
      <c r="W41" s="225" t="e">
        <f t="shared" si="0"/>
        <v>#REF!</v>
      </c>
    </row>
    <row r="42" spans="1:41" x14ac:dyDescent="0.2">
      <c r="A42" s="20"/>
      <c r="B42" s="152"/>
      <c r="C42" s="152"/>
      <c r="D42" s="181"/>
      <c r="E42" s="152"/>
      <c r="F42" s="152"/>
      <c r="G42" s="152"/>
      <c r="H42" s="152"/>
      <c r="I42" s="152"/>
      <c r="J42" s="152"/>
      <c r="K42" s="152"/>
      <c r="L42" s="152"/>
      <c r="M42" s="152"/>
      <c r="N42" s="152"/>
      <c r="O42" s="152"/>
      <c r="P42" s="152"/>
      <c r="Q42" s="152"/>
      <c r="R42" s="152"/>
      <c r="S42" s="152"/>
      <c r="T42" s="220"/>
      <c r="U42" s="220"/>
      <c r="V42" s="220"/>
      <c r="W42" s="220"/>
    </row>
    <row r="43" spans="1:41" x14ac:dyDescent="0.2">
      <c r="A43" s="4" t="s">
        <v>17</v>
      </c>
      <c r="B43" s="152"/>
      <c r="C43" s="2"/>
      <c r="D43" s="181"/>
      <c r="E43" s="152"/>
      <c r="F43" s="152"/>
      <c r="G43" s="152"/>
      <c r="H43" s="152"/>
      <c r="I43" s="152"/>
      <c r="J43" s="152"/>
      <c r="K43" s="152"/>
      <c r="L43" s="152"/>
      <c r="M43" s="152"/>
      <c r="N43" s="152"/>
      <c r="O43" s="152"/>
      <c r="P43" s="152"/>
      <c r="Q43" s="152"/>
      <c r="R43" s="152"/>
      <c r="S43" s="152"/>
      <c r="T43" s="220"/>
      <c r="U43" s="220"/>
      <c r="V43" s="220"/>
      <c r="W43" s="220"/>
    </row>
    <row r="44" spans="1:41" x14ac:dyDescent="0.2">
      <c r="A44" s="20"/>
      <c r="B44" s="2" t="s">
        <v>18</v>
      </c>
      <c r="C44" s="152" t="s">
        <v>14</v>
      </c>
      <c r="D44" s="181"/>
      <c r="E44" s="105">
        <v>20</v>
      </c>
      <c r="F44" s="105">
        <v>20</v>
      </c>
      <c r="G44" s="105">
        <v>20</v>
      </c>
      <c r="H44" s="105">
        <v>20</v>
      </c>
      <c r="I44" s="105">
        <v>20</v>
      </c>
      <c r="J44" s="105">
        <v>20</v>
      </c>
      <c r="K44" s="105">
        <v>20</v>
      </c>
      <c r="L44" s="105">
        <v>20</v>
      </c>
      <c r="M44" s="105">
        <v>20</v>
      </c>
      <c r="N44" s="105">
        <v>20</v>
      </c>
      <c r="O44" s="105">
        <v>20</v>
      </c>
      <c r="P44" s="105">
        <v>20</v>
      </c>
      <c r="Q44" s="105">
        <v>20</v>
      </c>
      <c r="R44" s="105">
        <v>20</v>
      </c>
      <c r="S44" s="105">
        <v>20</v>
      </c>
      <c r="T44" s="224">
        <v>20</v>
      </c>
      <c r="U44" s="224">
        <v>20</v>
      </c>
      <c r="V44" s="224">
        <v>20</v>
      </c>
      <c r="W44" s="224">
        <v>20</v>
      </c>
    </row>
    <row r="45" spans="1:41" x14ac:dyDescent="0.2">
      <c r="A45" s="20"/>
      <c r="B45" s="2" t="s">
        <v>19</v>
      </c>
      <c r="C45" s="152"/>
      <c r="D45" s="181"/>
      <c r="E45" s="3">
        <f>'Cashflow '!F20</f>
        <v>141.33558487517811</v>
      </c>
      <c r="F45" s="3">
        <f>'Cashflow '!G20</f>
        <v>127.34962841264252</v>
      </c>
      <c r="G45" s="3">
        <f>'Cashflow '!H20</f>
        <v>176.66600090290359</v>
      </c>
      <c r="H45" s="3">
        <f>'Cashflow '!I20</f>
        <v>176.66600090290359</v>
      </c>
      <c r="I45" s="3">
        <f>'Cashflow '!J20</f>
        <v>176.66600090290359</v>
      </c>
      <c r="J45" s="3">
        <f>'Cashflow '!K20</f>
        <v>176.66600090290359</v>
      </c>
      <c r="K45" s="3">
        <f>'Cashflow '!L20</f>
        <v>176.66600090290359</v>
      </c>
      <c r="L45" s="3">
        <f>'Cashflow '!M20</f>
        <v>176.66600090290359</v>
      </c>
      <c r="M45" s="3">
        <f>'Cashflow '!N20</f>
        <v>176.66600090290359</v>
      </c>
      <c r="N45" s="3">
        <f>'Cashflow '!O20</f>
        <v>176.66600090290359</v>
      </c>
      <c r="O45" s="3">
        <f>'Cashflow '!P20</f>
        <v>176.66600090290359</v>
      </c>
      <c r="P45" s="3">
        <f>'Cashflow '!Q20</f>
        <v>176.66600090290359</v>
      </c>
      <c r="Q45" s="3">
        <f>'Cashflow '!R20</f>
        <v>176.66600090290359</v>
      </c>
      <c r="R45" s="3" t="e">
        <f>'Cashflow '!#REF!</f>
        <v>#REF!</v>
      </c>
      <c r="S45" s="3" t="e">
        <f>'Cashflow '!#REF!</f>
        <v>#REF!</v>
      </c>
      <c r="T45" s="225" t="e">
        <f>'Cashflow '!#REF!</f>
        <v>#REF!</v>
      </c>
      <c r="U45" s="225" t="e">
        <f>'Cashflow '!#REF!</f>
        <v>#REF!</v>
      </c>
      <c r="V45" s="225" t="e">
        <f>'Cashflow '!#REF!</f>
        <v>#REF!</v>
      </c>
      <c r="W45" s="225" t="e">
        <f>'Cashflow '!#REF!</f>
        <v>#REF!</v>
      </c>
    </row>
    <row r="46" spans="1:41" x14ac:dyDescent="0.2">
      <c r="A46" s="20"/>
      <c r="B46" s="2" t="s">
        <v>20</v>
      </c>
      <c r="C46" s="152"/>
      <c r="D46" s="181"/>
      <c r="E46" s="3">
        <f>+E45/365*E44</f>
        <v>7.7444156095987999</v>
      </c>
      <c r="F46" s="3">
        <f t="shared" ref="F46:W46" si="1">+F45/365*F44</f>
        <v>6.9780618308297271</v>
      </c>
      <c r="G46" s="3">
        <f t="shared" si="1"/>
        <v>9.6803288165974557</v>
      </c>
      <c r="H46" s="3">
        <f t="shared" si="1"/>
        <v>9.6803288165974557</v>
      </c>
      <c r="I46" s="3">
        <f t="shared" si="1"/>
        <v>9.6803288165974557</v>
      </c>
      <c r="J46" s="3">
        <f t="shared" si="1"/>
        <v>9.6803288165974557</v>
      </c>
      <c r="K46" s="3">
        <f t="shared" si="1"/>
        <v>9.6803288165974557</v>
      </c>
      <c r="L46" s="3">
        <f t="shared" si="1"/>
        <v>9.6803288165974557</v>
      </c>
      <c r="M46" s="3">
        <f t="shared" si="1"/>
        <v>9.6803288165974557</v>
      </c>
      <c r="N46" s="3">
        <f t="shared" si="1"/>
        <v>9.6803288165974557</v>
      </c>
      <c r="O46" s="3">
        <f t="shared" si="1"/>
        <v>9.6803288165974557</v>
      </c>
      <c r="P46" s="3">
        <f t="shared" si="1"/>
        <v>9.6803288165974557</v>
      </c>
      <c r="Q46" s="3">
        <f t="shared" si="1"/>
        <v>9.6803288165974557</v>
      </c>
      <c r="R46" s="3" t="e">
        <f t="shared" si="1"/>
        <v>#REF!</v>
      </c>
      <c r="S46" s="3" t="e">
        <f t="shared" si="1"/>
        <v>#REF!</v>
      </c>
      <c r="T46" s="225" t="e">
        <f t="shared" si="1"/>
        <v>#REF!</v>
      </c>
      <c r="U46" s="225" t="e">
        <f t="shared" si="1"/>
        <v>#REF!</v>
      </c>
      <c r="V46" s="225" t="e">
        <f t="shared" si="1"/>
        <v>#REF!</v>
      </c>
      <c r="W46" s="225" t="e">
        <f t="shared" si="1"/>
        <v>#REF!</v>
      </c>
    </row>
    <row r="47" spans="1:41" x14ac:dyDescent="0.2">
      <c r="A47" s="20"/>
      <c r="B47" s="152"/>
      <c r="C47" s="152"/>
      <c r="D47" s="181"/>
      <c r="E47" s="152"/>
      <c r="F47" s="152"/>
      <c r="G47" s="152"/>
      <c r="H47" s="152"/>
      <c r="I47" s="152"/>
      <c r="J47" s="152"/>
      <c r="K47" s="152"/>
      <c r="L47" s="152"/>
      <c r="M47" s="152"/>
      <c r="N47" s="152"/>
      <c r="O47" s="181"/>
      <c r="P47" s="181"/>
      <c r="Q47" s="181"/>
      <c r="R47" s="152"/>
      <c r="S47" s="152"/>
      <c r="T47" s="223"/>
      <c r="U47" s="223"/>
      <c r="V47" s="223"/>
      <c r="W47" s="220"/>
    </row>
    <row r="48" spans="1:41" x14ac:dyDescent="0.2">
      <c r="A48" s="4" t="s">
        <v>21</v>
      </c>
      <c r="B48" s="152"/>
      <c r="C48" s="2"/>
      <c r="D48" s="181"/>
      <c r="E48" s="152"/>
      <c r="F48" s="152"/>
      <c r="G48" s="152"/>
      <c r="H48" s="152"/>
      <c r="I48" s="152"/>
      <c r="J48" s="152"/>
      <c r="K48" s="152"/>
      <c r="L48" s="152"/>
      <c r="M48" s="152"/>
      <c r="N48" s="152"/>
      <c r="O48" s="181"/>
      <c r="P48" s="181"/>
      <c r="Q48" s="181"/>
      <c r="R48" s="152"/>
      <c r="S48" s="152"/>
      <c r="T48" s="223"/>
      <c r="U48" s="223"/>
      <c r="V48" s="223"/>
      <c r="W48" s="220"/>
    </row>
    <row r="49" spans="1:23" x14ac:dyDescent="0.2">
      <c r="A49" s="20"/>
      <c r="B49" s="2" t="s">
        <v>22</v>
      </c>
      <c r="C49" s="152" t="s">
        <v>14</v>
      </c>
      <c r="D49" s="181"/>
      <c r="E49" s="105">
        <v>10</v>
      </c>
      <c r="F49" s="105">
        <v>10</v>
      </c>
      <c r="G49" s="105">
        <v>10</v>
      </c>
      <c r="H49" s="105">
        <v>10</v>
      </c>
      <c r="I49" s="105">
        <v>10</v>
      </c>
      <c r="J49" s="105">
        <v>10</v>
      </c>
      <c r="K49" s="105">
        <v>10</v>
      </c>
      <c r="L49" s="105">
        <v>10</v>
      </c>
      <c r="M49" s="105">
        <v>10</v>
      </c>
      <c r="N49" s="105">
        <v>10</v>
      </c>
      <c r="O49" s="105">
        <v>10</v>
      </c>
      <c r="P49" s="105">
        <v>10</v>
      </c>
      <c r="Q49" s="105">
        <v>10</v>
      </c>
      <c r="R49" s="105">
        <v>10</v>
      </c>
      <c r="S49" s="105">
        <v>10</v>
      </c>
      <c r="T49" s="224">
        <v>10</v>
      </c>
      <c r="U49" s="224">
        <v>10</v>
      </c>
      <c r="V49" s="224">
        <v>10</v>
      </c>
      <c r="W49" s="224">
        <v>10</v>
      </c>
    </row>
    <row r="50" spans="1:23" x14ac:dyDescent="0.2">
      <c r="A50" s="20"/>
      <c r="B50" s="2" t="s">
        <v>23</v>
      </c>
      <c r="C50" s="152"/>
      <c r="D50" s="181"/>
      <c r="E50" s="3">
        <f>-E45</f>
        <v>-141.33558487517811</v>
      </c>
      <c r="F50" s="3">
        <f t="shared" ref="F50:W50" si="2">-F45</f>
        <v>-127.34962841264252</v>
      </c>
      <c r="G50" s="3">
        <f t="shared" si="2"/>
        <v>-176.66600090290359</v>
      </c>
      <c r="H50" s="3">
        <f t="shared" si="2"/>
        <v>-176.66600090290359</v>
      </c>
      <c r="I50" s="3">
        <f t="shared" si="2"/>
        <v>-176.66600090290359</v>
      </c>
      <c r="J50" s="3">
        <f t="shared" si="2"/>
        <v>-176.66600090290359</v>
      </c>
      <c r="K50" s="3">
        <f t="shared" si="2"/>
        <v>-176.66600090290359</v>
      </c>
      <c r="L50" s="3">
        <f t="shared" si="2"/>
        <v>-176.66600090290359</v>
      </c>
      <c r="M50" s="3">
        <f>-M45</f>
        <v>-176.66600090290359</v>
      </c>
      <c r="N50" s="3">
        <f t="shared" si="2"/>
        <v>-176.66600090290359</v>
      </c>
      <c r="O50" s="3">
        <f t="shared" si="2"/>
        <v>-176.66600090290359</v>
      </c>
      <c r="P50" s="3">
        <f t="shared" si="2"/>
        <v>-176.66600090290359</v>
      </c>
      <c r="Q50" s="3">
        <f t="shared" si="2"/>
        <v>-176.66600090290359</v>
      </c>
      <c r="R50" s="3" t="e">
        <f t="shared" si="2"/>
        <v>#REF!</v>
      </c>
      <c r="S50" s="3" t="e">
        <f t="shared" si="2"/>
        <v>#REF!</v>
      </c>
      <c r="T50" s="225" t="e">
        <f t="shared" si="2"/>
        <v>#REF!</v>
      </c>
      <c r="U50" s="225" t="e">
        <f t="shared" si="2"/>
        <v>#REF!</v>
      </c>
      <c r="V50" s="225" t="e">
        <f t="shared" si="2"/>
        <v>#REF!</v>
      </c>
      <c r="W50" s="225" t="e">
        <f t="shared" si="2"/>
        <v>#REF!</v>
      </c>
    </row>
    <row r="51" spans="1:23" x14ac:dyDescent="0.2">
      <c r="A51" s="63"/>
      <c r="B51" s="5" t="s">
        <v>23</v>
      </c>
      <c r="C51" s="153"/>
      <c r="D51" s="182"/>
      <c r="E51" s="6">
        <f>+E50/365*E49</f>
        <v>-3.8722078047994</v>
      </c>
      <c r="F51" s="6">
        <f t="shared" ref="F51:W51" si="3">+F50/365*F49</f>
        <v>-3.4890309154148635</v>
      </c>
      <c r="G51" s="6">
        <f t="shared" si="3"/>
        <v>-4.8401644082987278</v>
      </c>
      <c r="H51" s="6">
        <f t="shared" si="3"/>
        <v>-4.8401644082987278</v>
      </c>
      <c r="I51" s="6">
        <f t="shared" si="3"/>
        <v>-4.8401644082987278</v>
      </c>
      <c r="J51" s="6">
        <f t="shared" si="3"/>
        <v>-4.8401644082987278</v>
      </c>
      <c r="K51" s="6">
        <f t="shared" si="3"/>
        <v>-4.8401644082987278</v>
      </c>
      <c r="L51" s="6">
        <f t="shared" si="3"/>
        <v>-4.8401644082987278</v>
      </c>
      <c r="M51" s="6">
        <f t="shared" si="3"/>
        <v>-4.8401644082987278</v>
      </c>
      <c r="N51" s="6">
        <f t="shared" si="3"/>
        <v>-4.8401644082987278</v>
      </c>
      <c r="O51" s="6">
        <f t="shared" si="3"/>
        <v>-4.8401644082987278</v>
      </c>
      <c r="P51" s="6">
        <f t="shared" si="3"/>
        <v>-4.8401644082987278</v>
      </c>
      <c r="Q51" s="6">
        <f t="shared" si="3"/>
        <v>-4.8401644082987278</v>
      </c>
      <c r="R51" s="6" t="e">
        <f t="shared" si="3"/>
        <v>#REF!</v>
      </c>
      <c r="S51" s="6" t="e">
        <f t="shared" si="3"/>
        <v>#REF!</v>
      </c>
      <c r="T51" s="226" t="e">
        <f t="shared" si="3"/>
        <v>#REF!</v>
      </c>
      <c r="U51" s="226" t="e">
        <f t="shared" si="3"/>
        <v>#REF!</v>
      </c>
      <c r="V51" s="226" t="e">
        <f t="shared" si="3"/>
        <v>#REF!</v>
      </c>
      <c r="W51" s="226" t="e">
        <f t="shared" si="3"/>
        <v>#REF!</v>
      </c>
    </row>
    <row r="52" spans="1:23" x14ac:dyDescent="0.2">
      <c r="A52" s="153"/>
      <c r="B52" s="5"/>
      <c r="C52" s="153"/>
      <c r="F52" s="191"/>
      <c r="G52" s="191"/>
      <c r="H52" s="191"/>
      <c r="I52" s="191"/>
      <c r="J52" s="191"/>
      <c r="K52" s="191"/>
    </row>
    <row r="53" spans="1:23" ht="22.5" customHeight="1" x14ac:dyDescent="0.2">
      <c r="A53" s="710" t="s">
        <v>224</v>
      </c>
      <c r="B53" s="710"/>
      <c r="C53" s="710"/>
    </row>
    <row r="54" spans="1:23" x14ac:dyDescent="0.2">
      <c r="A54" s="711" t="s">
        <v>212</v>
      </c>
      <c r="B54" s="712"/>
      <c r="C54" s="713"/>
    </row>
    <row r="55" spans="1:23" x14ac:dyDescent="0.2">
      <c r="A55" s="151" t="s">
        <v>38</v>
      </c>
      <c r="B55" s="151" t="s">
        <v>52</v>
      </c>
      <c r="C55" s="151" t="s">
        <v>51</v>
      </c>
    </row>
    <row r="56" spans="1:23" x14ac:dyDescent="0.2">
      <c r="A56" s="8">
        <v>1</v>
      </c>
      <c r="B56" s="36" t="s">
        <v>139</v>
      </c>
      <c r="C56" s="37">
        <f>(Norms!C35*Norms!D35)/10^7</f>
        <v>7.8477600000000001</v>
      </c>
    </row>
    <row r="57" spans="1:23" x14ac:dyDescent="0.2">
      <c r="A57" s="107"/>
      <c r="B57" s="155" t="s">
        <v>48</v>
      </c>
      <c r="C57" s="108">
        <f>SUM(C56:C56)</f>
        <v>7.8477600000000001</v>
      </c>
    </row>
    <row r="58" spans="1:23" x14ac:dyDescent="0.2">
      <c r="A58" s="711" t="s">
        <v>212</v>
      </c>
      <c r="B58" s="712"/>
      <c r="C58" s="713"/>
    </row>
    <row r="59" spans="1:23" x14ac:dyDescent="0.2">
      <c r="A59" s="151" t="s">
        <v>38</v>
      </c>
      <c r="B59" s="151" t="s">
        <v>52</v>
      </c>
      <c r="C59" s="151" t="s">
        <v>51</v>
      </c>
    </row>
    <row r="60" spans="1:23" x14ac:dyDescent="0.2">
      <c r="A60" s="8">
        <v>1</v>
      </c>
      <c r="B60" s="36" t="s">
        <v>226</v>
      </c>
      <c r="C60" s="37">
        <f>(Norms!C39*Norms!D39)/10^7</f>
        <v>383.23</v>
      </c>
    </row>
    <row r="61" spans="1:23" x14ac:dyDescent="0.2">
      <c r="A61" s="107"/>
      <c r="B61" s="155" t="s">
        <v>48</v>
      </c>
      <c r="C61" s="108">
        <f>SUM(C60:C60)</f>
        <v>383.23</v>
      </c>
    </row>
    <row r="62" spans="1:23" ht="18" customHeight="1" x14ac:dyDescent="0.2">
      <c r="A62" s="143"/>
      <c r="B62" s="143"/>
      <c r="C62" s="143"/>
    </row>
    <row r="63" spans="1:23" x14ac:dyDescent="0.2">
      <c r="A63" s="700" t="s">
        <v>225</v>
      </c>
      <c r="B63" s="700"/>
    </row>
    <row r="64" spans="1:23" x14ac:dyDescent="0.2">
      <c r="A64" s="98" t="s">
        <v>26</v>
      </c>
      <c r="B64" s="100" t="s">
        <v>28</v>
      </c>
    </row>
    <row r="65" spans="1:10" x14ac:dyDescent="0.2">
      <c r="A65" s="7" t="s">
        <v>29</v>
      </c>
      <c r="B65" s="31">
        <f>Norms!B43*Norms!C43</f>
        <v>35</v>
      </c>
    </row>
    <row r="66" spans="1:10" x14ac:dyDescent="0.2">
      <c r="A66" s="7" t="s">
        <v>30</v>
      </c>
      <c r="B66" s="31">
        <f>Norms!B44*Norms!C44</f>
        <v>50</v>
      </c>
    </row>
    <row r="67" spans="1:10" x14ac:dyDescent="0.2">
      <c r="A67" s="7" t="s">
        <v>31</v>
      </c>
      <c r="B67" s="31">
        <f>Norms!B45*Norms!C45</f>
        <v>60</v>
      </c>
    </row>
    <row r="68" spans="1:10" x14ac:dyDescent="0.2">
      <c r="A68" s="7" t="s">
        <v>32</v>
      </c>
      <c r="B68" s="31">
        <f>Norms!B46*Norms!C46</f>
        <v>40</v>
      </c>
    </row>
    <row r="69" spans="1:10" x14ac:dyDescent="0.2">
      <c r="A69" s="210" t="s">
        <v>33</v>
      </c>
      <c r="B69" s="31">
        <f>Norms!B47*Norms!C47</f>
        <v>60</v>
      </c>
    </row>
    <row r="70" spans="1:10" x14ac:dyDescent="0.2">
      <c r="A70" s="7" t="s">
        <v>34</v>
      </c>
      <c r="B70" s="31">
        <f>Norms!B48*Norms!C48</f>
        <v>105</v>
      </c>
    </row>
    <row r="71" spans="1:10" x14ac:dyDescent="0.2">
      <c r="A71" s="101" t="s">
        <v>37</v>
      </c>
      <c r="B71" s="103">
        <f>SUM(B65:B70)/100</f>
        <v>3.5</v>
      </c>
    </row>
    <row r="72" spans="1:10" x14ac:dyDescent="0.2">
      <c r="A72" s="183"/>
      <c r="B72" s="183"/>
    </row>
    <row r="73" spans="1:10" x14ac:dyDescent="0.2">
      <c r="A73" s="718" t="s">
        <v>221</v>
      </c>
      <c r="B73" s="718"/>
    </row>
    <row r="74" spans="1:10" x14ac:dyDescent="0.2">
      <c r="A74" s="719" t="s">
        <v>227</v>
      </c>
      <c r="B74" s="720"/>
    </row>
    <row r="75" spans="1:10" x14ac:dyDescent="0.2">
      <c r="A75" s="135" t="s">
        <v>84</v>
      </c>
      <c r="B75" s="136" t="s">
        <v>85</v>
      </c>
    </row>
    <row r="76" spans="1:10" x14ac:dyDescent="0.2">
      <c r="A76" s="70" t="s">
        <v>86</v>
      </c>
      <c r="B76" s="227" t="e">
        <f>$B$78*Norms!#REF!</f>
        <v>#REF!</v>
      </c>
    </row>
    <row r="77" spans="1:10" x14ac:dyDescent="0.2">
      <c r="A77" s="70" t="s">
        <v>87</v>
      </c>
      <c r="B77" s="227" t="e">
        <f>$B$78*Norms!#REF!</f>
        <v>#REF!</v>
      </c>
    </row>
    <row r="78" spans="1:10" x14ac:dyDescent="0.2">
      <c r="A78" s="42" t="s">
        <v>47</v>
      </c>
      <c r="B78" s="195" t="e">
        <f>Capex!#REF!</f>
        <v>#REF!</v>
      </c>
    </row>
    <row r="79" spans="1:10" x14ac:dyDescent="0.2">
      <c r="A79" s="40"/>
      <c r="B79" s="144"/>
    </row>
    <row r="80" spans="1:10" x14ac:dyDescent="0.2">
      <c r="A80" s="721" t="s">
        <v>221</v>
      </c>
      <c r="B80" s="722"/>
      <c r="C80" s="722"/>
      <c r="D80" s="722"/>
      <c r="E80" s="722"/>
      <c r="F80" s="722"/>
      <c r="G80" s="722"/>
      <c r="H80" s="722"/>
      <c r="I80" s="722"/>
      <c r="J80" s="723"/>
    </row>
    <row r="81" spans="1:10" x14ac:dyDescent="0.2">
      <c r="A81" s="714" t="s">
        <v>228</v>
      </c>
      <c r="B81" s="715"/>
      <c r="C81" s="715"/>
      <c r="D81" s="715"/>
      <c r="E81" s="715"/>
      <c r="F81" s="715"/>
      <c r="G81" s="715"/>
      <c r="H81" s="715"/>
      <c r="I81" s="715"/>
      <c r="J81" s="716"/>
    </row>
    <row r="82" spans="1:10" x14ac:dyDescent="0.2">
      <c r="A82" s="145" t="s">
        <v>88</v>
      </c>
      <c r="B82" s="196">
        <v>0.1</v>
      </c>
      <c r="C82" s="146"/>
      <c r="D82" s="146"/>
      <c r="E82" s="146"/>
      <c r="F82" s="146"/>
      <c r="G82" s="146"/>
      <c r="H82" s="146"/>
      <c r="I82" s="146"/>
      <c r="J82" s="147"/>
    </row>
    <row r="83" spans="1:10" x14ac:dyDescent="0.2">
      <c r="A83" s="70" t="s">
        <v>89</v>
      </c>
      <c r="B83" s="146"/>
      <c r="C83" s="146"/>
      <c r="D83" s="146"/>
      <c r="E83" s="146"/>
      <c r="F83" s="146"/>
      <c r="G83" s="146"/>
      <c r="H83" s="146"/>
      <c r="I83" s="146"/>
      <c r="J83" s="147"/>
    </row>
    <row r="84" spans="1:10" x14ac:dyDescent="0.2">
      <c r="A84" s="38" t="s">
        <v>90</v>
      </c>
      <c r="B84" s="40" t="s">
        <v>61</v>
      </c>
      <c r="C84" s="40" t="s">
        <v>62</v>
      </c>
      <c r="D84" s="40" t="s">
        <v>63</v>
      </c>
      <c r="E84" s="40" t="s">
        <v>64</v>
      </c>
      <c r="F84" s="40" t="s">
        <v>65</v>
      </c>
      <c r="G84" s="40" t="s">
        <v>66</v>
      </c>
      <c r="H84" s="40" t="s">
        <v>67</v>
      </c>
      <c r="I84" s="40" t="s">
        <v>68</v>
      </c>
      <c r="J84" s="41" t="s">
        <v>69</v>
      </c>
    </row>
    <row r="85" spans="1:10" x14ac:dyDescent="0.2">
      <c r="A85" s="154" t="s">
        <v>91</v>
      </c>
      <c r="B85" s="59" t="e">
        <f>B77</f>
        <v>#REF!</v>
      </c>
      <c r="C85" s="59" t="e">
        <f>B85-B87</f>
        <v>#REF!</v>
      </c>
      <c r="D85" s="59" t="e">
        <f t="shared" ref="D85:J85" si="4">+C86-C88</f>
        <v>#REF!</v>
      </c>
      <c r="E85" s="59" t="e">
        <f t="shared" si="4"/>
        <v>#REF!</v>
      </c>
      <c r="F85" s="59" t="e">
        <f t="shared" si="4"/>
        <v>#REF!</v>
      </c>
      <c r="G85" s="59" t="e">
        <f t="shared" si="4"/>
        <v>#REF!</v>
      </c>
      <c r="H85" s="59" t="e">
        <f t="shared" si="4"/>
        <v>#REF!</v>
      </c>
      <c r="I85" s="59" t="e">
        <f t="shared" si="4"/>
        <v>#REF!</v>
      </c>
      <c r="J85" s="60" t="e">
        <f t="shared" si="4"/>
        <v>#REF!</v>
      </c>
    </row>
    <row r="86" spans="1:10" x14ac:dyDescent="0.2">
      <c r="A86" s="148"/>
      <c r="B86" s="59"/>
      <c r="C86" s="59" t="e">
        <f t="shared" ref="C86:J86" si="5">+C85-C87</f>
        <v>#REF!</v>
      </c>
      <c r="D86" s="59" t="e">
        <f t="shared" si="5"/>
        <v>#REF!</v>
      </c>
      <c r="E86" s="59" t="e">
        <f t="shared" si="5"/>
        <v>#REF!</v>
      </c>
      <c r="F86" s="59" t="e">
        <f t="shared" si="5"/>
        <v>#REF!</v>
      </c>
      <c r="G86" s="59" t="e">
        <f t="shared" si="5"/>
        <v>#REF!</v>
      </c>
      <c r="H86" s="59" t="e">
        <f t="shared" si="5"/>
        <v>#REF!</v>
      </c>
      <c r="I86" s="59" t="e">
        <f t="shared" si="5"/>
        <v>#REF!</v>
      </c>
      <c r="J86" s="60" t="e">
        <f t="shared" si="5"/>
        <v>#REF!</v>
      </c>
    </row>
    <row r="87" spans="1:10" x14ac:dyDescent="0.2">
      <c r="A87" s="709" t="s">
        <v>92</v>
      </c>
      <c r="B87" s="59">
        <v>0</v>
      </c>
      <c r="C87" s="59" t="e">
        <f>+$B$85/15</f>
        <v>#REF!</v>
      </c>
      <c r="D87" s="59" t="e">
        <f t="shared" ref="D87:J88" si="6">+$B$85/15</f>
        <v>#REF!</v>
      </c>
      <c r="E87" s="59" t="e">
        <f t="shared" si="6"/>
        <v>#REF!</v>
      </c>
      <c r="F87" s="59" t="e">
        <f t="shared" si="6"/>
        <v>#REF!</v>
      </c>
      <c r="G87" s="59" t="e">
        <f t="shared" si="6"/>
        <v>#REF!</v>
      </c>
      <c r="H87" s="59" t="e">
        <f t="shared" si="6"/>
        <v>#REF!</v>
      </c>
      <c r="I87" s="59" t="e">
        <f t="shared" si="6"/>
        <v>#REF!</v>
      </c>
      <c r="J87" s="60" t="e">
        <f t="shared" si="6"/>
        <v>#REF!</v>
      </c>
    </row>
    <row r="88" spans="1:10" x14ac:dyDescent="0.2">
      <c r="A88" s="709"/>
      <c r="B88" s="59">
        <v>0</v>
      </c>
      <c r="C88" s="59" t="e">
        <f>+$B$85/15</f>
        <v>#REF!</v>
      </c>
      <c r="D88" s="59" t="e">
        <f t="shared" si="6"/>
        <v>#REF!</v>
      </c>
      <c r="E88" s="59" t="e">
        <f t="shared" si="6"/>
        <v>#REF!</v>
      </c>
      <c r="F88" s="59" t="e">
        <f t="shared" si="6"/>
        <v>#REF!</v>
      </c>
      <c r="G88" s="59" t="e">
        <f t="shared" si="6"/>
        <v>#REF!</v>
      </c>
      <c r="H88" s="59" t="e">
        <f t="shared" si="6"/>
        <v>#REF!</v>
      </c>
      <c r="I88" s="59" t="e">
        <f t="shared" si="6"/>
        <v>#REF!</v>
      </c>
      <c r="J88" s="60" t="e">
        <f t="shared" si="6"/>
        <v>#REF!</v>
      </c>
    </row>
    <row r="89" spans="1:10" x14ac:dyDescent="0.2">
      <c r="A89" s="154" t="s">
        <v>93</v>
      </c>
      <c r="B89" s="59">
        <f t="shared" ref="B89:J89" si="7">SUM(B87:B88)</f>
        <v>0</v>
      </c>
      <c r="C89" s="59" t="e">
        <f t="shared" si="7"/>
        <v>#REF!</v>
      </c>
      <c r="D89" s="59" t="e">
        <f t="shared" si="7"/>
        <v>#REF!</v>
      </c>
      <c r="E89" s="59" t="e">
        <f t="shared" si="7"/>
        <v>#REF!</v>
      </c>
      <c r="F89" s="59" t="e">
        <f t="shared" si="7"/>
        <v>#REF!</v>
      </c>
      <c r="G89" s="59" t="e">
        <f t="shared" si="7"/>
        <v>#REF!</v>
      </c>
      <c r="H89" s="59" t="e">
        <f t="shared" si="7"/>
        <v>#REF!</v>
      </c>
      <c r="I89" s="59" t="e">
        <f t="shared" si="7"/>
        <v>#REF!</v>
      </c>
      <c r="J89" s="60" t="e">
        <f t="shared" si="7"/>
        <v>#REF!</v>
      </c>
    </row>
    <row r="90" spans="1:10" x14ac:dyDescent="0.2">
      <c r="A90" s="709" t="s">
        <v>94</v>
      </c>
      <c r="B90" s="59" t="e">
        <f>+B85*$B$82/2</f>
        <v>#REF!</v>
      </c>
      <c r="C90" s="59" t="e">
        <f t="shared" ref="C90:J91" si="8">+C85*$B$82/2</f>
        <v>#REF!</v>
      </c>
      <c r="D90" s="59" t="e">
        <f t="shared" si="8"/>
        <v>#REF!</v>
      </c>
      <c r="E90" s="59" t="e">
        <f t="shared" si="8"/>
        <v>#REF!</v>
      </c>
      <c r="F90" s="59" t="e">
        <f t="shared" si="8"/>
        <v>#REF!</v>
      </c>
      <c r="G90" s="59" t="e">
        <f t="shared" si="8"/>
        <v>#REF!</v>
      </c>
      <c r="H90" s="59" t="e">
        <f t="shared" si="8"/>
        <v>#REF!</v>
      </c>
      <c r="I90" s="59" t="e">
        <f t="shared" si="8"/>
        <v>#REF!</v>
      </c>
      <c r="J90" s="60" t="e">
        <f t="shared" si="8"/>
        <v>#REF!</v>
      </c>
    </row>
    <row r="91" spans="1:10" x14ac:dyDescent="0.2">
      <c r="A91" s="709"/>
      <c r="B91" s="59" t="e">
        <f>+B90</f>
        <v>#REF!</v>
      </c>
      <c r="C91" s="59" t="e">
        <f>+C86*$B$82/2</f>
        <v>#REF!</v>
      </c>
      <c r="D91" s="59" t="e">
        <f t="shared" si="8"/>
        <v>#REF!</v>
      </c>
      <c r="E91" s="59" t="e">
        <f t="shared" si="8"/>
        <v>#REF!</v>
      </c>
      <c r="F91" s="59" t="e">
        <f t="shared" si="8"/>
        <v>#REF!</v>
      </c>
      <c r="G91" s="59" t="e">
        <f t="shared" si="8"/>
        <v>#REF!</v>
      </c>
      <c r="H91" s="59" t="e">
        <f t="shared" si="8"/>
        <v>#REF!</v>
      </c>
      <c r="I91" s="59" t="e">
        <f t="shared" si="8"/>
        <v>#REF!</v>
      </c>
      <c r="J91" s="60" t="e">
        <f t="shared" si="8"/>
        <v>#REF!</v>
      </c>
    </row>
    <row r="92" spans="1:10" x14ac:dyDescent="0.2">
      <c r="A92" s="149" t="s">
        <v>95</v>
      </c>
      <c r="B92" s="150" t="e">
        <f>+B90+B91</f>
        <v>#REF!</v>
      </c>
      <c r="C92" s="150" t="e">
        <f>+C90+C91</f>
        <v>#REF!</v>
      </c>
      <c r="D92" s="150" t="e">
        <f>+D90+D91</f>
        <v>#REF!</v>
      </c>
      <c r="E92" s="150" t="e">
        <f>+E90+E91</f>
        <v>#REF!</v>
      </c>
      <c r="F92" s="150" t="e">
        <f>+F90+F91</f>
        <v>#REF!</v>
      </c>
      <c r="G92" s="150" t="e">
        <f>+G90+12</f>
        <v>#REF!</v>
      </c>
      <c r="H92" s="150" t="e">
        <f>+H90+12</f>
        <v>#REF!</v>
      </c>
      <c r="I92" s="150" t="e">
        <f>+I90+12</f>
        <v>#REF!</v>
      </c>
      <c r="J92" s="137" t="e">
        <f>+J90+12</f>
        <v>#REF!</v>
      </c>
    </row>
  </sheetData>
  <mergeCells count="22">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 ref="A87:A88"/>
    <mergeCell ref="A90:A91"/>
    <mergeCell ref="A53:C53"/>
    <mergeCell ref="A54:C54"/>
    <mergeCell ref="A58:C58"/>
    <mergeCell ref="A81:J8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Raw Materials Requirement </vt:lpstr>
      <vt:lpstr>Basis</vt:lpstr>
      <vt:lpstr>Norms</vt:lpstr>
      <vt:lpstr>Opex</vt:lpstr>
      <vt:lpstr>Capex</vt:lpstr>
      <vt:lpstr>Depreciation</vt:lpstr>
      <vt:lpstr>ITC-GST</vt:lpstr>
      <vt:lpstr>Working Capital</vt:lpstr>
      <vt:lpstr>Reference Values</vt:lpstr>
      <vt:lpstr>Interest Cal.</vt:lpstr>
      <vt:lpstr>Profitability</vt:lpstr>
      <vt:lpstr> Breakeven Point</vt:lpstr>
      <vt:lpstr>DSCR</vt:lpstr>
      <vt:lpstr>Cashflow </vt:lpstr>
      <vt:lpstr>IRR</vt:lpstr>
      <vt:lpstr>Balance Sheet</vt:lpstr>
      <vt:lpstr>Sensitivity Analysis</vt:lpstr>
      <vt:lpstr>' Breakeven Point'!Print_Area</vt:lpstr>
      <vt:lpstr>DSCR!Print_Area</vt:lpstr>
      <vt:lpstr>Profitability!Print_Area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2023-02-24T11:00:42Z</dcterms:modified>
</cp:coreProperties>
</file>