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updateLinks="never" codeName="ThisWorkbook" defaultThemeVersion="166925"/>
  <mc:AlternateContent xmlns:mc="http://schemas.openxmlformats.org/markup-compatibility/2006">
    <mc:Choice Requires="x15">
      <x15ac:absPath xmlns:x15ac="http://schemas.microsoft.com/office/spreadsheetml/2010/11/ac" url="C:\Users\hardik.malhotra\Desktop\Final Kribhco\"/>
    </mc:Choice>
  </mc:AlternateContent>
  <xr:revisionPtr revIDLastSave="0" documentId="13_ncr:1_{EA2A72F4-12FC-4A99-9B8B-BB0890CFAB94}" xr6:coauthVersionLast="47" xr6:coauthVersionMax="47" xr10:uidLastSave="{00000000-0000-0000-0000-000000000000}"/>
  <bookViews>
    <workbookView xWindow="-120" yWindow="-120" windowWidth="20730" windowHeight="11160" tabRatio="916" firstSheet="1" activeTab="14" xr2:uid="{00000000-000D-0000-FFFF-FFFF00000000}"/>
  </bookViews>
  <sheets>
    <sheet name="Raw Materials Requirement " sheetId="98" state="hidden" r:id="rId1"/>
    <sheet name="Basis" sheetId="102" r:id="rId2"/>
    <sheet name="Norms" sheetId="99" r:id="rId3"/>
    <sheet name="Capex" sheetId="16" r:id="rId4"/>
    <sheet name="Opex" sheetId="13" r:id="rId5"/>
    <sheet name="Depreciation" sheetId="108" r:id="rId6"/>
    <sheet name="ITC-GST" sheetId="113" r:id="rId7"/>
    <sheet name="Working Capital" sheetId="110" r:id="rId8"/>
    <sheet name="Reference Values" sheetId="101" state="hidden" r:id="rId9"/>
    <sheet name="Interest Cal." sheetId="103" state="hidden" r:id="rId10"/>
    <sheet name="Profitability" sheetId="56" state="hidden" r:id="rId11"/>
    <sheet name=" Breakeven Point" sheetId="57" state="hidden" r:id="rId12"/>
    <sheet name="DSCR" sheetId="58" state="hidden" r:id="rId13"/>
    <sheet name="Cashflow " sheetId="39" r:id="rId14"/>
    <sheet name="IRR" sheetId="111" r:id="rId15"/>
    <sheet name="Balance Sheet" sheetId="112" r:id="rId16"/>
    <sheet name="Sensitivity Analysis" sheetId="114" r:id="rId17"/>
  </sheets>
  <externalReferences>
    <externalReference r:id="rId18"/>
    <externalReference r:id="rId19"/>
    <externalReference r:id="rId20"/>
    <externalReference r:id="rId21"/>
    <externalReference r:id="rId22"/>
  </externalReferences>
  <definedNames>
    <definedName name="_Order1" hidden="1">255</definedName>
    <definedName name="anscount" hidden="1">3</definedName>
    <definedName name="ColumnAttributes1">#REF!</definedName>
    <definedName name="ColumnHeadings1">#REF!</definedName>
    <definedName name="cracker">#REF!</definedName>
    <definedName name="crackertblock">#REF!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2">#REF!</definedName>
    <definedName name="DATA3">#REF!</definedName>
    <definedName name="DATA4">#REF!</definedName>
    <definedName name="DATA5">#REF!</definedName>
    <definedName name="DATA6">#REF!</definedName>
    <definedName name="DATA7">#REF!</definedName>
    <definedName name="DATA8">#REF!</definedName>
    <definedName name="DATA9">#REF!</definedName>
    <definedName name="Excel_BuiltIn__FilterDatabase_2">#REF!</definedName>
    <definedName name="financialcalcs">#REF!</definedName>
    <definedName name="leverage">#REF!</definedName>
    <definedName name="limcount" hidden="1">2</definedName>
    <definedName name="MOD_prices">'[1]Pricing - Current'!$3:$74</definedName>
    <definedName name="PortionInDeal">#REF!</definedName>
    <definedName name="Price_chart">#REF!</definedName>
    <definedName name="Prices_cmai">#REF!</definedName>
    <definedName name="_xlnm.Print_Area" localSheetId="11">' Breakeven Point'!$A$1:$B$11</definedName>
    <definedName name="_xlnm.Print_Area" localSheetId="12">DSCR!$A$1:$J$17</definedName>
    <definedName name="_xlnm.Print_Area" localSheetId="10">Profitability!$A$1:$K$13</definedName>
    <definedName name="product">#REF!</definedName>
    <definedName name="Product2">#REF!</definedName>
    <definedName name="product25">#REF!</definedName>
    <definedName name="quantity">[2]Terms!$C$1</definedName>
    <definedName name="rate">#REF!</definedName>
    <definedName name="ReportTitle1">#REF!</definedName>
    <definedName name="ROI_SERIES15">IRR!#REF!</definedName>
    <definedName name="RowDetails1">#REF!</definedName>
    <definedName name="sencount" hidden="1">2</definedName>
    <definedName name="SERIES15">IRR!#REF!</definedName>
    <definedName name="Site">#REF!</definedName>
    <definedName name="Table">#REF!</definedName>
    <definedName name="Term">#REF!</definedName>
    <definedName name="TermDiscperiods">#REF!</definedName>
    <definedName name="TEST1">#REF!</definedName>
    <definedName name="TEST2">#REF!</definedName>
    <definedName name="TEST3">#REF!</definedName>
    <definedName name="TESTHKEY">#REF!</definedName>
    <definedName name="TESTKEYS">#REF!</definedName>
    <definedName name="TESTVKEY">#REF!</definedName>
    <definedName name="UNI_AA_VERSION" hidden="1">"322.3.0"</definedName>
    <definedName name="UNI_PRES_CLOSEST" hidden="1">512</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MRECORD" hidden="1">64</definedName>
    <definedName name="UNI_PRES_MSTIME" hidden="1">8192</definedName>
    <definedName name="UNI_PRES_POST" hidden="1">256</definedName>
    <definedName name="UNI_PRES_PRIOR" hidden="1">2048</definedName>
    <definedName name="UNI_PRES_RECENT" hidden="1">1024</definedName>
    <definedName name="UNI_PRES_STATIC" hidden="1">128</definedName>
    <definedName name="UNI_PRES_TRANSPOSE" hidden="1">4096</definedName>
    <definedName name="UNI_RET_ATTRIB" hidden="1">64</definedName>
    <definedName name="UNI_RET_CONF" hidden="1">32</definedName>
    <definedName name="UNI_RET_DESC" hidden="1">4</definedName>
    <definedName name="UNI_RET_TAG" hidden="1">1</definedName>
    <definedName name="UNI_RET_TIME" hidden="1">8</definedName>
    <definedName name="UNI_RET_UNIT" hidden="1">2</definedName>
    <definedName name="UNI_RET_VALUE" hidden="1">16</definedName>
    <definedName name="UNIFORMANCES1R103C7" hidden="1">[3]Source!$G$103</definedName>
    <definedName name="UNIFORMANCES1R107C7" hidden="1">[3]Source!$G$107</definedName>
    <definedName name="UNIFORMANCES1R110C7" hidden="1">[3]Source!$G$110</definedName>
    <definedName name="UNIFORMANCES1R114C7" hidden="1">[3]Source!$G$114</definedName>
    <definedName name="UNIFORMANCES1R118C7" hidden="1">[3]Source!$G$118</definedName>
    <definedName name="UNIFORMANCES1R121C7" hidden="1">[3]Source!$G$121</definedName>
    <definedName name="UNIFORMANCES1R127C7" hidden="1">[3]Source!$G$127</definedName>
    <definedName name="UNIFORMANCES1R130C7" hidden="1">[3]Source!$G$130</definedName>
    <definedName name="UNIFORMANCES1R134C7" hidden="1">[3]Source!$G$134</definedName>
    <definedName name="UNIFORMANCES1R138C7" hidden="1">[3]Source!$G$138</definedName>
    <definedName name="UNIFORMANCES1R141C7" hidden="1">[3]Source!$G$141</definedName>
    <definedName name="UNIFORMANCES1R145C7" hidden="1">[3]Source!$G$145</definedName>
    <definedName name="UNIFORMANCES1R149C7" hidden="1">[3]Source!$G$149</definedName>
    <definedName name="UNIFORMANCES1R152C7" hidden="1">[3]Source!$G$152</definedName>
    <definedName name="UNIFORMANCES1R156C7" hidden="1">[3]Source!$G$156</definedName>
    <definedName name="UNIFORMANCES1R15C7" hidden="1">[3]Source!$G$15</definedName>
    <definedName name="UNIFORMANCES1R163C7" hidden="1">[3]Source!$G$163</definedName>
    <definedName name="UNIFORMANCES1R167C7" hidden="1">[3]Source!$G$167</definedName>
    <definedName name="UNIFORMANCES1R171C7" hidden="1">[3]Source!$G$171</definedName>
    <definedName name="UNIFORMANCES1R175C7" hidden="1">[3]Source!$G$175</definedName>
    <definedName name="UNIFORMANCES1R179C7" hidden="1">[3]Source!$G$179</definedName>
    <definedName name="UNIFORMANCES1R186C7" hidden="1">[3]Source!$G$186</definedName>
    <definedName name="UNIFORMANCES1R18C7" hidden="1">[3]Source!$G$18</definedName>
    <definedName name="UNIFORMANCES1R190C7" hidden="1">[3]Source!$G$190</definedName>
    <definedName name="UNIFORMANCES1R193C7" hidden="1">[3]Source!$G$193</definedName>
    <definedName name="UNIFORMANCES1R197C7" hidden="1">[3]Source!$G$197</definedName>
    <definedName name="UNIFORMANCES1R19C7" hidden="1">[3]Source!$G$19</definedName>
    <definedName name="UNIFORMANCES1R203C7" hidden="1">[3]Source!$G$203</definedName>
    <definedName name="UNIFORMANCES1R207C7" hidden="1">[3]Source!$G$207</definedName>
    <definedName name="UNIFORMANCES1R210C7" hidden="1">[3]Source!$G$210</definedName>
    <definedName name="UNIFORMANCES1R211C7" hidden="1">[3]Source!$G$211</definedName>
    <definedName name="UNIFORMANCES1R214C7" hidden="1">[3]Source!$G$214</definedName>
    <definedName name="UNIFORMANCES1R218C7" hidden="1">[3]Source!$G$218</definedName>
    <definedName name="UNIFORMANCES1R219C7" hidden="1">[3]Source!$G$219</definedName>
    <definedName name="UNIFORMANCES1R221C7" hidden="1">[3]Source!$G$221</definedName>
    <definedName name="UNIFORMANCES1R222C7" hidden="1">[3]Source!$G$222</definedName>
    <definedName name="UNIFORMANCES1R225C7" hidden="1">[3]Source!$G$225</definedName>
    <definedName name="UNIFORMANCES1R229C7" hidden="1">[3]Source!$G$229</definedName>
    <definedName name="UNIFORMANCES1R230C7" hidden="1">[3]Source!$G$230</definedName>
    <definedName name="UNIFORMANCES1R235C7" hidden="1">[3]Source!$G$235</definedName>
    <definedName name="UNIFORMANCES1R23C7" hidden="1">[3]Source!$G$23</definedName>
    <definedName name="UNIFORMANCES1R240C7" hidden="1">[3]Source!$G$240</definedName>
    <definedName name="UNIFORMANCES1R243C7" hidden="1">[3]Source!$G$243</definedName>
    <definedName name="UNIFORMANCES1R247C7" hidden="1">[3]Source!$G$247</definedName>
    <definedName name="UNIFORMANCES1R248C7" hidden="1">[3]Source!$G$248</definedName>
    <definedName name="UNIFORMANCES1R25C7" hidden="1">[3]Source!$G$25</definedName>
    <definedName name="UNIFORMANCES1R26C7" hidden="1">[3]Source!$G$26</definedName>
    <definedName name="UNIFORMANCES1R29C7" hidden="1">[3]Source!$G$29</definedName>
    <definedName name="UNIFORMANCES1R33C7" hidden="1">[3]Source!$G$33</definedName>
    <definedName name="UNIFORMANCES1R37C7" hidden="1">[3]Source!$G$37</definedName>
    <definedName name="UNIFORMANCES1R38C7" hidden="1">[3]Source!$G$38</definedName>
    <definedName name="UNIFORMANCES1R41C7" hidden="1">[3]Source!$G$41</definedName>
    <definedName name="UNIFORMANCES1R43C7" hidden="1">[3]Source!$G$43</definedName>
    <definedName name="UNIFORMANCES1R46C7" hidden="1">[3]Source!$G$46</definedName>
    <definedName name="UNIFORMANCES1R50C7" hidden="1">[3]Source!$G$50</definedName>
    <definedName name="UNIFORMANCES1R51C7" hidden="1">[3]Source!$G$51</definedName>
    <definedName name="UNIFORMANCES1R53C7" hidden="1">[3]Source!$G$53</definedName>
    <definedName name="UNIFORMANCES1R54C7" hidden="1">[3]Source!$G$54</definedName>
    <definedName name="UNIFORMANCES1R59C7" hidden="1">[3]Source!$G$59</definedName>
    <definedName name="UNIFORMANCES1R5C7" hidden="1">[3]Source!$G$5</definedName>
    <definedName name="UNIFORMANCES1R60C7" hidden="1">[3]Source!$G$60</definedName>
    <definedName name="UNIFORMANCES1R62C7" hidden="1">[3]Source!$G$62</definedName>
    <definedName name="UNIFORMANCES1R63C7" hidden="1">[3]Source!$G$63</definedName>
    <definedName name="UNIFORMANCES1R66C7" hidden="1">[3]Source!$G$66</definedName>
    <definedName name="UNIFORMANCES1R67C7" hidden="1">[3]Source!$G$67</definedName>
    <definedName name="UNIFORMANCES1R68C7" hidden="1">[3]Source!$G$68</definedName>
    <definedName name="UNIFORMANCES1R70C7" hidden="1">[3]Source!$G$70</definedName>
    <definedName name="UNIFORMANCES1R71C7" hidden="1">[3]Source!$G$71</definedName>
    <definedName name="UNIFORMANCES1R74C7" hidden="1">[3]Source!$G$74</definedName>
    <definedName name="UNIFORMANCES1R75C7" hidden="1">[3]Source!$G$75</definedName>
    <definedName name="UNIFORMANCES1R76C7" hidden="1">[3]Source!$G$76</definedName>
    <definedName name="UNIFORMANCES1R78C7" hidden="1">[3]Source!$G$78</definedName>
    <definedName name="UNIFORMANCES1R79C7" hidden="1">[3]Source!$G$79</definedName>
    <definedName name="UNIFORMANCES1R81C7" hidden="1">[3]Source!$G$81</definedName>
    <definedName name="UNIFORMANCES1R82C7" hidden="1">[3]Source!$G$82</definedName>
    <definedName name="UNIFORMANCES1R83C7" hidden="1">[3]Source!$G$83</definedName>
    <definedName name="UNIFORMANCES1R85C7" hidden="1">[3]Source!$G$85</definedName>
    <definedName name="UNIFORMANCES1R86C7" hidden="1">[3]Source!$G$86</definedName>
    <definedName name="UNIFORMANCES1R87C7" hidden="1">[3]Source!$G$87</definedName>
    <definedName name="UNIFORMANCES1R89C7" hidden="1">[3]Source!$G$89</definedName>
    <definedName name="UNIFORMANCES1R90C7" hidden="1">[3]Source!$G$90</definedName>
    <definedName name="UNIFORMANCES1R93C7" hidden="1">[3]Source!$G$93</definedName>
    <definedName name="UNIFORMANCES1R94C7" hidden="1">[3]Source!$G$94</definedName>
    <definedName name="UNIFORMANCES1R97C7" hidden="1">[3]Source!$G$97</definedName>
    <definedName name="UNIFORMANCES1R98C7" hidden="1">[3]Source!$G$98</definedName>
    <definedName name="UNIFORMANCES1R99C7" hidden="1">[3]Source!$G$99</definedName>
    <definedName name="UNIFORMANCES2R100C6" hidden="1">[4]Sheet2!$F$100</definedName>
    <definedName name="UNIFORMANCES2R101C6" hidden="1">[4]Sheet2!$F$101</definedName>
    <definedName name="UNIFORMANCES2R102C6" hidden="1">[4]Sheet2!$F$102</definedName>
    <definedName name="UNIFORMANCES2R103C6" hidden="1">[4]Sheet2!$F$103</definedName>
    <definedName name="UNIFORMANCES2R104C6" hidden="1">[4]Sheet2!$F$104</definedName>
    <definedName name="UNIFORMANCES2R105C6" hidden="1">[4]Sheet2!$F$105</definedName>
    <definedName name="UNIFORMANCES2R106C6" hidden="1">[4]Sheet2!$F$106</definedName>
    <definedName name="UNIFORMANCES2R107C6" hidden="1">[4]Sheet2!$F$107</definedName>
    <definedName name="UNIFORMANCES2R108C6" hidden="1">[4]Sheet2!$F$108</definedName>
    <definedName name="UNIFORMANCES2R109C6" hidden="1">[4]Sheet2!$F$109</definedName>
    <definedName name="UNIFORMANCES2R10C6" hidden="1">[4]Sheet2!$F$10</definedName>
    <definedName name="UNIFORMANCES2R110C6" hidden="1">[4]Sheet2!$F$110</definedName>
    <definedName name="UNIFORMANCES2R111C6" hidden="1">[4]Sheet2!$F$111</definedName>
    <definedName name="UNIFORMANCES2R112C6" hidden="1">[4]Sheet2!$F$112</definedName>
    <definedName name="UNIFORMANCES2R113C6" hidden="1">[4]Sheet2!$F$113</definedName>
    <definedName name="UNIFORMANCES2R114C6" hidden="1">[4]Sheet2!$F$114</definedName>
    <definedName name="UNIFORMANCES2R115C6" hidden="1">[4]Sheet2!$F$115</definedName>
    <definedName name="UNIFORMANCES2R116C6" hidden="1">[4]Sheet2!$F$116</definedName>
    <definedName name="UNIFORMANCES2R117C6" hidden="1">[4]Sheet2!$F$117</definedName>
    <definedName name="UNIFORMANCES2R118C6" hidden="1">[4]Sheet2!$F$118</definedName>
    <definedName name="UNIFORMANCES2R119C6" hidden="1">[4]Sheet2!$F$119</definedName>
    <definedName name="UNIFORMANCES2R11C6" hidden="1">[4]Sheet2!$F$11</definedName>
    <definedName name="UNIFORMANCES2R120C6" hidden="1">[4]Sheet2!$F$120</definedName>
    <definedName name="UNIFORMANCES2R121C6" hidden="1">[4]Sheet2!$F$121</definedName>
    <definedName name="UNIFORMANCES2R122C6" hidden="1">[4]Sheet2!$F$122</definedName>
    <definedName name="UNIFORMANCES2R123C6" hidden="1">[4]Sheet2!$F$123</definedName>
    <definedName name="UNIFORMANCES2R124C6" hidden="1">[4]Sheet2!$F$124</definedName>
    <definedName name="UNIFORMANCES2R125C6" hidden="1">[4]Sheet2!$F$125</definedName>
    <definedName name="UNIFORMANCES2R126C6" hidden="1">[4]Sheet2!$F$126</definedName>
    <definedName name="UNIFORMANCES2R128C6" hidden="1">[4]Sheet2!$F$128</definedName>
    <definedName name="UNIFORMANCES2R129C6" hidden="1">[4]Sheet2!$F$129</definedName>
    <definedName name="UNIFORMANCES2R12C6" hidden="1">[4]Sheet2!$F$12</definedName>
    <definedName name="UNIFORMANCES2R130C6" hidden="1">[4]Sheet2!$F$130</definedName>
    <definedName name="UNIFORMANCES2R131C6" hidden="1">[4]Sheet2!$F$131</definedName>
    <definedName name="UNIFORMANCES2R132C6" hidden="1">[4]Sheet2!$F$132</definedName>
    <definedName name="UNIFORMANCES2R133C6" hidden="1">[4]Sheet2!$F$133</definedName>
    <definedName name="UNIFORMANCES2R134C6" hidden="1">[4]Sheet2!$F$134</definedName>
    <definedName name="UNIFORMANCES2R135C6" hidden="1">[4]Sheet2!$F$135</definedName>
    <definedName name="UNIFORMANCES2R136C6" hidden="1">[4]Sheet2!$F$136</definedName>
    <definedName name="UNIFORMANCES2R137C6" hidden="1">[4]Sheet2!$F$137</definedName>
    <definedName name="UNIFORMANCES2R138C6" hidden="1">[4]Sheet2!$F$138</definedName>
    <definedName name="UNIFORMANCES2R139C6" hidden="1">[4]Sheet2!$F$139</definedName>
    <definedName name="UNIFORMANCES2R13C6" hidden="1">[4]Sheet2!$F$13</definedName>
    <definedName name="UNIFORMANCES2R140C6" hidden="1">[4]Sheet2!$F$140</definedName>
    <definedName name="UNIFORMANCES2R141C6" hidden="1">[4]Sheet2!$F$141</definedName>
    <definedName name="UNIFORMANCES2R142C6" hidden="1">[4]Sheet2!$F$142</definedName>
    <definedName name="UNIFORMANCES2R143C6" hidden="1">[4]Sheet2!$F$143</definedName>
    <definedName name="UNIFORMANCES2R144C6" hidden="1">[4]Sheet2!$F$144</definedName>
    <definedName name="UNIFORMANCES2R145C6" hidden="1">[4]Sheet2!$F$145</definedName>
    <definedName name="UNIFORMANCES2R146C6" hidden="1">[4]Sheet2!$F$146</definedName>
    <definedName name="UNIFORMANCES2R147C6" hidden="1">[4]Sheet2!$F$147</definedName>
    <definedName name="UNIFORMANCES2R148C6" hidden="1">[4]Sheet2!$F$148</definedName>
    <definedName name="UNIFORMANCES2R149C6" hidden="1">[4]Sheet2!$F$149</definedName>
    <definedName name="UNIFORMANCES2R14C6" hidden="1">[4]Sheet2!$F$14</definedName>
    <definedName name="UNIFORMANCES2R150C6" hidden="1">[4]Sheet2!$F$150</definedName>
    <definedName name="UNIFORMANCES2R151C6" hidden="1">[4]Sheet2!$F$151</definedName>
    <definedName name="UNIFORMANCES2R152C6" hidden="1">[4]Sheet2!$F$152</definedName>
    <definedName name="UNIFORMANCES2R153C6" hidden="1">[4]Sheet2!$F$153</definedName>
    <definedName name="UNIFORMANCES2R154C6" hidden="1">[4]Sheet2!$F$154</definedName>
    <definedName name="UNIFORMANCES2R155C6" hidden="1">[4]Sheet2!$F$155</definedName>
    <definedName name="UNIFORMANCES2R156C6" hidden="1">[4]Sheet2!$F$156</definedName>
    <definedName name="UNIFORMANCES2R157C6" hidden="1">[4]Sheet2!$F$157</definedName>
    <definedName name="UNIFORMANCES2R158C6" hidden="1">[4]Sheet2!$F$158</definedName>
    <definedName name="UNIFORMANCES2R159C6" hidden="1">[4]Sheet2!$F$159</definedName>
    <definedName name="UNIFORMANCES2R160C6" hidden="1">[4]Sheet2!$F$160</definedName>
    <definedName name="UNIFORMANCES2R161C6" hidden="1">[4]Sheet2!$F$161</definedName>
    <definedName name="UNIFORMANCES2R16C6" hidden="1">[4]Sheet2!$F$16</definedName>
    <definedName name="UNIFORMANCES2R17C6" hidden="1">[4]Sheet2!$F$17</definedName>
    <definedName name="UNIFORMANCES2R184C6" hidden="1">[4]Sheet2!$F$184</definedName>
    <definedName name="UNIFORMANCES2R185C6" hidden="1">[4]Sheet2!$F$185</definedName>
    <definedName name="UNIFORMANCES2R186C6" hidden="1">[4]Sheet2!$F$186</definedName>
    <definedName name="UNIFORMANCES2R187C6" hidden="1">[4]Sheet2!$F$187</definedName>
    <definedName name="UNIFORMANCES2R18C6" hidden="1">[4]Sheet2!$F$18</definedName>
    <definedName name="UNIFORMANCES2R191C6" hidden="1">[4]Sheet2!$F$191</definedName>
    <definedName name="UNIFORMANCES2R192C6" hidden="1">[4]Sheet2!$F$192</definedName>
    <definedName name="UNIFORMANCES2R193C6" hidden="1">[4]Sheet2!$F$193</definedName>
    <definedName name="UNIFORMANCES2R194C6" hidden="1">[4]Sheet2!$F$194</definedName>
    <definedName name="UNIFORMANCES2R195C6" hidden="1">[4]Sheet2!$F$195</definedName>
    <definedName name="UNIFORMANCES2R196C6" hidden="1">[4]Sheet2!$F$196</definedName>
    <definedName name="UNIFORMANCES2R197C6" hidden="1">[4]Sheet2!$F$197</definedName>
    <definedName name="UNIFORMANCES2R198C6" hidden="1">[4]Sheet2!$F$198</definedName>
    <definedName name="UNIFORMANCES2R199C6" hidden="1">[4]Sheet2!$F$199</definedName>
    <definedName name="UNIFORMANCES2R19C6" hidden="1">[4]Sheet2!$F$19</definedName>
    <definedName name="UNIFORMANCES2R200C6" hidden="1">[4]Sheet2!$F$200</definedName>
    <definedName name="UNIFORMANCES2R201C6" hidden="1">[4]Sheet2!$F$201</definedName>
    <definedName name="UNIFORMANCES2R202C6" hidden="1">[4]Sheet2!$F$202</definedName>
    <definedName name="UNIFORMANCES2R203C6" hidden="1">[4]Sheet2!$F$203</definedName>
    <definedName name="UNIFORMANCES2R204C6" hidden="1">[4]Sheet2!$F$204</definedName>
    <definedName name="UNIFORMANCES2R205C6" hidden="1">[4]Sheet2!$F$205</definedName>
    <definedName name="UNIFORMANCES2R206C6" hidden="1">[4]Sheet2!$F$206</definedName>
    <definedName name="UNIFORMANCES2R207C6" hidden="1">[4]Sheet2!$F$207</definedName>
    <definedName name="UNIFORMANCES2R208C6" hidden="1">[4]Sheet2!$F$208</definedName>
    <definedName name="UNIFORMANCES2R209C6" hidden="1">[4]Sheet2!$F$209</definedName>
    <definedName name="UNIFORMANCES2R20C6" hidden="1">[4]Sheet2!$F$20</definedName>
    <definedName name="UNIFORMANCES2R210C6" hidden="1">[4]Sheet2!$F$210</definedName>
    <definedName name="UNIFORMANCES2R211C6" hidden="1">[4]Sheet2!$F$211</definedName>
    <definedName name="UNIFORMANCES2R212C6" hidden="1">[4]Sheet2!$F$212</definedName>
    <definedName name="UNIFORMANCES2R213C6" hidden="1">[4]Sheet2!$F$213</definedName>
    <definedName name="UNIFORMANCES2R214C6" hidden="1">[4]Sheet2!$F$214</definedName>
    <definedName name="UNIFORMANCES2R215C6" hidden="1">[4]Sheet2!$F$215</definedName>
    <definedName name="UNIFORMANCES2R216C6" hidden="1">[4]Sheet2!$F$216</definedName>
    <definedName name="UNIFORMANCES2R217C6" hidden="1">[4]Sheet2!$F$217</definedName>
    <definedName name="UNIFORMANCES2R218C6" hidden="1">[4]Sheet2!$F$218</definedName>
    <definedName name="UNIFORMANCES2R219C6" hidden="1">[4]Sheet2!$F$219</definedName>
    <definedName name="UNIFORMANCES2R21C6" hidden="1">[4]Sheet2!$F$21</definedName>
    <definedName name="UNIFORMANCES2R220C6" hidden="1">[4]Sheet2!$F$220</definedName>
    <definedName name="UNIFORMANCES2R221C6" hidden="1">[4]Sheet2!$F$221</definedName>
    <definedName name="UNIFORMANCES2R222C6" hidden="1">[4]Sheet2!$F$222</definedName>
    <definedName name="UNIFORMANCES2R223C6" hidden="1">[4]Sheet2!$F$223</definedName>
    <definedName name="UNIFORMANCES2R224C6" hidden="1">[4]Sheet2!$F$224</definedName>
    <definedName name="UNIFORMANCES2R225C6" hidden="1">[4]Sheet2!$F$225</definedName>
    <definedName name="UNIFORMANCES2R227C6" hidden="1">[4]Sheet2!$F$227</definedName>
    <definedName name="UNIFORMANCES2R229C6" hidden="1">[4]Sheet2!$F$229</definedName>
    <definedName name="UNIFORMANCES2R22C6" hidden="1">[4]Sheet2!$F$22</definedName>
    <definedName name="UNIFORMANCES2R230C6" hidden="1">[4]Sheet2!$F$230</definedName>
    <definedName name="UNIFORMANCES2R231C6" hidden="1">[4]Sheet2!$F$231</definedName>
    <definedName name="UNIFORMANCES2R232C6" hidden="1">[4]Sheet2!$F$232</definedName>
    <definedName name="UNIFORMANCES2R233C6" hidden="1">[4]Sheet2!$F$233</definedName>
    <definedName name="UNIFORMANCES2R234C6" hidden="1">[4]Sheet2!$F$234</definedName>
    <definedName name="UNIFORMANCES2R235C6" hidden="1">[4]Sheet2!$F$235</definedName>
    <definedName name="UNIFORMANCES2R236C6" hidden="1">[4]Sheet2!$F$236</definedName>
    <definedName name="UNIFORMANCES2R237C6" hidden="1">[4]Sheet2!$F$237</definedName>
    <definedName name="UNIFORMANCES2R238C6" hidden="1">[4]Sheet2!$F$238</definedName>
    <definedName name="UNIFORMANCES2R239C6" hidden="1">[4]Sheet2!$F$239</definedName>
    <definedName name="UNIFORMANCES2R23C6" hidden="1">[4]Sheet2!$F$23</definedName>
    <definedName name="UNIFORMANCES2R240C6" hidden="1">[4]Sheet2!$F$240</definedName>
    <definedName name="UNIFORMANCES2R241C6" hidden="1">[4]Sheet2!$F$241</definedName>
    <definedName name="UNIFORMANCES2R242C6" hidden="1">[4]Sheet2!$F$242</definedName>
    <definedName name="UNIFORMANCES2R243C6" hidden="1">[4]Sheet2!$F$243</definedName>
    <definedName name="UNIFORMANCES2R24C6" hidden="1">[4]Sheet2!$F$24</definedName>
    <definedName name="UNIFORMANCES2R25C6" hidden="1">[4]Sheet2!$F$25</definedName>
    <definedName name="UNIFORMANCES2R26C6" hidden="1">[4]Sheet2!$F$26</definedName>
    <definedName name="UNIFORMANCES2R27C6" hidden="1">[4]Sheet2!$F$27</definedName>
    <definedName name="UNIFORMANCES2R28C6" hidden="1">[4]Sheet2!$F$28</definedName>
    <definedName name="UNIFORMANCES2R29C6" hidden="1">[4]Sheet2!$F$29</definedName>
    <definedName name="UNIFORMANCES2R30C6" hidden="1">[4]Sheet2!$F$30</definedName>
    <definedName name="UNIFORMANCES2R31C6" hidden="1">[4]Sheet2!$F$31</definedName>
    <definedName name="UNIFORMANCES2R32C6" hidden="1">[4]Sheet2!$F$32</definedName>
    <definedName name="UNIFORMANCES2R33C6" hidden="1">[4]Sheet2!$F$33</definedName>
    <definedName name="UNIFORMANCES2R34C6" hidden="1">[4]Sheet2!$F$34</definedName>
    <definedName name="UNIFORMANCES2R35C6" hidden="1">[4]Sheet2!$F$35</definedName>
    <definedName name="UNIFORMANCES2R36C6" hidden="1">[4]Sheet2!$F$36</definedName>
    <definedName name="UNIFORMANCES2R37C6" hidden="1">[4]Sheet2!$F$37</definedName>
    <definedName name="UNIFORMANCES2R38C6" hidden="1">[4]Sheet2!$F$38</definedName>
    <definedName name="UNIFORMANCES2R39C6" hidden="1">[4]Sheet2!$F$39</definedName>
    <definedName name="UNIFORMANCES2R40C6" hidden="1">[4]Sheet2!$F$40</definedName>
    <definedName name="UNIFORMANCES2R41C6" hidden="1">[4]Sheet2!$F$41</definedName>
    <definedName name="UNIFORMANCES2R42C6" hidden="1">[4]Sheet2!$F$42</definedName>
    <definedName name="UNIFORMANCES2R43C6" hidden="1">[4]Sheet2!$F$43</definedName>
    <definedName name="UNIFORMANCES2R44C6" hidden="1">[4]Sheet2!$F$44</definedName>
    <definedName name="UNIFORMANCES2R45C6" hidden="1">[4]Sheet2!$F$45</definedName>
    <definedName name="UNIFORMANCES2R46C6" hidden="1">[4]Sheet2!$F$46</definedName>
    <definedName name="UNIFORMANCES2R47C6" hidden="1">[4]Sheet2!$F$47</definedName>
    <definedName name="UNIFORMANCES2R48C6" hidden="1">[4]Sheet2!$F$48</definedName>
    <definedName name="UNIFORMANCES2R49C6" hidden="1">[4]Sheet2!$F$49</definedName>
    <definedName name="UNIFORMANCES2R4C6" hidden="1">[4]Sheet2!$F$4</definedName>
    <definedName name="UNIFORMANCES2R50C6" hidden="1">[4]Sheet2!$F$50</definedName>
    <definedName name="UNIFORMANCES2R51C6" hidden="1">[4]Sheet2!$F$51</definedName>
    <definedName name="UNIFORMANCES2R52C6" hidden="1">[4]Sheet2!$F$52</definedName>
    <definedName name="UNIFORMANCES2R53C6" hidden="1">[4]Sheet2!$F$53</definedName>
    <definedName name="UNIFORMANCES2R54C6" hidden="1">[4]Sheet2!$F$54</definedName>
    <definedName name="UNIFORMANCES2R55C6" hidden="1">[4]Sheet2!$F$55</definedName>
    <definedName name="UNIFORMANCES2R56C6" hidden="1">[4]Sheet2!$F$56</definedName>
    <definedName name="UNIFORMANCES2R57C6" hidden="1">[4]Sheet2!$F$57</definedName>
    <definedName name="UNIFORMANCES2R58C6" hidden="1">[4]Sheet2!$F$58</definedName>
    <definedName name="UNIFORMANCES2R59C6" hidden="1">[4]Sheet2!$F$59</definedName>
    <definedName name="UNIFORMANCES2R60C6" hidden="1">[4]Sheet2!$F$60</definedName>
    <definedName name="UNIFORMANCES2R61C6" hidden="1">[4]Sheet2!$F$61</definedName>
    <definedName name="UNIFORMANCES2R62C6" hidden="1">[4]Sheet2!$F$62</definedName>
    <definedName name="UNIFORMANCES2R63C6" hidden="1">[4]Sheet2!$F$63</definedName>
    <definedName name="UNIFORMANCES2R64C6" hidden="1">[4]Sheet2!$F$64</definedName>
    <definedName name="UNIFORMANCES2R65C6" hidden="1">[4]Sheet2!$F$65</definedName>
    <definedName name="UNIFORMANCES2R66C6" hidden="1">[4]Sheet2!$F$66</definedName>
    <definedName name="UNIFORMANCES2R67C6" hidden="1">[4]Sheet2!$F$67</definedName>
    <definedName name="UNIFORMANCES2R68C6" hidden="1">[4]Sheet2!$F$68</definedName>
    <definedName name="UNIFORMANCES2R69C6" hidden="1">[4]Sheet2!$F$69</definedName>
    <definedName name="UNIFORMANCES2R6C6" hidden="1">[4]Sheet2!$F$6</definedName>
    <definedName name="UNIFORMANCES2R70C6" hidden="1">[4]Sheet2!$F$70</definedName>
    <definedName name="UNIFORMANCES2R71C6" hidden="1">[4]Sheet2!$F$71</definedName>
    <definedName name="UNIFORMANCES2R72C6" hidden="1">[4]Sheet2!$F$72</definedName>
    <definedName name="UNIFORMANCES2R73C6" hidden="1">[4]Sheet2!$F$73</definedName>
    <definedName name="UNIFORMANCES2R74C6" hidden="1">[4]Sheet2!$F$74</definedName>
    <definedName name="UNIFORMANCES2R75C6" hidden="1">[4]Sheet2!$F$75</definedName>
    <definedName name="UNIFORMANCES2R76C6" hidden="1">[4]Sheet2!$F$76</definedName>
    <definedName name="UNIFORMANCES2R77C6" hidden="1">[4]Sheet2!$F$77</definedName>
    <definedName name="UNIFORMANCES2R78C6" hidden="1">[4]Sheet2!$F$78</definedName>
    <definedName name="UNIFORMANCES2R79C6" hidden="1">[4]Sheet2!$F$79</definedName>
    <definedName name="UNIFORMANCES2R80C6" hidden="1">[4]Sheet2!$F$80</definedName>
    <definedName name="UNIFORMANCES2R81C6" hidden="1">[4]Sheet2!$F$81</definedName>
    <definedName name="UNIFORMANCES2R82C6" hidden="1">[4]Sheet2!$F$82</definedName>
    <definedName name="UNIFORMANCES2R83C6" hidden="1">[4]Sheet2!$F$83</definedName>
    <definedName name="UNIFORMANCES2R84C6" hidden="1">[4]Sheet2!$F$84</definedName>
    <definedName name="UNIFORMANCES2R85C6" hidden="1">[4]Sheet2!$F$85</definedName>
    <definedName name="UNIFORMANCES2R86C6" hidden="1">[4]Sheet2!$F$86</definedName>
    <definedName name="UNIFORMANCES2R87C6" hidden="1">[4]Sheet2!$F$87</definedName>
    <definedName name="UNIFORMANCES2R88C6" hidden="1">[4]Sheet2!$F$88</definedName>
    <definedName name="UNIFORMANCES2R89C6" hidden="1">[4]Sheet2!$F$89</definedName>
    <definedName name="UNIFORMANCES2R8C6" hidden="1">[4]Sheet2!$F$8</definedName>
    <definedName name="UNIFORMANCES2R90C6" hidden="1">[4]Sheet2!$F$90</definedName>
    <definedName name="UNIFORMANCES2R91C6" hidden="1">[4]Sheet2!$F$91</definedName>
    <definedName name="UNIFORMANCES2R92C6" hidden="1">[4]Sheet2!$F$92</definedName>
    <definedName name="UNIFORMANCES2R93C6" hidden="1">[4]Sheet2!$F$93</definedName>
    <definedName name="UNIFORMANCES2R94C6" hidden="1">[4]Sheet2!$F$94</definedName>
    <definedName name="UNIFORMANCES2R95C6" hidden="1">[4]Sheet2!$F$95</definedName>
    <definedName name="UNIFORMANCES2R96C6" hidden="1">[4]Sheet2!$F$96</definedName>
    <definedName name="UNIFORMANCES2R97C6" hidden="1">[4]Sheet2!$F$97</definedName>
    <definedName name="UNIFORMANCES2R98C6" hidden="1">[4]Sheet2!$F$98</definedName>
    <definedName name="UNIFORMANCES2R99C6" hidden="1">[4]Sheet2!$F$99</definedName>
    <definedName name="UNIFORMANCES2R9C6" hidden="1">[4]Sheet2!$F$9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6" i="13" l="1"/>
  <c r="D27" i="13" s="1"/>
  <c r="D28" i="13" s="1"/>
  <c r="E26" i="13" l="1"/>
  <c r="B11" i="16"/>
  <c r="E14" i="16"/>
  <c r="D15" i="13"/>
  <c r="O7" i="98"/>
  <c r="N7" i="98"/>
  <c r="L9" i="98"/>
  <c r="I6" i="98"/>
  <c r="F33" i="114"/>
  <c r="E33" i="114"/>
  <c r="D33" i="114"/>
  <c r="C33" i="114"/>
  <c r="F31" i="114"/>
  <c r="E31" i="114"/>
  <c r="D31" i="114"/>
  <c r="C31" i="114"/>
  <c r="F28" i="114"/>
  <c r="F29" i="114" s="1"/>
  <c r="E28" i="114"/>
  <c r="E29" i="114" s="1"/>
  <c r="D28" i="114"/>
  <c r="D29" i="114" s="1"/>
  <c r="C28" i="114"/>
  <c r="C29" i="114" s="1"/>
  <c r="J11" i="114"/>
  <c r="J12" i="114" s="1"/>
  <c r="M16" i="114"/>
  <c r="L16" i="114"/>
  <c r="K16" i="114"/>
  <c r="J16" i="114"/>
  <c r="M14" i="114"/>
  <c r="L14" i="114"/>
  <c r="K14" i="114"/>
  <c r="J14" i="114"/>
  <c r="M11" i="114"/>
  <c r="M12" i="114" s="1"/>
  <c r="L11" i="114"/>
  <c r="L12" i="114" s="1"/>
  <c r="K11" i="114"/>
  <c r="K12" i="114" s="1"/>
  <c r="D11" i="114"/>
  <c r="D12" i="114" s="1"/>
  <c r="E11" i="114"/>
  <c r="E12" i="114" s="1"/>
  <c r="F11" i="114"/>
  <c r="F12" i="114" s="1"/>
  <c r="C11" i="114"/>
  <c r="C12" i="114" s="1"/>
  <c r="F16" i="114"/>
  <c r="E16" i="114"/>
  <c r="D16" i="114"/>
  <c r="C16" i="114"/>
  <c r="F14" i="114"/>
  <c r="E14" i="114"/>
  <c r="D14" i="114"/>
  <c r="C14" i="114"/>
  <c r="B42" i="16"/>
  <c r="F39" i="16"/>
  <c r="F42" i="16" s="1"/>
  <c r="I4" i="16"/>
  <c r="J4" i="16"/>
  <c r="F40" i="16" l="1"/>
  <c r="F43" i="16"/>
  <c r="F41" i="16"/>
  <c r="R21" i="113"/>
  <c r="Q21" i="113"/>
  <c r="P21" i="113"/>
  <c r="O21" i="113"/>
  <c r="N21" i="113"/>
  <c r="M21" i="113"/>
  <c r="L21" i="113"/>
  <c r="K21" i="113"/>
  <c r="J21" i="113"/>
  <c r="I21" i="113"/>
  <c r="F44" i="16" l="1"/>
  <c r="C55" i="39"/>
  <c r="C54" i="39"/>
  <c r="D4" i="112"/>
  <c r="S4" i="112"/>
  <c r="R4" i="112"/>
  <c r="Q4" i="112"/>
  <c r="P4" i="112"/>
  <c r="O4" i="112"/>
  <c r="N4" i="112"/>
  <c r="M4" i="112"/>
  <c r="L4" i="112"/>
  <c r="K4" i="112"/>
  <c r="J4" i="112"/>
  <c r="I4" i="112"/>
  <c r="H4" i="112"/>
  <c r="G4" i="112"/>
  <c r="F4" i="112"/>
  <c r="E4" i="112"/>
  <c r="C4" i="112"/>
  <c r="T74" i="39" l="1"/>
  <c r="T73" i="39"/>
  <c r="T72" i="39"/>
  <c r="T71" i="39"/>
  <c r="T65" i="39"/>
  <c r="T62" i="39"/>
  <c r="T61" i="39"/>
  <c r="D23" i="111"/>
  <c r="E47" i="111"/>
  <c r="T66" i="39" l="1"/>
  <c r="G34" i="111"/>
  <c r="H34" i="111"/>
  <c r="I34" i="111"/>
  <c r="J34" i="111"/>
  <c r="K34" i="111"/>
  <c r="L34" i="111"/>
  <c r="M34" i="111"/>
  <c r="N34" i="111"/>
  <c r="O34" i="111"/>
  <c r="P34" i="111"/>
  <c r="Q34" i="111"/>
  <c r="R34" i="111"/>
  <c r="S34" i="111"/>
  <c r="F34" i="111"/>
  <c r="G32" i="111"/>
  <c r="H32" i="111"/>
  <c r="I32" i="111"/>
  <c r="J32" i="111"/>
  <c r="K32" i="111"/>
  <c r="L32" i="111"/>
  <c r="M32" i="111"/>
  <c r="N32" i="111"/>
  <c r="O32" i="111"/>
  <c r="P32" i="111"/>
  <c r="Q32" i="111"/>
  <c r="R32" i="111"/>
  <c r="S32" i="111"/>
  <c r="G33" i="111"/>
  <c r="H33" i="111"/>
  <c r="I33" i="111"/>
  <c r="J33" i="111"/>
  <c r="K33" i="111"/>
  <c r="L33" i="111"/>
  <c r="M33" i="111"/>
  <c r="N33" i="111"/>
  <c r="O33" i="111"/>
  <c r="P33" i="111"/>
  <c r="Q33" i="111"/>
  <c r="R33" i="111"/>
  <c r="S33" i="111"/>
  <c r="F33" i="111"/>
  <c r="F32" i="111"/>
  <c r="E36" i="111" l="1"/>
  <c r="T47" i="111" l="1"/>
  <c r="S47" i="111"/>
  <c r="R47" i="111"/>
  <c r="Q47" i="111"/>
  <c r="P47" i="111"/>
  <c r="O47" i="111"/>
  <c r="N47" i="111"/>
  <c r="M47" i="111"/>
  <c r="L47" i="111"/>
  <c r="K47" i="111"/>
  <c r="J47" i="111"/>
  <c r="I47" i="111"/>
  <c r="H47" i="111"/>
  <c r="G47" i="111"/>
  <c r="F47" i="111"/>
  <c r="D47" i="111"/>
  <c r="R104" i="39"/>
  <c r="S104" i="39"/>
  <c r="T104" i="39"/>
  <c r="R99" i="39"/>
  <c r="S99" i="39"/>
  <c r="T99" i="39"/>
  <c r="R98" i="39"/>
  <c r="S98" i="39"/>
  <c r="T98" i="39"/>
  <c r="R97" i="39"/>
  <c r="S97" i="39"/>
  <c r="T97" i="39"/>
  <c r="R100" i="39" l="1"/>
  <c r="S100" i="39"/>
  <c r="C17" i="108" l="1"/>
  <c r="C20" i="108" s="1"/>
  <c r="C13" i="108"/>
  <c r="C12" i="108"/>
  <c r="C11" i="108"/>
  <c r="M89" i="39"/>
  <c r="N89" i="39"/>
  <c r="O89" i="39"/>
  <c r="P89" i="39"/>
  <c r="Q89" i="39"/>
  <c r="R89" i="39"/>
  <c r="S89" i="39"/>
  <c r="C84" i="39"/>
  <c r="C79" i="16"/>
  <c r="E15" i="39"/>
  <c r="E14" i="39"/>
  <c r="C12" i="110"/>
  <c r="C11" i="110"/>
  <c r="B12" i="108"/>
  <c r="B19" i="108" s="1"/>
  <c r="B11" i="108"/>
  <c r="B18" i="108" s="1"/>
  <c r="B10" i="108"/>
  <c r="B17" i="108" s="1"/>
  <c r="C86" i="16"/>
  <c r="C18" i="108" l="1"/>
  <c r="C19" i="108"/>
  <c r="S31" i="111"/>
  <c r="S49" i="111" s="1"/>
  <c r="R71" i="39"/>
  <c r="R31" i="111"/>
  <c r="R49" i="111" s="1"/>
  <c r="Q71" i="39"/>
  <c r="Q31" i="111"/>
  <c r="Q49" i="111" s="1"/>
  <c r="P71" i="39"/>
  <c r="P31" i="111"/>
  <c r="P49" i="111" s="1"/>
  <c r="O71" i="39"/>
  <c r="N31" i="111"/>
  <c r="N49" i="111" s="1"/>
  <c r="M71" i="39"/>
  <c r="O31" i="111"/>
  <c r="O49" i="111" s="1"/>
  <c r="N71" i="39"/>
  <c r="T31" i="111"/>
  <c r="T49" i="111" s="1"/>
  <c r="S71" i="39"/>
  <c r="F22" i="13"/>
  <c r="H15" i="39" s="1"/>
  <c r="F15" i="113" s="1"/>
  <c r="G22" i="13"/>
  <c r="I15" i="39" s="1"/>
  <c r="G15" i="113" s="1"/>
  <c r="H22" i="13"/>
  <c r="J15" i="39" s="1"/>
  <c r="H15" i="113" s="1"/>
  <c r="I22" i="13"/>
  <c r="K15" i="39" s="1"/>
  <c r="I15" i="113" s="1"/>
  <c r="J22" i="13"/>
  <c r="L15" i="39" s="1"/>
  <c r="J15" i="113" s="1"/>
  <c r="K22" i="13"/>
  <c r="M15" i="39" s="1"/>
  <c r="K15" i="113" s="1"/>
  <c r="L22" i="13"/>
  <c r="N15" i="39" s="1"/>
  <c r="L15" i="113" s="1"/>
  <c r="M22" i="13"/>
  <c r="O15" i="39" s="1"/>
  <c r="M15" i="113" s="1"/>
  <c r="N22" i="13"/>
  <c r="P15" i="39" s="1"/>
  <c r="N15" i="113" s="1"/>
  <c r="O22" i="13"/>
  <c r="Q15" i="39" s="1"/>
  <c r="O15" i="113" s="1"/>
  <c r="P22" i="13"/>
  <c r="R15" i="39" s="1"/>
  <c r="P15" i="113" s="1"/>
  <c r="Q22" i="13"/>
  <c r="S15" i="39" s="1"/>
  <c r="Q15" i="113" s="1"/>
  <c r="R22" i="13"/>
  <c r="T15" i="39" s="1"/>
  <c r="R15" i="113" s="1"/>
  <c r="E22" i="13"/>
  <c r="G15" i="39" s="1"/>
  <c r="E15" i="113" s="1"/>
  <c r="D22" i="13"/>
  <c r="F15" i="39" s="1"/>
  <c r="D15" i="113" s="1"/>
  <c r="E15" i="13"/>
  <c r="F15" i="13" s="1"/>
  <c r="G15" i="13" s="1"/>
  <c r="H15" i="13" s="1"/>
  <c r="I15" i="13" s="1"/>
  <c r="J15" i="13" s="1"/>
  <c r="K15" i="13" s="1"/>
  <c r="L15" i="13" s="1"/>
  <c r="M15" i="13" s="1"/>
  <c r="N15" i="13" s="1"/>
  <c r="O15" i="13" s="1"/>
  <c r="P15" i="13" s="1"/>
  <c r="Q15" i="13" s="1"/>
  <c r="R15" i="13" s="1"/>
  <c r="E13" i="13"/>
  <c r="F13" i="13"/>
  <c r="G13" i="13"/>
  <c r="H13" i="13"/>
  <c r="I13" i="13"/>
  <c r="J13" i="13"/>
  <c r="K13" i="13"/>
  <c r="L13" i="13"/>
  <c r="M13" i="13"/>
  <c r="N13" i="13"/>
  <c r="O13" i="13"/>
  <c r="P13" i="13"/>
  <c r="Q13" i="13"/>
  <c r="R13" i="13"/>
  <c r="D13" i="13"/>
  <c r="H13" i="16" l="1"/>
  <c r="E4" i="13"/>
  <c r="G11" i="39" s="1"/>
  <c r="G14" i="39" s="1"/>
  <c r="F4" i="13"/>
  <c r="H11" i="39" s="1"/>
  <c r="H14" i="39" s="1"/>
  <c r="G4" i="13"/>
  <c r="I11" i="39" s="1"/>
  <c r="I14" i="39" s="1"/>
  <c r="H4" i="13"/>
  <c r="J11" i="39" s="1"/>
  <c r="J14" i="39" s="1"/>
  <c r="I4" i="13"/>
  <c r="K11" i="39" s="1"/>
  <c r="K14" i="39" s="1"/>
  <c r="J4" i="13"/>
  <c r="L11" i="39" s="1"/>
  <c r="L14" i="39" s="1"/>
  <c r="K4" i="13"/>
  <c r="M11" i="39" s="1"/>
  <c r="M14" i="39" s="1"/>
  <c r="L4" i="13"/>
  <c r="N11" i="39" s="1"/>
  <c r="N14" i="39" s="1"/>
  <c r="M4" i="13"/>
  <c r="O11" i="39" s="1"/>
  <c r="O14" i="39" s="1"/>
  <c r="N4" i="13"/>
  <c r="P11" i="39" s="1"/>
  <c r="P14" i="39" s="1"/>
  <c r="O4" i="13"/>
  <c r="Q11" i="39" s="1"/>
  <c r="Q14" i="39" s="1"/>
  <c r="P4" i="13"/>
  <c r="R11" i="39" s="1"/>
  <c r="R14" i="39" s="1"/>
  <c r="Q4" i="13"/>
  <c r="S11" i="39" s="1"/>
  <c r="S14" i="39" s="1"/>
  <c r="R4" i="13"/>
  <c r="T11" i="39" s="1"/>
  <c r="T14" i="39" s="1"/>
  <c r="D4" i="13"/>
  <c r="F11" i="39" s="1"/>
  <c r="F14" i="39" s="1"/>
  <c r="J9" i="110" l="1"/>
  <c r="J16" i="113"/>
  <c r="J17" i="113" s="1"/>
  <c r="J23" i="113" s="1"/>
  <c r="L9" i="110"/>
  <c r="L16" i="113"/>
  <c r="L17" i="113" s="1"/>
  <c r="L23" i="113" s="1"/>
  <c r="H9" i="110"/>
  <c r="H16" i="113"/>
  <c r="H17" i="113" s="1"/>
  <c r="H23" i="113" s="1"/>
  <c r="K9" i="110"/>
  <c r="K16" i="113"/>
  <c r="K17" i="113" s="1"/>
  <c r="K23" i="113" s="1"/>
  <c r="Q9" i="110"/>
  <c r="Q16" i="113"/>
  <c r="Q17" i="113" s="1"/>
  <c r="Q23" i="113" s="1"/>
  <c r="G9" i="110"/>
  <c r="G16" i="113"/>
  <c r="G17" i="113" s="1"/>
  <c r="G23" i="113" s="1"/>
  <c r="D9" i="110"/>
  <c r="D16" i="113"/>
  <c r="D17" i="113" s="1"/>
  <c r="D23" i="113" s="1"/>
  <c r="I9" i="110"/>
  <c r="I16" i="113"/>
  <c r="I17" i="113" s="1"/>
  <c r="I23" i="113" s="1"/>
  <c r="O9" i="110"/>
  <c r="O16" i="113"/>
  <c r="O17" i="113" s="1"/>
  <c r="O23" i="113" s="1"/>
  <c r="N9" i="110"/>
  <c r="N16" i="113"/>
  <c r="N17" i="113" s="1"/>
  <c r="N23" i="113" s="1"/>
  <c r="F9" i="110"/>
  <c r="F16" i="113"/>
  <c r="F17" i="113" s="1"/>
  <c r="F23" i="113" s="1"/>
  <c r="R9" i="110"/>
  <c r="R16" i="113"/>
  <c r="R17" i="113" s="1"/>
  <c r="R23" i="113" s="1"/>
  <c r="P9" i="110"/>
  <c r="P16" i="113"/>
  <c r="P17" i="113" s="1"/>
  <c r="P23" i="113" s="1"/>
  <c r="M9" i="110"/>
  <c r="M16" i="113"/>
  <c r="M17" i="113" s="1"/>
  <c r="M23" i="113" s="1"/>
  <c r="E9" i="110"/>
  <c r="E16" i="113"/>
  <c r="E17" i="113" s="1"/>
  <c r="E23" i="113" s="1"/>
  <c r="P9" i="13"/>
  <c r="P12" i="13"/>
  <c r="H9" i="13"/>
  <c r="H12" i="13"/>
  <c r="Q9" i="13"/>
  <c r="Q12" i="13"/>
  <c r="O9" i="13"/>
  <c r="O12" i="13"/>
  <c r="G9" i="13"/>
  <c r="G12" i="13"/>
  <c r="N9" i="13"/>
  <c r="N12" i="13"/>
  <c r="F9" i="13"/>
  <c r="F12" i="13"/>
  <c r="I9" i="13"/>
  <c r="I12" i="13"/>
  <c r="M8" i="13"/>
  <c r="M12" i="13"/>
  <c r="E8" i="13"/>
  <c r="E12" i="13"/>
  <c r="L8" i="13"/>
  <c r="L12" i="13"/>
  <c r="D8" i="13"/>
  <c r="D12" i="13"/>
  <c r="K8" i="13"/>
  <c r="K12" i="13"/>
  <c r="R8" i="13"/>
  <c r="R12" i="13"/>
  <c r="J8" i="13"/>
  <c r="J12" i="13"/>
  <c r="I8" i="13"/>
  <c r="Q8" i="13"/>
  <c r="D9" i="13"/>
  <c r="M9" i="13"/>
  <c r="K9" i="13"/>
  <c r="E9" i="13"/>
  <c r="P8" i="13"/>
  <c r="H8" i="13"/>
  <c r="L9" i="13"/>
  <c r="N8" i="13"/>
  <c r="R9" i="13"/>
  <c r="J9" i="13"/>
  <c r="G8" i="13"/>
  <c r="O8" i="13"/>
  <c r="F8" i="13"/>
  <c r="D51" i="39" l="1"/>
  <c r="C51" i="39"/>
  <c r="B8" i="16" l="1"/>
  <c r="B7" i="16"/>
  <c r="B6" i="16"/>
  <c r="T59" i="39" l="1"/>
  <c r="B28" i="16"/>
  <c r="B39" i="16" l="1"/>
  <c r="B19" i="16"/>
  <c r="D19" i="16" s="1"/>
  <c r="D21" i="16" s="1"/>
  <c r="H4" i="103"/>
  <c r="B40" i="16" l="1"/>
  <c r="E42" i="16"/>
  <c r="B26" i="16"/>
  <c r="B4" i="16"/>
  <c r="C4" i="108" s="1"/>
  <c r="B43" i="16"/>
  <c r="B41" i="16"/>
  <c r="B44" i="16" l="1"/>
  <c r="B27" i="16" s="1"/>
  <c r="D18" i="108" l="1"/>
  <c r="E18" i="108" s="1"/>
  <c r="F18" i="108" s="1"/>
  <c r="O11" i="108"/>
  <c r="L11" i="108"/>
  <c r="I11" i="108"/>
  <c r="P11" i="108"/>
  <c r="M11" i="108"/>
  <c r="J11" i="108"/>
  <c r="F11" i="108"/>
  <c r="Q11" i="108"/>
  <c r="G11" i="108"/>
  <c r="R11" i="108"/>
  <c r="K11" i="108"/>
  <c r="N11" i="108"/>
  <c r="H11" i="108"/>
  <c r="D11" i="108"/>
  <c r="E11" i="108"/>
  <c r="B31" i="16"/>
  <c r="B5" i="16"/>
  <c r="M11" i="103"/>
  <c r="N11" i="103"/>
  <c r="O11" i="103"/>
  <c r="P11" i="103"/>
  <c r="Q11" i="103"/>
  <c r="R11" i="103"/>
  <c r="S11" i="103"/>
  <c r="C19" i="113" l="1"/>
  <c r="C3" i="108"/>
  <c r="B33" i="16"/>
  <c r="B9" i="16" s="1"/>
  <c r="G18" i="108"/>
  <c r="H18" i="108" s="1"/>
  <c r="G28" i="99"/>
  <c r="C7" i="13"/>
  <c r="C24" i="13" s="1"/>
  <c r="E34" i="98"/>
  <c r="B34" i="98"/>
  <c r="B11" i="58"/>
  <c r="D44" i="99"/>
  <c r="D45" i="99"/>
  <c r="D46" i="99"/>
  <c r="D47" i="99"/>
  <c r="D48" i="99"/>
  <c r="D43" i="99"/>
  <c r="D39" i="99"/>
  <c r="E39" i="99" s="1"/>
  <c r="F6" i="99"/>
  <c r="B24" i="13" s="1"/>
  <c r="F5" i="99"/>
  <c r="F4" i="99"/>
  <c r="F3" i="99"/>
  <c r="B7" i="13" s="1"/>
  <c r="D35" i="99"/>
  <c r="E35" i="99" s="1"/>
  <c r="F23" i="98"/>
  <c r="F27" i="98"/>
  <c r="G11" i="99"/>
  <c r="G21" i="113" l="1"/>
  <c r="F21" i="113"/>
  <c r="D21" i="113"/>
  <c r="E21" i="113"/>
  <c r="H21" i="113"/>
  <c r="I18" i="108"/>
  <c r="G10" i="108"/>
  <c r="D17" i="108"/>
  <c r="H10" i="108"/>
  <c r="I10" i="108"/>
  <c r="E10" i="108"/>
  <c r="K10" i="108"/>
  <c r="F10" i="108"/>
  <c r="M10" i="108"/>
  <c r="N10" i="108"/>
  <c r="J10" i="108"/>
  <c r="O10" i="108"/>
  <c r="Q10" i="108"/>
  <c r="R10" i="108"/>
  <c r="P10" i="108"/>
  <c r="D10" i="108"/>
  <c r="L10" i="108"/>
  <c r="L24" i="13"/>
  <c r="H24" i="13"/>
  <c r="N24" i="13"/>
  <c r="K24" i="13"/>
  <c r="F24" i="13"/>
  <c r="I24" i="13"/>
  <c r="D24" i="13"/>
  <c r="M24" i="13"/>
  <c r="G24" i="13"/>
  <c r="P24" i="13"/>
  <c r="R24" i="13"/>
  <c r="O24" i="13"/>
  <c r="E24" i="13"/>
  <c r="Q24" i="13"/>
  <c r="J24" i="13"/>
  <c r="N7" i="13"/>
  <c r="R7" i="13"/>
  <c r="J7" i="13"/>
  <c r="G7" i="13"/>
  <c r="M7" i="13"/>
  <c r="K7" i="13"/>
  <c r="Q7" i="13"/>
  <c r="Q11" i="113" s="1"/>
  <c r="Q12" i="113" s="1"/>
  <c r="Q22" i="113" s="1"/>
  <c r="D7" i="13"/>
  <c r="D11" i="113" s="1"/>
  <c r="D12" i="113" s="1"/>
  <c r="H7" i="13"/>
  <c r="E7" i="13"/>
  <c r="E11" i="113" s="1"/>
  <c r="E12" i="113" s="1"/>
  <c r="F7" i="13"/>
  <c r="P7" i="13"/>
  <c r="I7" i="13"/>
  <c r="I11" i="113" s="1"/>
  <c r="I12" i="113" s="1"/>
  <c r="I22" i="113" s="1"/>
  <c r="L7" i="13"/>
  <c r="O7" i="13"/>
  <c r="T12" i="39"/>
  <c r="D49" i="99"/>
  <c r="B17" i="56"/>
  <c r="B66" i="101"/>
  <c r="B67" i="101"/>
  <c r="B68" i="101"/>
  <c r="B69" i="101"/>
  <c r="B70" i="101"/>
  <c r="B65" i="101"/>
  <c r="D6" i="101"/>
  <c r="D5" i="101"/>
  <c r="D4" i="101"/>
  <c r="D3" i="101"/>
  <c r="C60" i="101"/>
  <c r="C61" i="101" s="1"/>
  <c r="C56" i="101"/>
  <c r="C57" i="101" s="1"/>
  <c r="B89" i="101"/>
  <c r="R8" i="110" l="1"/>
  <c r="D22" i="113"/>
  <c r="D24" i="113" s="1"/>
  <c r="D25" i="113" s="1"/>
  <c r="F13" i="39" s="1"/>
  <c r="F12" i="39" s="1"/>
  <c r="E22" i="113"/>
  <c r="R10" i="110"/>
  <c r="R12" i="110" s="1"/>
  <c r="R11" i="113"/>
  <c r="R12" i="113" s="1"/>
  <c r="R22" i="113" s="1"/>
  <c r="F10" i="110"/>
  <c r="F12" i="110" s="1"/>
  <c r="F11" i="113"/>
  <c r="F12" i="113" s="1"/>
  <c r="F22" i="113" s="1"/>
  <c r="H10" i="110"/>
  <c r="H12" i="110" s="1"/>
  <c r="H11" i="113"/>
  <c r="H12" i="113" s="1"/>
  <c r="H22" i="113" s="1"/>
  <c r="N10" i="110"/>
  <c r="N12" i="110" s="1"/>
  <c r="N11" i="113"/>
  <c r="N12" i="113" s="1"/>
  <c r="N22" i="113" s="1"/>
  <c r="O10" i="110"/>
  <c r="O12" i="110" s="1"/>
  <c r="O11" i="113"/>
  <c r="O12" i="113" s="1"/>
  <c r="O22" i="113" s="1"/>
  <c r="L10" i="110"/>
  <c r="L12" i="110" s="1"/>
  <c r="L11" i="113"/>
  <c r="L12" i="113" s="1"/>
  <c r="L22" i="113" s="1"/>
  <c r="K10" i="110"/>
  <c r="K12" i="110" s="1"/>
  <c r="K11" i="113"/>
  <c r="K12" i="113" s="1"/>
  <c r="K22" i="113" s="1"/>
  <c r="J10" i="110"/>
  <c r="J12" i="110" s="1"/>
  <c r="J11" i="113"/>
  <c r="J12" i="113" s="1"/>
  <c r="J22" i="113" s="1"/>
  <c r="M10" i="110"/>
  <c r="M12" i="110" s="1"/>
  <c r="M11" i="113"/>
  <c r="M12" i="113" s="1"/>
  <c r="M22" i="113" s="1"/>
  <c r="P10" i="110"/>
  <c r="P12" i="110" s="1"/>
  <c r="P11" i="113"/>
  <c r="P12" i="113" s="1"/>
  <c r="P22" i="113" s="1"/>
  <c r="G10" i="110"/>
  <c r="G12" i="110" s="1"/>
  <c r="G11" i="113"/>
  <c r="G12" i="113" s="1"/>
  <c r="G22" i="113" s="1"/>
  <c r="I10" i="110"/>
  <c r="I12" i="110" s="1"/>
  <c r="E10" i="110"/>
  <c r="E12" i="110" s="1"/>
  <c r="D10" i="110"/>
  <c r="D12" i="110" s="1"/>
  <c r="Q10" i="110"/>
  <c r="Q12" i="110" s="1"/>
  <c r="D14" i="13"/>
  <c r="E14" i="13" s="1"/>
  <c r="D50" i="99"/>
  <c r="J18" i="108"/>
  <c r="E17" i="108"/>
  <c r="O10" i="13"/>
  <c r="O6" i="13"/>
  <c r="L10" i="13"/>
  <c r="L6" i="13"/>
  <c r="K10" i="13"/>
  <c r="K6" i="13"/>
  <c r="M10" i="13"/>
  <c r="M6" i="13"/>
  <c r="D10" i="13"/>
  <c r="D6" i="13"/>
  <c r="I10" i="13"/>
  <c r="I6" i="13"/>
  <c r="P10" i="13"/>
  <c r="P6" i="13"/>
  <c r="G10" i="13"/>
  <c r="G6" i="13"/>
  <c r="F10" i="13"/>
  <c r="F6" i="13"/>
  <c r="J10" i="13"/>
  <c r="J6" i="13"/>
  <c r="Q10" i="13"/>
  <c r="Q6" i="13"/>
  <c r="E10" i="13"/>
  <c r="E6" i="13"/>
  <c r="R10" i="13"/>
  <c r="R6" i="13"/>
  <c r="H10" i="13"/>
  <c r="H6" i="13"/>
  <c r="N10" i="13"/>
  <c r="N6" i="13"/>
  <c r="S12" i="39"/>
  <c r="B71" i="101"/>
  <c r="Q8" i="110" l="1"/>
  <c r="F14" i="13"/>
  <c r="E24" i="113"/>
  <c r="F24" i="113" s="1"/>
  <c r="I17" i="13"/>
  <c r="Q17" i="13"/>
  <c r="J17" i="13"/>
  <c r="R17" i="13"/>
  <c r="K17" i="13"/>
  <c r="L17" i="13"/>
  <c r="M17" i="13"/>
  <c r="N17" i="13"/>
  <c r="O17" i="13"/>
  <c r="D17" i="13"/>
  <c r="E17" i="13"/>
  <c r="F17" i="13"/>
  <c r="G17" i="13"/>
  <c r="H17" i="13"/>
  <c r="P17" i="13"/>
  <c r="F17" i="108"/>
  <c r="K18" i="108"/>
  <c r="L18" i="108" s="1"/>
  <c r="M18" i="108" s="1"/>
  <c r="E25" i="113" l="1"/>
  <c r="G13" i="39" s="1"/>
  <c r="G12" i="39" s="1"/>
  <c r="G14" i="13"/>
  <c r="F25" i="113"/>
  <c r="H13" i="39" s="1"/>
  <c r="H12" i="39" s="1"/>
  <c r="G24" i="113"/>
  <c r="N18" i="108"/>
  <c r="O18" i="108" s="1"/>
  <c r="G17" i="108"/>
  <c r="H17" i="108" s="1"/>
  <c r="I17" i="108" s="1"/>
  <c r="W40" i="101"/>
  <c r="W41" i="101" s="1"/>
  <c r="V40" i="101"/>
  <c r="V41" i="101" s="1"/>
  <c r="U40" i="101"/>
  <c r="U41" i="101" s="1"/>
  <c r="T40" i="101"/>
  <c r="T41" i="101" s="1"/>
  <c r="D8" i="110"/>
  <c r="C2" i="56"/>
  <c r="D2" i="56"/>
  <c r="E2" i="56"/>
  <c r="F2" i="56"/>
  <c r="G2" i="56"/>
  <c r="H2" i="56"/>
  <c r="I2" i="56"/>
  <c r="J2" i="56"/>
  <c r="K2" i="56"/>
  <c r="B2" i="56"/>
  <c r="E8" i="110" l="1"/>
  <c r="F8" i="110"/>
  <c r="H14" i="13"/>
  <c r="G25" i="113"/>
  <c r="I13" i="39" s="1"/>
  <c r="I12" i="39" s="1"/>
  <c r="H24" i="113"/>
  <c r="P18" i="108"/>
  <c r="J17" i="108"/>
  <c r="F40" i="101"/>
  <c r="F41" i="101" s="1"/>
  <c r="G40" i="101"/>
  <c r="G41" i="101" s="1"/>
  <c r="S40" i="101"/>
  <c r="S41" i="101" s="1"/>
  <c r="E40" i="101"/>
  <c r="E41" i="101" s="1"/>
  <c r="B5" i="56"/>
  <c r="C5" i="56"/>
  <c r="D5" i="56"/>
  <c r="G8" i="110" l="1"/>
  <c r="I14" i="13"/>
  <c r="H40" i="101"/>
  <c r="H41" i="101" s="1"/>
  <c r="E5" i="56"/>
  <c r="B20" i="56" s="1"/>
  <c r="C20" i="56" s="1"/>
  <c r="H25" i="113"/>
  <c r="J13" i="39" s="1"/>
  <c r="J12" i="39" s="1"/>
  <c r="I24" i="113"/>
  <c r="Q18" i="108"/>
  <c r="R18" i="108" s="1"/>
  <c r="K17" i="108"/>
  <c r="R40" i="101"/>
  <c r="R41" i="101" s="1"/>
  <c r="G22" i="98"/>
  <c r="D22" i="98"/>
  <c r="G10" i="98"/>
  <c r="K6" i="98"/>
  <c r="L6" i="98" s="1"/>
  <c r="K3" i="98"/>
  <c r="L3" i="98" s="1"/>
  <c r="H1" i="98"/>
  <c r="H6" i="98"/>
  <c r="H7" i="98"/>
  <c r="I7" i="98"/>
  <c r="F14" i="98"/>
  <c r="F15" i="98"/>
  <c r="E16" i="98"/>
  <c r="F16" i="98" s="1"/>
  <c r="E18" i="98"/>
  <c r="F20" i="56" l="1"/>
  <c r="J14" i="13"/>
  <c r="D20" i="56"/>
  <c r="J24" i="113"/>
  <c r="I25" i="113"/>
  <c r="K13" i="39" s="1"/>
  <c r="K12" i="39" s="1"/>
  <c r="H8" i="110"/>
  <c r="I40" i="101"/>
  <c r="I41" i="101" s="1"/>
  <c r="F5" i="56"/>
  <c r="L17" i="108"/>
  <c r="M17" i="108" s="1"/>
  <c r="N17" i="108" s="1"/>
  <c r="O17" i="108" s="1"/>
  <c r="P17" i="108" s="1"/>
  <c r="Q17" i="108" s="1"/>
  <c r="R17" i="108" s="1"/>
  <c r="H22" i="98"/>
  <c r="I22" i="98" s="1"/>
  <c r="E20" i="56"/>
  <c r="K14" i="13" l="1"/>
  <c r="I8" i="110"/>
  <c r="J40" i="101"/>
  <c r="J41" i="101" s="1"/>
  <c r="G5" i="56"/>
  <c r="K24" i="113"/>
  <c r="J25" i="113"/>
  <c r="L13" i="39" s="1"/>
  <c r="L12" i="39" s="1"/>
  <c r="I23" i="98"/>
  <c r="J22" i="98"/>
  <c r="L14" i="13" l="1"/>
  <c r="J8" i="110"/>
  <c r="H5" i="56"/>
  <c r="K40" i="101"/>
  <c r="K41" i="101" s="1"/>
  <c r="L24" i="113"/>
  <c r="K25" i="113"/>
  <c r="M13" i="39" s="1"/>
  <c r="M12" i="39" s="1"/>
  <c r="M14" i="13" l="1"/>
  <c r="K8" i="110"/>
  <c r="L40" i="101"/>
  <c r="L41" i="101" s="1"/>
  <c r="I5" i="56"/>
  <c r="L25" i="113"/>
  <c r="N13" i="39" s="1"/>
  <c r="N12" i="39" s="1"/>
  <c r="M24" i="113"/>
  <c r="N14" i="13" l="1"/>
  <c r="L8" i="110"/>
  <c r="M40" i="101"/>
  <c r="M41" i="101" s="1"/>
  <c r="J5" i="56"/>
  <c r="N24" i="113"/>
  <c r="M25" i="113"/>
  <c r="O13" i="39" s="1"/>
  <c r="O12" i="39" s="1"/>
  <c r="O14" i="13" l="1"/>
  <c r="M8" i="110"/>
  <c r="N40" i="101"/>
  <c r="N41" i="101" s="1"/>
  <c r="K5" i="56"/>
  <c r="O24" i="113"/>
  <c r="N25" i="113"/>
  <c r="P13" i="39" s="1"/>
  <c r="P12" i="39" s="1"/>
  <c r="B3" i="57"/>
  <c r="P14" i="13" l="1"/>
  <c r="N8" i="110"/>
  <c r="O40" i="101"/>
  <c r="O41" i="101" s="1"/>
  <c r="P24" i="113"/>
  <c r="O25" i="113"/>
  <c r="Q13" i="39" s="1"/>
  <c r="Q12" i="39" s="1"/>
  <c r="B15" i="57"/>
  <c r="Q14" i="13" l="1"/>
  <c r="O8" i="110"/>
  <c r="P40" i="101"/>
  <c r="P41" i="101" s="1"/>
  <c r="P25" i="113"/>
  <c r="R13" i="39" s="1"/>
  <c r="R12" i="39" s="1"/>
  <c r="Q24" i="113"/>
  <c r="D15" i="57"/>
  <c r="E15" i="57"/>
  <c r="F15" i="57"/>
  <c r="C15" i="57"/>
  <c r="R14" i="13" l="1"/>
  <c r="P8" i="110"/>
  <c r="Q40" i="101"/>
  <c r="Q41" i="101" s="1"/>
  <c r="Q25" i="113"/>
  <c r="R24" i="113"/>
  <c r="R25" i="113" s="1"/>
  <c r="B19" i="57" l="1"/>
  <c r="C19" i="57" s="1"/>
  <c r="D19" i="57" s="1"/>
  <c r="E19" i="57" s="1"/>
  <c r="F19" i="57" s="1"/>
  <c r="B78" i="101" l="1"/>
  <c r="B76" i="101" s="1"/>
  <c r="B77" i="101" l="1"/>
  <c r="B85" i="101" s="1"/>
  <c r="D88" i="101" s="1"/>
  <c r="B20" i="57"/>
  <c r="C20" i="57" s="1"/>
  <c r="D20" i="57" s="1"/>
  <c r="E20" i="57" s="1"/>
  <c r="F20" i="57" s="1"/>
  <c r="C88" i="101" l="1"/>
  <c r="J88" i="101"/>
  <c r="C87" i="101"/>
  <c r="F87" i="101"/>
  <c r="E87" i="101"/>
  <c r="C85" i="101"/>
  <c r="G88" i="101"/>
  <c r="H87" i="101"/>
  <c r="B90" i="101"/>
  <c r="B91" i="101" s="1"/>
  <c r="B92" i="101" s="1"/>
  <c r="H88" i="101"/>
  <c r="D87" i="101"/>
  <c r="D89" i="101" s="1"/>
  <c r="I88" i="101"/>
  <c r="J87" i="101"/>
  <c r="G87" i="101"/>
  <c r="E88" i="101"/>
  <c r="I87" i="101"/>
  <c r="F88" i="101"/>
  <c r="C86" i="101" l="1"/>
  <c r="D85" i="101" s="1"/>
  <c r="F89" i="101"/>
  <c r="C89" i="101"/>
  <c r="I89" i="101"/>
  <c r="E89" i="101"/>
  <c r="J89" i="101"/>
  <c r="H89" i="101"/>
  <c r="C90" i="101"/>
  <c r="G89" i="101"/>
  <c r="C91" i="101" l="1"/>
  <c r="C92" i="101" s="1"/>
  <c r="D90" i="101"/>
  <c r="D86" i="101"/>
  <c r="E85" i="101" l="1"/>
  <c r="D91" i="101"/>
  <c r="D92" i="101" s="1"/>
  <c r="E86" i="101" l="1"/>
  <c r="E90" i="101"/>
  <c r="F85" i="101" l="1"/>
  <c r="E91" i="101"/>
  <c r="E92" i="101" s="1"/>
  <c r="B17" i="57"/>
  <c r="C17" i="57" l="1"/>
  <c r="F17" i="57"/>
  <c r="E17" i="57"/>
  <c r="F86" i="101"/>
  <c r="F90" i="101"/>
  <c r="D17" i="57" l="1"/>
  <c r="F91" i="101"/>
  <c r="F92" i="101" s="1"/>
  <c r="G85" i="101"/>
  <c r="G86" i="101" l="1"/>
  <c r="G90" i="101"/>
  <c r="G92" i="101" s="1"/>
  <c r="G91" i="101" l="1"/>
  <c r="H85" i="101"/>
  <c r="H90" i="101" l="1"/>
  <c r="H92" i="101" s="1"/>
  <c r="H86" i="101"/>
  <c r="H91" i="101" l="1"/>
  <c r="I85" i="101"/>
  <c r="I90" i="101" l="1"/>
  <c r="I92" i="101" s="1"/>
  <c r="I86" i="101"/>
  <c r="I91" i="101" l="1"/>
  <c r="J85" i="101"/>
  <c r="J90" i="101" l="1"/>
  <c r="J92" i="101" s="1"/>
  <c r="J86" i="101"/>
  <c r="J91" i="101" s="1"/>
  <c r="W45" i="101" l="1"/>
  <c r="V45" i="101"/>
  <c r="T45" i="101"/>
  <c r="U45" i="101"/>
  <c r="R45" i="101" l="1"/>
  <c r="R46" i="101" s="1"/>
  <c r="S45" i="101"/>
  <c r="S46" i="101" s="1"/>
  <c r="T46" i="101"/>
  <c r="T50" i="101"/>
  <c r="T51" i="101" s="1"/>
  <c r="U46" i="101"/>
  <c r="U50" i="101"/>
  <c r="U51" i="101" s="1"/>
  <c r="V50" i="101"/>
  <c r="V51" i="101" s="1"/>
  <c r="V46" i="101"/>
  <c r="W50" i="101"/>
  <c r="W51" i="101" s="1"/>
  <c r="W46" i="101"/>
  <c r="R50" i="101" l="1"/>
  <c r="R51" i="101" s="1"/>
  <c r="S50" i="101"/>
  <c r="S51" i="101" s="1"/>
  <c r="B18" i="57"/>
  <c r="C18" i="57" l="1"/>
  <c r="B21" i="57"/>
  <c r="B22" i="57" s="1"/>
  <c r="D18" i="57" l="1"/>
  <c r="C21" i="57"/>
  <c r="C22" i="57" s="1"/>
  <c r="E18" i="57" l="1"/>
  <c r="D21" i="57"/>
  <c r="D22" i="57" s="1"/>
  <c r="F18" i="57" l="1"/>
  <c r="F21" i="57" s="1"/>
  <c r="F22" i="57" s="1"/>
  <c r="E21" i="57"/>
  <c r="E22" i="57" s="1"/>
  <c r="D12" i="103" l="1"/>
  <c r="D13" i="103" s="1"/>
  <c r="C7" i="103"/>
  <c r="D11" i="58"/>
  <c r="E11" i="58" l="1"/>
  <c r="I11" i="58"/>
  <c r="J11" i="58"/>
  <c r="H11" i="58"/>
  <c r="E12" i="103"/>
  <c r="C8" i="103"/>
  <c r="F11" i="58"/>
  <c r="C11" i="58"/>
  <c r="G11" i="58"/>
  <c r="B6" i="58" l="1"/>
  <c r="E13" i="103"/>
  <c r="F11" i="103"/>
  <c r="H11" i="103"/>
  <c r="G11" i="103"/>
  <c r="I11" i="103"/>
  <c r="E11" i="103"/>
  <c r="F12" i="103" s="1"/>
  <c r="J11" i="103"/>
  <c r="L11" i="103"/>
  <c r="K11" i="103"/>
  <c r="F13" i="103" l="1"/>
  <c r="G12" i="103"/>
  <c r="C6" i="58"/>
  <c r="B10" i="58"/>
  <c r="B13" i="58" s="1"/>
  <c r="C10" i="58" l="1"/>
  <c r="C13" i="58" s="1"/>
  <c r="G13" i="103"/>
  <c r="H12" i="103"/>
  <c r="H13" i="103" l="1"/>
  <c r="I12" i="103"/>
  <c r="D6" i="58"/>
  <c r="J12" i="103" l="1"/>
  <c r="I13" i="103"/>
  <c r="D10" i="58"/>
  <c r="D13" i="58" s="1"/>
  <c r="E6" i="58" l="1"/>
  <c r="B8" i="57"/>
  <c r="K12" i="103"/>
  <c r="J13" i="103"/>
  <c r="B25" i="57" l="1"/>
  <c r="K13" i="103"/>
  <c r="L12" i="103"/>
  <c r="E10" i="58"/>
  <c r="E13" i="58" s="1"/>
  <c r="F6" i="58" l="1"/>
  <c r="C25" i="57"/>
  <c r="M12" i="103"/>
  <c r="L13" i="103"/>
  <c r="G6" i="58" l="1"/>
  <c r="M13" i="103"/>
  <c r="N12" i="103"/>
  <c r="D25" i="57"/>
  <c r="F10" i="58"/>
  <c r="F13" i="58" s="1"/>
  <c r="E25" i="57" l="1"/>
  <c r="G10" i="58"/>
  <c r="G13" i="58" s="1"/>
  <c r="O12" i="103"/>
  <c r="N13" i="103"/>
  <c r="H6" i="58" l="1"/>
  <c r="O13" i="103"/>
  <c r="P12" i="103"/>
  <c r="F25" i="57"/>
  <c r="H10" i="58" l="1"/>
  <c r="H13" i="58" s="1"/>
  <c r="Q12" i="103"/>
  <c r="P13" i="103"/>
  <c r="Q13" i="103" l="1"/>
  <c r="R12" i="103"/>
  <c r="I6" i="58"/>
  <c r="R13" i="103" l="1"/>
  <c r="S12" i="103"/>
  <c r="S13" i="103" s="1"/>
  <c r="I10" i="58"/>
  <c r="I13" i="58" s="1"/>
  <c r="J6" i="58" l="1"/>
  <c r="J10" i="58" l="1"/>
  <c r="J13" i="58" s="1"/>
  <c r="T10" i="111" l="1"/>
  <c r="T34" i="111" s="1"/>
  <c r="C5" i="108"/>
  <c r="B14" i="56"/>
  <c r="B70" i="16"/>
  <c r="C36" i="39"/>
  <c r="C11" i="16"/>
  <c r="B76" i="16" l="1"/>
  <c r="D5" i="112"/>
  <c r="C5" i="112"/>
  <c r="C7" i="112" s="1"/>
  <c r="C10" i="112" s="1"/>
  <c r="C69" i="39"/>
  <c r="D69" i="39" s="1"/>
  <c r="E12" i="108"/>
  <c r="E13" i="108" s="1"/>
  <c r="J12" i="108"/>
  <c r="J13" i="108" s="1"/>
  <c r="H12" i="108"/>
  <c r="H13" i="108" s="1"/>
  <c r="Q12" i="108"/>
  <c r="Q13" i="108" s="1"/>
  <c r="O12" i="108"/>
  <c r="O13" i="108" s="1"/>
  <c r="N12" i="108"/>
  <c r="N13" i="108" s="1"/>
  <c r="F12" i="108"/>
  <c r="F13" i="108" s="1"/>
  <c r="G12" i="108"/>
  <c r="G13" i="108" s="1"/>
  <c r="D19" i="108"/>
  <c r="D20" i="108" s="1"/>
  <c r="C99" i="39" s="1"/>
  <c r="C6" i="108"/>
  <c r="D12" i="108"/>
  <c r="D13" i="108" s="1"/>
  <c r="F27" i="39" s="1"/>
  <c r="E6" i="112" s="1"/>
  <c r="K12" i="108"/>
  <c r="K13" i="108" s="1"/>
  <c r="I12" i="108"/>
  <c r="I13" i="108" s="1"/>
  <c r="P12" i="108"/>
  <c r="P13" i="108" s="1"/>
  <c r="L12" i="108"/>
  <c r="L13" i="108" s="1"/>
  <c r="M12" i="108"/>
  <c r="M13" i="108" s="1"/>
  <c r="R12" i="108"/>
  <c r="R13" i="108" s="1"/>
  <c r="D84" i="16"/>
  <c r="D85" i="16"/>
  <c r="D83" i="16"/>
  <c r="D82" i="16"/>
  <c r="C38" i="39"/>
  <c r="E19" i="108" l="1"/>
  <c r="E20" i="108" s="1"/>
  <c r="D99" i="39" s="1"/>
  <c r="E5" i="112"/>
  <c r="F5" i="112" s="1"/>
  <c r="G5" i="112" s="1"/>
  <c r="H5" i="112" s="1"/>
  <c r="I5" i="112" s="1"/>
  <c r="J5" i="112" s="1"/>
  <c r="K5" i="112" s="1"/>
  <c r="L5" i="112" s="1"/>
  <c r="M5" i="112" s="1"/>
  <c r="N5" i="112" s="1"/>
  <c r="O5" i="112" s="1"/>
  <c r="P5" i="112" s="1"/>
  <c r="Q5" i="112" s="1"/>
  <c r="R5" i="112" s="1"/>
  <c r="S5" i="112" s="1"/>
  <c r="D7" i="112"/>
  <c r="D10" i="112" s="1"/>
  <c r="G27" i="39"/>
  <c r="F6" i="112" s="1"/>
  <c r="E65" i="39"/>
  <c r="F5" i="111"/>
  <c r="F30" i="111" s="1"/>
  <c r="C98" i="39"/>
  <c r="E82" i="16"/>
  <c r="D86" i="16"/>
  <c r="F19" i="108"/>
  <c r="F20" i="108" s="1"/>
  <c r="E99" i="39" s="1"/>
  <c r="F7" i="112" l="1"/>
  <c r="E7" i="112"/>
  <c r="H27" i="39"/>
  <c r="G6" i="112" s="1"/>
  <c r="G7" i="112" s="1"/>
  <c r="F65" i="39"/>
  <c r="G5" i="111"/>
  <c r="G30" i="111" s="1"/>
  <c r="D98" i="39"/>
  <c r="G19" i="108"/>
  <c r="G20" i="108" s="1"/>
  <c r="F99" i="39" s="1"/>
  <c r="F82" i="16"/>
  <c r="H82" i="16"/>
  <c r="I27" i="39" l="1"/>
  <c r="H6" i="112" s="1"/>
  <c r="H7" i="112" s="1"/>
  <c r="G65" i="39"/>
  <c r="H5" i="111"/>
  <c r="H30" i="111" s="1"/>
  <c r="E98" i="39"/>
  <c r="H19" i="108"/>
  <c r="H20" i="108" s="1"/>
  <c r="G99" i="39" s="1"/>
  <c r="I82" i="16"/>
  <c r="J27" i="39" l="1"/>
  <c r="I6" i="112" s="1"/>
  <c r="I7" i="112" s="1"/>
  <c r="H65" i="39"/>
  <c r="F98" i="39"/>
  <c r="I5" i="111"/>
  <c r="I30" i="111" s="1"/>
  <c r="I19" i="108"/>
  <c r="I20" i="108" s="1"/>
  <c r="H99" i="39" s="1"/>
  <c r="K82" i="16"/>
  <c r="J19" i="108" l="1"/>
  <c r="K19" i="108" s="1"/>
  <c r="K20" i="108" s="1"/>
  <c r="J99" i="39" s="1"/>
  <c r="K27" i="39"/>
  <c r="J6" i="112" s="1"/>
  <c r="J7" i="112" s="1"/>
  <c r="I65" i="39"/>
  <c r="G98" i="39"/>
  <c r="J5" i="111"/>
  <c r="J30" i="111" s="1"/>
  <c r="L19" i="108" l="1"/>
  <c r="L20" i="108" s="1"/>
  <c r="K99" i="39" s="1"/>
  <c r="J20" i="108"/>
  <c r="I99" i="39" s="1"/>
  <c r="L27" i="39"/>
  <c r="K6" i="112" s="1"/>
  <c r="K7" i="112" s="1"/>
  <c r="J65" i="39"/>
  <c r="H98" i="39"/>
  <c r="K5" i="111"/>
  <c r="K30" i="111" s="1"/>
  <c r="M19" i="108" l="1"/>
  <c r="M20" i="108" s="1"/>
  <c r="L99" i="39" s="1"/>
  <c r="M27" i="39"/>
  <c r="L6" i="112" s="1"/>
  <c r="L7" i="112" s="1"/>
  <c r="K65" i="39"/>
  <c r="L5" i="111"/>
  <c r="L30" i="111" s="1"/>
  <c r="I98" i="39"/>
  <c r="N19" i="108" l="1"/>
  <c r="N20" i="108" s="1"/>
  <c r="M99" i="39" s="1"/>
  <c r="N27" i="39"/>
  <c r="M6" i="112" s="1"/>
  <c r="M7" i="112" s="1"/>
  <c r="L65" i="39"/>
  <c r="M5" i="111"/>
  <c r="M30" i="111" s="1"/>
  <c r="J98" i="39"/>
  <c r="O19" i="108" l="1"/>
  <c r="O20" i="108" s="1"/>
  <c r="N99" i="39" s="1"/>
  <c r="O27" i="39"/>
  <c r="N6" i="112" s="1"/>
  <c r="N7" i="112" s="1"/>
  <c r="M65" i="39"/>
  <c r="N5" i="111"/>
  <c r="N30" i="111" s="1"/>
  <c r="K98" i="39"/>
  <c r="P19" i="108" l="1"/>
  <c r="P20" i="108" s="1"/>
  <c r="O99" i="39" s="1"/>
  <c r="P27" i="39"/>
  <c r="O6" i="112" s="1"/>
  <c r="O7" i="112" s="1"/>
  <c r="N65" i="39"/>
  <c r="L98" i="39"/>
  <c r="O5" i="111"/>
  <c r="O30" i="111" s="1"/>
  <c r="Q19" i="108" l="1"/>
  <c r="R19" i="108" s="1"/>
  <c r="R20" i="108" s="1"/>
  <c r="Q99" i="39" s="1"/>
  <c r="Q27" i="39"/>
  <c r="P6" i="112" s="1"/>
  <c r="P7" i="112" s="1"/>
  <c r="O65" i="39"/>
  <c r="P5" i="111"/>
  <c r="P30" i="111" s="1"/>
  <c r="M98" i="39"/>
  <c r="J23" i="13"/>
  <c r="I23" i="13"/>
  <c r="R23" i="13"/>
  <c r="N23" i="13"/>
  <c r="K23" i="13"/>
  <c r="Q23" i="13"/>
  <c r="F23" i="13"/>
  <c r="E23" i="13"/>
  <c r="H23" i="13"/>
  <c r="G23" i="13"/>
  <c r="L23" i="13"/>
  <c r="M23" i="13"/>
  <c r="P23" i="13"/>
  <c r="O23" i="13"/>
  <c r="D23" i="13"/>
  <c r="D25" i="13" s="1"/>
  <c r="D75" i="39"/>
  <c r="C75" i="39"/>
  <c r="Q20" i="108" l="1"/>
  <c r="P99" i="39" s="1"/>
  <c r="L18" i="39"/>
  <c r="H7" i="56" s="1"/>
  <c r="J25" i="13"/>
  <c r="H18" i="39"/>
  <c r="F25" i="13"/>
  <c r="J18" i="39"/>
  <c r="F7" i="56" s="1"/>
  <c r="H25" i="13"/>
  <c r="S18" i="39"/>
  <c r="Q25" i="13"/>
  <c r="M18" i="39"/>
  <c r="K25" i="13"/>
  <c r="G18" i="39"/>
  <c r="E25" i="13"/>
  <c r="R18" i="39"/>
  <c r="P25" i="13"/>
  <c r="P18" i="39"/>
  <c r="N25" i="13"/>
  <c r="O18" i="39"/>
  <c r="M25" i="13"/>
  <c r="T18" i="39"/>
  <c r="R25" i="13"/>
  <c r="Q18" i="39"/>
  <c r="O25" i="13"/>
  <c r="N18" i="39"/>
  <c r="L25" i="13"/>
  <c r="I18" i="39"/>
  <c r="E7" i="56" s="1"/>
  <c r="G25" i="13"/>
  <c r="K18" i="39"/>
  <c r="I25" i="13"/>
  <c r="R27" i="39"/>
  <c r="Q6" i="112" s="1"/>
  <c r="Q7" i="112" s="1"/>
  <c r="P65" i="39"/>
  <c r="N98" i="39"/>
  <c r="Q5" i="111"/>
  <c r="Q30" i="111" s="1"/>
  <c r="F18" i="39"/>
  <c r="I7" i="56" l="1"/>
  <c r="K7" i="56"/>
  <c r="G7" i="56"/>
  <c r="B4" i="57"/>
  <c r="B5" i="57" s="1"/>
  <c r="D7" i="56"/>
  <c r="C7" i="56"/>
  <c r="J7" i="56"/>
  <c r="S27" i="39"/>
  <c r="R6" i="112" s="1"/>
  <c r="R7" i="112" s="1"/>
  <c r="Q65" i="39"/>
  <c r="O98" i="39"/>
  <c r="R5" i="111"/>
  <c r="R30" i="111" s="1"/>
  <c r="F22" i="56"/>
  <c r="C22" i="56"/>
  <c r="B22" i="56"/>
  <c r="B7" i="56"/>
  <c r="T27" i="39" l="1"/>
  <c r="S6" i="112" s="1"/>
  <c r="S7" i="112" s="1"/>
  <c r="R65" i="39"/>
  <c r="P98" i="39"/>
  <c r="S5" i="111"/>
  <c r="S30" i="111" s="1"/>
  <c r="E22" i="56"/>
  <c r="D22" i="56"/>
  <c r="S65" i="39" l="1"/>
  <c r="Q98" i="39"/>
  <c r="T5" i="111"/>
  <c r="T30" i="111" s="1"/>
  <c r="T100" i="39" l="1"/>
  <c r="V21" i="111" l="1"/>
  <c r="C14" i="112" l="1"/>
  <c r="E14" i="112" s="1"/>
  <c r="G82" i="16"/>
  <c r="E83" i="16" s="1"/>
  <c r="H83" i="16" s="1"/>
  <c r="C63" i="39" s="1"/>
  <c r="C64" i="39"/>
  <c r="C22" i="111"/>
  <c r="D36" i="111" s="1"/>
  <c r="D14" i="112" l="1"/>
  <c r="E40" i="111"/>
  <c r="C16" i="112"/>
  <c r="C18" i="112" s="1"/>
  <c r="C20" i="112" s="1"/>
  <c r="C66" i="39"/>
  <c r="F14" i="112"/>
  <c r="I83" i="16"/>
  <c r="F83" i="16"/>
  <c r="G83" i="16" s="1"/>
  <c r="E84" i="16" s="1"/>
  <c r="C76" i="39" l="1"/>
  <c r="K83" i="16"/>
  <c r="H84" i="16"/>
  <c r="F84" i="16"/>
  <c r="G84" i="16" s="1"/>
  <c r="E85" i="16" s="1"/>
  <c r="E86" i="16" s="1"/>
  <c r="G14" i="112"/>
  <c r="H14" i="112" l="1"/>
  <c r="H85" i="16"/>
  <c r="D63" i="39" s="1"/>
  <c r="F85" i="16"/>
  <c r="I84" i="16"/>
  <c r="D16" i="112" l="1"/>
  <c r="D18" i="112" s="1"/>
  <c r="D20" i="112" s="1"/>
  <c r="D66" i="39"/>
  <c r="D76" i="39" s="1"/>
  <c r="H86" i="16"/>
  <c r="G85" i="16"/>
  <c r="F86" i="16"/>
  <c r="G86" i="16" s="1"/>
  <c r="I85" i="16"/>
  <c r="I14" i="112"/>
  <c r="K84" i="16"/>
  <c r="J14" i="112" l="1"/>
  <c r="I86" i="16"/>
  <c r="K85" i="16"/>
  <c r="K86" i="16" s="1"/>
  <c r="B71" i="16" l="1"/>
  <c r="B12" i="16"/>
  <c r="K14" i="112"/>
  <c r="B72" i="16" l="1"/>
  <c r="D11" i="111" s="1"/>
  <c r="D12" i="111" s="1"/>
  <c r="B75" i="16"/>
  <c r="L14" i="112"/>
  <c r="C37" i="39"/>
  <c r="C39" i="39" s="1"/>
  <c r="B13" i="16"/>
  <c r="E11" i="111" l="1"/>
  <c r="E12" i="111" s="1"/>
  <c r="E13" i="111" s="1"/>
  <c r="E16" i="111" s="1"/>
  <c r="B77" i="16"/>
  <c r="J82" i="16"/>
  <c r="C23" i="111"/>
  <c r="C85" i="39"/>
  <c r="J83" i="16"/>
  <c r="J84" i="16"/>
  <c r="J85" i="16"/>
  <c r="J86" i="16" s="1"/>
  <c r="E8" i="39"/>
  <c r="I16" i="13"/>
  <c r="I11" i="13" s="1"/>
  <c r="Q16" i="13"/>
  <c r="Q11" i="13" s="1"/>
  <c r="J16" i="13"/>
  <c r="J11" i="13" s="1"/>
  <c r="R16" i="13"/>
  <c r="R11" i="13" s="1"/>
  <c r="K16" i="13"/>
  <c r="K11" i="13" s="1"/>
  <c r="D16" i="13"/>
  <c r="D11" i="13" s="1"/>
  <c r="L16" i="13"/>
  <c r="L11" i="13" s="1"/>
  <c r="E16" i="13"/>
  <c r="E11" i="13" s="1"/>
  <c r="M16" i="13"/>
  <c r="M11" i="13" s="1"/>
  <c r="F16" i="13"/>
  <c r="F11" i="13" s="1"/>
  <c r="N16" i="13"/>
  <c r="N11" i="13" s="1"/>
  <c r="G16" i="13"/>
  <c r="G11" i="13" s="1"/>
  <c r="O16" i="13"/>
  <c r="O11" i="13" s="1"/>
  <c r="H16" i="13"/>
  <c r="H11" i="13" s="1"/>
  <c r="P16" i="13"/>
  <c r="P11" i="13" s="1"/>
  <c r="D42" i="39"/>
  <c r="D43" i="39"/>
  <c r="M14" i="112"/>
  <c r="C86" i="39" l="1"/>
  <c r="E90" i="39"/>
  <c r="D24" i="111"/>
  <c r="C24" i="111"/>
  <c r="T19" i="39"/>
  <c r="R11" i="110"/>
  <c r="R13" i="110" s="1"/>
  <c r="R18" i="13"/>
  <c r="L19" i="39"/>
  <c r="J11" i="110"/>
  <c r="J13" i="110" s="1"/>
  <c r="J18" i="13"/>
  <c r="M19" i="39"/>
  <c r="K18" i="13"/>
  <c r="K11" i="110"/>
  <c r="K13" i="110" s="1"/>
  <c r="S19" i="39"/>
  <c r="Q18" i="13"/>
  <c r="Q11" i="110"/>
  <c r="Q13" i="110" s="1"/>
  <c r="K19" i="39"/>
  <c r="I18" i="13"/>
  <c r="I11" i="110"/>
  <c r="I13" i="110" s="1"/>
  <c r="I19" i="39"/>
  <c r="G18" i="13"/>
  <c r="G11" i="110"/>
  <c r="G13" i="110" s="1"/>
  <c r="P19" i="39"/>
  <c r="N18" i="13"/>
  <c r="N11" i="110"/>
  <c r="N13" i="110" s="1"/>
  <c r="G19" i="39"/>
  <c r="E18" i="13"/>
  <c r="E11" i="110"/>
  <c r="E13" i="110" s="1"/>
  <c r="C8" i="39"/>
  <c r="D8" i="39"/>
  <c r="E9" i="39"/>
  <c r="E25" i="56"/>
  <c r="F25" i="56"/>
  <c r="D25" i="56"/>
  <c r="D44" i="39"/>
  <c r="O19" i="39"/>
  <c r="M18" i="13"/>
  <c r="M11" i="110"/>
  <c r="M13" i="110" s="1"/>
  <c r="N19" i="39"/>
  <c r="L18" i="13"/>
  <c r="L11" i="110"/>
  <c r="L13" i="110" s="1"/>
  <c r="Q19" i="39"/>
  <c r="O18" i="13"/>
  <c r="O11" i="110"/>
  <c r="O13" i="110" s="1"/>
  <c r="N14" i="112"/>
  <c r="H19" i="39"/>
  <c r="F18" i="13"/>
  <c r="F11" i="110"/>
  <c r="F13" i="110" s="1"/>
  <c r="R19" i="39"/>
  <c r="P18" i="13"/>
  <c r="P11" i="110"/>
  <c r="P13" i="110" s="1"/>
  <c r="J19" i="39"/>
  <c r="H18" i="13"/>
  <c r="H11" i="110"/>
  <c r="H13" i="110" s="1"/>
  <c r="F19" i="39"/>
  <c r="D18" i="13"/>
  <c r="D11" i="110"/>
  <c r="D13" i="110" s="1"/>
  <c r="E16" i="112" l="1"/>
  <c r="E91" i="39"/>
  <c r="I89" i="39"/>
  <c r="L89" i="39"/>
  <c r="G89" i="39"/>
  <c r="K89" i="39"/>
  <c r="E89" i="39"/>
  <c r="H89" i="39"/>
  <c r="J89" i="39"/>
  <c r="F89" i="39"/>
  <c r="R20" i="39"/>
  <c r="O14" i="112"/>
  <c r="G20" i="39"/>
  <c r="C8" i="56"/>
  <c r="C6" i="56" s="1"/>
  <c r="C9" i="56" s="1"/>
  <c r="I20" i="39"/>
  <c r="B7" i="57"/>
  <c r="E8" i="56"/>
  <c r="M20" i="39"/>
  <c r="I8" i="56"/>
  <c r="I6" i="56" s="1"/>
  <c r="I9" i="56" s="1"/>
  <c r="N8" i="112"/>
  <c r="N70" i="39"/>
  <c r="M18" i="110"/>
  <c r="M16" i="110"/>
  <c r="K8" i="112"/>
  <c r="K70" i="39"/>
  <c r="J18" i="110"/>
  <c r="J16" i="110"/>
  <c r="E8" i="112"/>
  <c r="E70" i="39"/>
  <c r="D16" i="110"/>
  <c r="D17" i="110" s="1"/>
  <c r="F7" i="111" s="1"/>
  <c r="D18" i="110"/>
  <c r="O8" i="112"/>
  <c r="O70" i="39"/>
  <c r="N18" i="110"/>
  <c r="N16" i="110"/>
  <c r="K20" i="39"/>
  <c r="G8" i="56"/>
  <c r="G6" i="56" s="1"/>
  <c r="G9" i="56" s="1"/>
  <c r="L20" i="39"/>
  <c r="H8" i="56"/>
  <c r="H6" i="56" s="1"/>
  <c r="H9" i="56" s="1"/>
  <c r="J8" i="112"/>
  <c r="J70" i="39"/>
  <c r="I18" i="110"/>
  <c r="I16" i="110"/>
  <c r="F20" i="39"/>
  <c r="B8" i="56"/>
  <c r="B6" i="56" s="1"/>
  <c r="B9" i="56" s="1"/>
  <c r="G8" i="112"/>
  <c r="G70" i="39"/>
  <c r="F18" i="110"/>
  <c r="F16" i="110"/>
  <c r="O20" i="39"/>
  <c r="K8" i="56"/>
  <c r="K6" i="56" s="1"/>
  <c r="K9" i="56" s="1"/>
  <c r="D9" i="39"/>
  <c r="R8" i="112"/>
  <c r="R70" i="39"/>
  <c r="Q16" i="110"/>
  <c r="Q18" i="110"/>
  <c r="C9" i="39"/>
  <c r="P20" i="39"/>
  <c r="S8" i="112"/>
  <c r="S70" i="39"/>
  <c r="T70" i="39"/>
  <c r="T75" i="39" s="1"/>
  <c r="T76" i="39" s="1"/>
  <c r="R18" i="110"/>
  <c r="R16" i="110"/>
  <c r="P8" i="112"/>
  <c r="P70" i="39"/>
  <c r="O16" i="110"/>
  <c r="O18" i="110"/>
  <c r="Q20" i="39"/>
  <c r="J20" i="39"/>
  <c r="F8" i="56"/>
  <c r="F6" i="56" s="1"/>
  <c r="F9" i="56" s="1"/>
  <c r="H20" i="39"/>
  <c r="D8" i="56"/>
  <c r="D6" i="56" s="1"/>
  <c r="D9" i="56" s="1"/>
  <c r="F8" i="112"/>
  <c r="F70" i="39"/>
  <c r="E18" i="110"/>
  <c r="E16" i="110"/>
  <c r="H8" i="112"/>
  <c r="H70" i="39"/>
  <c r="G18" i="110"/>
  <c r="G16" i="110"/>
  <c r="S20" i="39"/>
  <c r="L8" i="112"/>
  <c r="L70" i="39"/>
  <c r="K16" i="110"/>
  <c r="K18" i="110"/>
  <c r="T20" i="39"/>
  <c r="N20" i="39"/>
  <c r="J8" i="56"/>
  <c r="J6" i="56" s="1"/>
  <c r="J9" i="56" s="1"/>
  <c r="I8" i="112"/>
  <c r="I70" i="39"/>
  <c r="H18" i="110"/>
  <c r="H16" i="110"/>
  <c r="Q8" i="112"/>
  <c r="Q70" i="39"/>
  <c r="P18" i="110"/>
  <c r="P16" i="110"/>
  <c r="M8" i="112"/>
  <c r="M70" i="39"/>
  <c r="L16" i="110"/>
  <c r="L18" i="110"/>
  <c r="E17" i="110" l="1"/>
  <c r="G7" i="111" s="1"/>
  <c r="H31" i="111"/>
  <c r="H49" i="111" s="1"/>
  <c r="G71" i="39"/>
  <c r="F31" i="111"/>
  <c r="F49" i="111" s="1"/>
  <c r="E71" i="39"/>
  <c r="L71" i="39"/>
  <c r="M31" i="111"/>
  <c r="M49" i="111" s="1"/>
  <c r="K71" i="39"/>
  <c r="L31" i="111"/>
  <c r="L49" i="111" s="1"/>
  <c r="I71" i="39"/>
  <c r="J31" i="111"/>
  <c r="J49" i="111" s="1"/>
  <c r="G31" i="111"/>
  <c r="G49" i="111" s="1"/>
  <c r="F71" i="39"/>
  <c r="F90" i="39"/>
  <c r="J71" i="39"/>
  <c r="K31" i="111"/>
  <c r="K49" i="111" s="1"/>
  <c r="F26" i="39"/>
  <c r="C14" i="56"/>
  <c r="H71" i="39"/>
  <c r="I31" i="111"/>
  <c r="I49" i="111" s="1"/>
  <c r="O17" i="110"/>
  <c r="Q7" i="111" s="1"/>
  <c r="L17" i="110"/>
  <c r="N7" i="111" s="1"/>
  <c r="K17" i="110"/>
  <c r="M7" i="111" s="1"/>
  <c r="G17" i="110"/>
  <c r="I7" i="111" s="1"/>
  <c r="R17" i="110"/>
  <c r="T7" i="111" s="1"/>
  <c r="P17" i="110"/>
  <c r="R7" i="111" s="1"/>
  <c r="F17" i="112"/>
  <c r="E19" i="110"/>
  <c r="G25" i="39" s="1"/>
  <c r="F73" i="39" s="1"/>
  <c r="E20" i="110"/>
  <c r="F62" i="39" s="1"/>
  <c r="P22" i="39"/>
  <c r="O45" i="101"/>
  <c r="G22" i="39"/>
  <c r="F45" i="101"/>
  <c r="Q17" i="112"/>
  <c r="P20" i="110"/>
  <c r="Q62" i="39" s="1"/>
  <c r="P19" i="110"/>
  <c r="R25" i="39" s="1"/>
  <c r="Q73" i="39" s="1"/>
  <c r="N22" i="39"/>
  <c r="M45" i="101"/>
  <c r="S22" i="39"/>
  <c r="J22" i="39"/>
  <c r="I45" i="101"/>
  <c r="S17" i="112"/>
  <c r="T9" i="111"/>
  <c r="T33" i="111" s="1"/>
  <c r="R20" i="110"/>
  <c r="S62" i="39" s="1"/>
  <c r="R19" i="110"/>
  <c r="T25" i="39" s="1"/>
  <c r="S73" i="39" s="1"/>
  <c r="L22" i="39"/>
  <c r="K45" i="101"/>
  <c r="E17" i="112"/>
  <c r="D19" i="110"/>
  <c r="F25" i="39" s="1"/>
  <c r="E73" i="39" s="1"/>
  <c r="D20" i="110"/>
  <c r="E62" i="39" s="1"/>
  <c r="M17" i="110"/>
  <c r="O7" i="111" s="1"/>
  <c r="M22" i="39"/>
  <c r="L45" i="101"/>
  <c r="P14" i="112"/>
  <c r="F22" i="39"/>
  <c r="E45" i="101"/>
  <c r="N17" i="112"/>
  <c r="M20" i="110"/>
  <c r="N62" i="39" s="1"/>
  <c r="M19" i="110"/>
  <c r="O25" i="39" s="1"/>
  <c r="N73" i="39" s="1"/>
  <c r="E6" i="56"/>
  <c r="E9" i="56" s="1"/>
  <c r="E23" i="56"/>
  <c r="E21" i="56" s="1"/>
  <c r="E24" i="56" s="1"/>
  <c r="E26" i="56" s="1"/>
  <c r="B23" i="56"/>
  <c r="B21" i="56" s="1"/>
  <c r="C23" i="56"/>
  <c r="C21" i="56" s="1"/>
  <c r="C24" i="56" s="1"/>
  <c r="D23" i="56"/>
  <c r="D21" i="56" s="1"/>
  <c r="D24" i="56" s="1"/>
  <c r="D26" i="56" s="1"/>
  <c r="F23" i="56"/>
  <c r="H17" i="110"/>
  <c r="J7" i="111" s="1"/>
  <c r="T22" i="39"/>
  <c r="H17" i="112"/>
  <c r="G20" i="110"/>
  <c r="H62" i="39" s="1"/>
  <c r="G19" i="110"/>
  <c r="I25" i="39" s="1"/>
  <c r="H73" i="39" s="1"/>
  <c r="Q22" i="39"/>
  <c r="P45" i="101"/>
  <c r="R17" i="112"/>
  <c r="Q20" i="110"/>
  <c r="R62" i="39" s="1"/>
  <c r="Q19" i="110"/>
  <c r="S25" i="39" s="1"/>
  <c r="R73" i="39" s="1"/>
  <c r="O22" i="39"/>
  <c r="N45" i="101"/>
  <c r="I17" i="110"/>
  <c r="K7" i="111" s="1"/>
  <c r="M17" i="112"/>
  <c r="L19" i="110"/>
  <c r="N25" i="39" s="1"/>
  <c r="M73" i="39" s="1"/>
  <c r="L20" i="110"/>
  <c r="M62" i="39" s="1"/>
  <c r="I17" i="112"/>
  <c r="H20" i="110"/>
  <c r="I62" i="39" s="1"/>
  <c r="H19" i="110"/>
  <c r="J25" i="39" s="1"/>
  <c r="I73" i="39" s="1"/>
  <c r="L17" i="112"/>
  <c r="K20" i="110"/>
  <c r="L62" i="39" s="1"/>
  <c r="K19" i="110"/>
  <c r="M25" i="39" s="1"/>
  <c r="L73" i="39" s="1"/>
  <c r="P17" i="112"/>
  <c r="O20" i="110"/>
  <c r="P62" i="39" s="1"/>
  <c r="O19" i="110"/>
  <c r="Q25" i="39" s="1"/>
  <c r="P73" i="39" s="1"/>
  <c r="Q17" i="110"/>
  <c r="S7" i="111" s="1"/>
  <c r="C13" i="16"/>
  <c r="F17" i="110"/>
  <c r="H7" i="111" s="1"/>
  <c r="J17" i="112"/>
  <c r="I20" i="110"/>
  <c r="J62" i="39" s="1"/>
  <c r="I19" i="110"/>
  <c r="K25" i="39" s="1"/>
  <c r="J73" i="39" s="1"/>
  <c r="K22" i="39"/>
  <c r="J45" i="101"/>
  <c r="B24" i="57"/>
  <c r="R22" i="39"/>
  <c r="Q45" i="101"/>
  <c r="H22" i="39"/>
  <c r="E18" i="39"/>
  <c r="G45" i="101"/>
  <c r="G17" i="112"/>
  <c r="F19" i="110"/>
  <c r="H25" i="39" s="1"/>
  <c r="G73" i="39" s="1"/>
  <c r="F20" i="110"/>
  <c r="G62" i="39" s="1"/>
  <c r="N17" i="110"/>
  <c r="P7" i="111" s="1"/>
  <c r="J17" i="110"/>
  <c r="L7" i="111" s="1"/>
  <c r="I22" i="39"/>
  <c r="H45" i="101"/>
  <c r="E19" i="39"/>
  <c r="O17" i="112"/>
  <c r="N19" i="110"/>
  <c r="P25" i="39" s="1"/>
  <c r="O73" i="39" s="1"/>
  <c r="N20" i="110"/>
  <c r="O62" i="39" s="1"/>
  <c r="K17" i="112"/>
  <c r="J19" i="110"/>
  <c r="L25" i="39" s="1"/>
  <c r="K73" i="39" s="1"/>
  <c r="J20" i="110"/>
  <c r="K62" i="39" s="1"/>
  <c r="E72" i="39" l="1"/>
  <c r="F6" i="111"/>
  <c r="F48" i="111" s="1"/>
  <c r="F50" i="111" s="1"/>
  <c r="F16" i="112"/>
  <c r="G90" i="39"/>
  <c r="F91" i="39"/>
  <c r="T8" i="111"/>
  <c r="T32" i="111" s="1"/>
  <c r="F24" i="39"/>
  <c r="N24" i="39"/>
  <c r="R24" i="39"/>
  <c r="I24" i="39"/>
  <c r="N50" i="101"/>
  <c r="N51" i="101" s="1"/>
  <c r="N46" i="101"/>
  <c r="K46" i="101"/>
  <c r="K50" i="101"/>
  <c r="K51" i="101" s="1"/>
  <c r="O24" i="39"/>
  <c r="K24" i="39"/>
  <c r="D27" i="56"/>
  <c r="D28" i="56" s="1"/>
  <c r="M24" i="39"/>
  <c r="S24" i="39"/>
  <c r="I46" i="101"/>
  <c r="I50" i="101"/>
  <c r="I51" i="101" s="1"/>
  <c r="F50" i="101"/>
  <c r="F51" i="101" s="1"/>
  <c r="F46" i="101"/>
  <c r="C24" i="57"/>
  <c r="H24" i="39"/>
  <c r="P50" i="101"/>
  <c r="P51" i="101" s="1"/>
  <c r="P46" i="101"/>
  <c r="T24" i="39"/>
  <c r="P24" i="39"/>
  <c r="H50" i="101"/>
  <c r="H51" i="101" s="1"/>
  <c r="H46" i="101"/>
  <c r="G46" i="101"/>
  <c r="G50" i="101"/>
  <c r="G51" i="101" s="1"/>
  <c r="J46" i="101"/>
  <c r="J50" i="101"/>
  <c r="J51" i="101" s="1"/>
  <c r="B24" i="56"/>
  <c r="F21" i="56"/>
  <c r="F24" i="56" s="1"/>
  <c r="F26" i="56" s="1"/>
  <c r="E50" i="101"/>
  <c r="E51" i="101" s="1"/>
  <c r="E46" i="101"/>
  <c r="Q14" i="112"/>
  <c r="J24" i="39"/>
  <c r="M50" i="101"/>
  <c r="M51" i="101" s="1"/>
  <c r="M46" i="101"/>
  <c r="G24" i="39"/>
  <c r="B10" i="56"/>
  <c r="B11" i="56" s="1"/>
  <c r="L24" i="39"/>
  <c r="Q46" i="101"/>
  <c r="Q50" i="101"/>
  <c r="Q51" i="101" s="1"/>
  <c r="Q24" i="39"/>
  <c r="E27" i="56"/>
  <c r="E28" i="56" s="1"/>
  <c r="L50" i="101"/>
  <c r="L51" i="101" s="1"/>
  <c r="L46" i="101"/>
  <c r="O50" i="101"/>
  <c r="O51" i="101" s="1"/>
  <c r="O46" i="101"/>
  <c r="D14" i="56" l="1"/>
  <c r="G26" i="39"/>
  <c r="G16" i="112"/>
  <c r="H90" i="39"/>
  <c r="G91" i="39"/>
  <c r="L32" i="39"/>
  <c r="I97" i="39"/>
  <c r="I100" i="39" s="1"/>
  <c r="K61" i="39"/>
  <c r="K66" i="39" s="1"/>
  <c r="J61" i="39"/>
  <c r="J66" i="39" s="1"/>
  <c r="H97" i="39"/>
  <c r="H100" i="39" s="1"/>
  <c r="K32" i="39"/>
  <c r="H61" i="39"/>
  <c r="H66" i="39" s="1"/>
  <c r="I32" i="39"/>
  <c r="F97" i="39"/>
  <c r="F100" i="39" s="1"/>
  <c r="Q61" i="39"/>
  <c r="Q66" i="39" s="1"/>
  <c r="O97" i="39"/>
  <c r="O100" i="39" s="1"/>
  <c r="R32" i="39"/>
  <c r="R14" i="112"/>
  <c r="P61" i="39"/>
  <c r="P66" i="39" s="1"/>
  <c r="Q32" i="39"/>
  <c r="N97" i="39"/>
  <c r="N100" i="39" s="1"/>
  <c r="O61" i="39"/>
  <c r="O66" i="39" s="1"/>
  <c r="M97" i="39"/>
  <c r="M100" i="39" s="1"/>
  <c r="P32" i="39"/>
  <c r="L61" i="39"/>
  <c r="L66" i="39" s="1"/>
  <c r="J97" i="39"/>
  <c r="J100" i="39" s="1"/>
  <c r="M32" i="39"/>
  <c r="R61" i="39"/>
  <c r="R66" i="39" s="1"/>
  <c r="P97" i="39"/>
  <c r="P100" i="39" s="1"/>
  <c r="S32" i="39"/>
  <c r="N61" i="39"/>
  <c r="N66" i="39" s="1"/>
  <c r="L97" i="39"/>
  <c r="L100" i="39" s="1"/>
  <c r="O32" i="39"/>
  <c r="D24" i="57"/>
  <c r="B12" i="56"/>
  <c r="B13" i="56" s="1"/>
  <c r="I61" i="39"/>
  <c r="I66" i="39" s="1"/>
  <c r="G97" i="39"/>
  <c r="G100" i="39" s="1"/>
  <c r="J32" i="39"/>
  <c r="F27" i="56"/>
  <c r="F28" i="56" s="1"/>
  <c r="T32" i="39"/>
  <c r="Q97" i="39"/>
  <c r="Q100" i="39" s="1"/>
  <c r="S61" i="39"/>
  <c r="S66" i="39" s="1"/>
  <c r="G61" i="39"/>
  <c r="G66" i="39" s="1"/>
  <c r="E97" i="39"/>
  <c r="E100" i="39" s="1"/>
  <c r="H32" i="39"/>
  <c r="F28" i="39"/>
  <c r="E61" i="39"/>
  <c r="E66" i="39" s="1"/>
  <c r="C97" i="39"/>
  <c r="C100" i="39" s="1"/>
  <c r="F32" i="39"/>
  <c r="G28" i="39"/>
  <c r="F61" i="39"/>
  <c r="F66" i="39" s="1"/>
  <c r="D97" i="39"/>
  <c r="D100" i="39" s="1"/>
  <c r="G32" i="39"/>
  <c r="C10" i="56"/>
  <c r="C11" i="56" s="1"/>
  <c r="M61" i="39"/>
  <c r="M66" i="39" s="1"/>
  <c r="K97" i="39"/>
  <c r="K100" i="39" s="1"/>
  <c r="N32" i="39"/>
  <c r="H26" i="39" l="1"/>
  <c r="E14" i="56"/>
  <c r="B29" i="56" s="1"/>
  <c r="H16" i="112"/>
  <c r="I90" i="39"/>
  <c r="H91" i="39"/>
  <c r="F72" i="39"/>
  <c r="G6" i="111"/>
  <c r="G48" i="111" s="1"/>
  <c r="G50" i="111" s="1"/>
  <c r="C12" i="56"/>
  <c r="C13" i="56" s="1"/>
  <c r="D104" i="39"/>
  <c r="S14" i="112"/>
  <c r="D10" i="56"/>
  <c r="D11" i="56" s="1"/>
  <c r="C102" i="39"/>
  <c r="E24" i="57"/>
  <c r="B5" i="58"/>
  <c r="B8" i="58" s="1"/>
  <c r="B15" i="56"/>
  <c r="C104" i="39"/>
  <c r="F14" i="56" l="1"/>
  <c r="I26" i="39"/>
  <c r="J90" i="39"/>
  <c r="I91" i="39"/>
  <c r="I16" i="112"/>
  <c r="E29" i="56"/>
  <c r="E30" i="56" s="1"/>
  <c r="C37" i="56" s="1"/>
  <c r="C29" i="56"/>
  <c r="F29" i="56"/>
  <c r="F30" i="56" s="1"/>
  <c r="C38" i="56" s="1"/>
  <c r="D29" i="56"/>
  <c r="D30" i="56" s="1"/>
  <c r="C36" i="56" s="1"/>
  <c r="G72" i="39"/>
  <c r="H6" i="111"/>
  <c r="H48" i="111" s="1"/>
  <c r="H50" i="111" s="1"/>
  <c r="H28" i="39"/>
  <c r="E104" i="39" s="1"/>
  <c r="C103" i="39"/>
  <c r="C110" i="39" s="1"/>
  <c r="C111" i="39" s="1"/>
  <c r="D101" i="39"/>
  <c r="D102" i="39" s="1"/>
  <c r="D12" i="56"/>
  <c r="D13" i="56" s="1"/>
  <c r="B9" i="57"/>
  <c r="E10" i="56"/>
  <c r="C5" i="58"/>
  <c r="C8" i="58" s="1"/>
  <c r="C15" i="58" s="1"/>
  <c r="C15" i="56"/>
  <c r="F24" i="57"/>
  <c r="B15" i="58"/>
  <c r="J26" i="39" l="1"/>
  <c r="G14" i="56"/>
  <c r="K90" i="39"/>
  <c r="J91" i="39"/>
  <c r="J16" i="112"/>
  <c r="I6" i="111"/>
  <c r="I48" i="111" s="1"/>
  <c r="I50" i="111" s="1"/>
  <c r="H72" i="39"/>
  <c r="I28" i="39"/>
  <c r="F104" i="39" s="1"/>
  <c r="C112" i="39"/>
  <c r="C25" i="56"/>
  <c r="C26" i="56" s="1"/>
  <c r="B25" i="56"/>
  <c r="B26" i="56" s="1"/>
  <c r="E11" i="56"/>
  <c r="C105" i="39"/>
  <c r="C106" i="39"/>
  <c r="F10" i="56"/>
  <c r="F11" i="56" s="1"/>
  <c r="B26" i="57"/>
  <c r="B10" i="57"/>
  <c r="B11" i="57" s="1"/>
  <c r="D5" i="58"/>
  <c r="D8" i="58" s="1"/>
  <c r="D15" i="58" s="1"/>
  <c r="D15" i="56"/>
  <c r="E101" i="39"/>
  <c r="E102" i="39" s="1"/>
  <c r="D103" i="39"/>
  <c r="H14" i="56" l="1"/>
  <c r="K26" i="39"/>
  <c r="K16" i="112"/>
  <c r="K91" i="39"/>
  <c r="L90" i="39"/>
  <c r="J6" i="111"/>
  <c r="J48" i="111" s="1"/>
  <c r="J50" i="111" s="1"/>
  <c r="I72" i="39"/>
  <c r="J28" i="39"/>
  <c r="G104" i="39" s="1"/>
  <c r="D110" i="39"/>
  <c r="D111" i="39" s="1"/>
  <c r="D112" i="39"/>
  <c r="E12" i="56"/>
  <c r="E13" i="56" s="1"/>
  <c r="C26" i="57"/>
  <c r="B27" i="57"/>
  <c r="B28" i="57" s="1"/>
  <c r="C31" i="57" s="1"/>
  <c r="D105" i="39"/>
  <c r="D106" i="39"/>
  <c r="G10" i="56"/>
  <c r="G11" i="56" s="1"/>
  <c r="B27" i="56"/>
  <c r="B28" i="56" s="1"/>
  <c r="B30" i="56" s="1"/>
  <c r="C33" i="56" s="1"/>
  <c r="F12" i="56"/>
  <c r="F13" i="56" s="1"/>
  <c r="C27" i="56"/>
  <c r="C28" i="56" s="1"/>
  <c r="C30" i="56" s="1"/>
  <c r="C35" i="56" s="1"/>
  <c r="F101" i="39"/>
  <c r="F102" i="39" s="1"/>
  <c r="E103" i="39"/>
  <c r="L16" i="112" l="1"/>
  <c r="M90" i="39"/>
  <c r="L91" i="39"/>
  <c r="I14" i="56"/>
  <c r="L26" i="39"/>
  <c r="J72" i="39"/>
  <c r="K6" i="111"/>
  <c r="K48" i="111" s="1"/>
  <c r="K50" i="111" s="1"/>
  <c r="K28" i="39"/>
  <c r="H104" i="39" s="1"/>
  <c r="E110" i="39"/>
  <c r="E111" i="39" s="1"/>
  <c r="E112" i="39"/>
  <c r="E5" i="58"/>
  <c r="E8" i="58" s="1"/>
  <c r="E15" i="56"/>
  <c r="D35" i="56"/>
  <c r="H10" i="56"/>
  <c r="H11" i="56" s="1"/>
  <c r="G12" i="56"/>
  <c r="G13" i="56" s="1"/>
  <c r="F5" i="58"/>
  <c r="F8" i="58" s="1"/>
  <c r="F15" i="58" s="1"/>
  <c r="F15" i="56"/>
  <c r="D36" i="56"/>
  <c r="D37" i="56"/>
  <c r="D38" i="56"/>
  <c r="E105" i="39"/>
  <c r="E106" i="39"/>
  <c r="E26" i="57"/>
  <c r="E27" i="57" s="1"/>
  <c r="E28" i="57" s="1"/>
  <c r="C35" i="57" s="1"/>
  <c r="D26" i="57"/>
  <c r="C27" i="57"/>
  <c r="C28" i="57" s="1"/>
  <c r="C33" i="57" s="1"/>
  <c r="G101" i="39"/>
  <c r="G102" i="39" s="1"/>
  <c r="F103" i="39"/>
  <c r="L6" i="111" l="1"/>
  <c r="L48" i="111" s="1"/>
  <c r="L50" i="111" s="1"/>
  <c r="K72" i="39"/>
  <c r="L28" i="39"/>
  <c r="I104" i="39" s="1"/>
  <c r="J14" i="56"/>
  <c r="M26" i="39"/>
  <c r="M16" i="112"/>
  <c r="N90" i="39"/>
  <c r="M91" i="39"/>
  <c r="F110" i="39"/>
  <c r="F111" i="39" s="1"/>
  <c r="F112" i="39"/>
  <c r="I10" i="56"/>
  <c r="I11" i="56" s="1"/>
  <c r="G5" i="58"/>
  <c r="G8" i="58" s="1"/>
  <c r="G15" i="58" s="1"/>
  <c r="G15" i="56"/>
  <c r="H101" i="39"/>
  <c r="H102" i="39" s="1"/>
  <c r="G103" i="39"/>
  <c r="H12" i="56"/>
  <c r="H13" i="56" s="1"/>
  <c r="F26" i="57"/>
  <c r="F27" i="57" s="1"/>
  <c r="F28" i="57" s="1"/>
  <c r="C36" i="57" s="1"/>
  <c r="D27" i="57"/>
  <c r="D28" i="57" s="1"/>
  <c r="C34" i="57" s="1"/>
  <c r="F105" i="39"/>
  <c r="F106" i="39"/>
  <c r="E15" i="58"/>
  <c r="L72" i="39" l="1"/>
  <c r="M6" i="111"/>
  <c r="M48" i="111" s="1"/>
  <c r="M50" i="111" s="1"/>
  <c r="M28" i="39"/>
  <c r="J104" i="39" s="1"/>
  <c r="N16" i="112"/>
  <c r="N91" i="39"/>
  <c r="O90" i="39"/>
  <c r="N26" i="39"/>
  <c r="K14" i="56"/>
  <c r="G110" i="39"/>
  <c r="G111" i="39" s="1"/>
  <c r="G112" i="39"/>
  <c r="H5" i="58"/>
  <c r="H8" i="58" s="1"/>
  <c r="H15" i="58" s="1"/>
  <c r="H15" i="56"/>
  <c r="I12" i="56"/>
  <c r="I13" i="56" s="1"/>
  <c r="H103" i="39"/>
  <c r="I101" i="39"/>
  <c r="I102" i="39" s="1"/>
  <c r="J10" i="56"/>
  <c r="J11" i="56" s="1"/>
  <c r="G105" i="39"/>
  <c r="G106" i="39"/>
  <c r="O16" i="112" l="1"/>
  <c r="O91" i="39"/>
  <c r="P90" i="39"/>
  <c r="O26" i="39"/>
  <c r="M72" i="39"/>
  <c r="N6" i="111"/>
  <c r="N48" i="111" s="1"/>
  <c r="N50" i="111" s="1"/>
  <c r="N52" i="111" s="1"/>
  <c r="N28" i="39"/>
  <c r="K104" i="39" s="1"/>
  <c r="H110" i="39"/>
  <c r="H111" i="39" s="1"/>
  <c r="H112" i="39"/>
  <c r="I5" i="58"/>
  <c r="I8" i="58" s="1"/>
  <c r="I15" i="56"/>
  <c r="I103" i="39"/>
  <c r="J101" i="39"/>
  <c r="J102" i="39" s="1"/>
  <c r="H105" i="39"/>
  <c r="H106" i="39"/>
  <c r="K10" i="56"/>
  <c r="K11" i="56" s="1"/>
  <c r="J12" i="56"/>
  <c r="J13" i="56" s="1"/>
  <c r="O6" i="111" l="1"/>
  <c r="O48" i="111" s="1"/>
  <c r="O50" i="111" s="1"/>
  <c r="O52" i="111" s="1"/>
  <c r="N72" i="39"/>
  <c r="O28" i="39"/>
  <c r="L104" i="39" s="1"/>
  <c r="P16" i="112"/>
  <c r="P91" i="39"/>
  <c r="Q90" i="39"/>
  <c r="P26" i="39"/>
  <c r="I110" i="39"/>
  <c r="I111" i="39" s="1"/>
  <c r="I112" i="39"/>
  <c r="K12" i="56"/>
  <c r="K13" i="56" s="1"/>
  <c r="K15" i="56" s="1"/>
  <c r="I15" i="58"/>
  <c r="B17" i="58"/>
  <c r="I105" i="39"/>
  <c r="I106" i="39"/>
  <c r="J103" i="39"/>
  <c r="K101" i="39"/>
  <c r="K102" i="39" s="1"/>
  <c r="J5" i="58"/>
  <c r="J8" i="58" s="1"/>
  <c r="J15" i="58" s="1"/>
  <c r="J15" i="56"/>
  <c r="O72" i="39" l="1"/>
  <c r="P6" i="111"/>
  <c r="P48" i="111" s="1"/>
  <c r="P50" i="111" s="1"/>
  <c r="P52" i="111" s="1"/>
  <c r="P28" i="39"/>
  <c r="M104" i="39" s="1"/>
  <c r="Q16" i="112"/>
  <c r="R90" i="39"/>
  <c r="Q91" i="39"/>
  <c r="Q26" i="39"/>
  <c r="J110" i="39"/>
  <c r="J111" i="39" s="1"/>
  <c r="J112" i="39"/>
  <c r="K103" i="39"/>
  <c r="L101" i="39"/>
  <c r="L102" i="39" s="1"/>
  <c r="J105" i="39"/>
  <c r="J106" i="39"/>
  <c r="P72" i="39" l="1"/>
  <c r="Q6" i="111"/>
  <c r="Q48" i="111" s="1"/>
  <c r="Q50" i="111" s="1"/>
  <c r="Q52" i="111" s="1"/>
  <c r="Q28" i="39"/>
  <c r="N104" i="39" s="1"/>
  <c r="R26" i="39"/>
  <c r="R16" i="112"/>
  <c r="S90" i="39"/>
  <c r="R91" i="39"/>
  <c r="K110" i="39"/>
  <c r="K111" i="39" s="1"/>
  <c r="K112" i="39"/>
  <c r="M101" i="39"/>
  <c r="M102" i="39" s="1"/>
  <c r="L103" i="39"/>
  <c r="K105" i="39"/>
  <c r="K106" i="39"/>
  <c r="S16" i="112" l="1"/>
  <c r="S91" i="39"/>
  <c r="T26" i="39" s="1"/>
  <c r="Q72" i="39"/>
  <c r="R6" i="111"/>
  <c r="R48" i="111" s="1"/>
  <c r="R50" i="111" s="1"/>
  <c r="R52" i="111" s="1"/>
  <c r="R28" i="39"/>
  <c r="O104" i="39" s="1"/>
  <c r="S26" i="39"/>
  <c r="L110" i="39"/>
  <c r="L111" i="39" s="1"/>
  <c r="L112" i="39"/>
  <c r="L105" i="39"/>
  <c r="L106" i="39"/>
  <c r="N101" i="39"/>
  <c r="N102" i="39" s="1"/>
  <c r="M103" i="39"/>
  <c r="R72" i="39" l="1"/>
  <c r="S6" i="111"/>
  <c r="S48" i="111" s="1"/>
  <c r="S50" i="111" s="1"/>
  <c r="S52" i="111" s="1"/>
  <c r="S28" i="39"/>
  <c r="P104" i="39" s="1"/>
  <c r="S72" i="39"/>
  <c r="T6" i="111"/>
  <c r="T48" i="111" s="1"/>
  <c r="T50" i="111" s="1"/>
  <c r="T52" i="111" s="1"/>
  <c r="T28" i="39"/>
  <c r="Q104" i="39" s="1"/>
  <c r="M110" i="39"/>
  <c r="M111" i="39" s="1"/>
  <c r="M112" i="39"/>
  <c r="M105" i="39"/>
  <c r="M106" i="39"/>
  <c r="O101" i="39"/>
  <c r="O102" i="39" s="1"/>
  <c r="N103" i="39"/>
  <c r="N110" i="39" l="1"/>
  <c r="N111" i="39" s="1"/>
  <c r="N112" i="39"/>
  <c r="N105" i="39"/>
  <c r="N106" i="39"/>
  <c r="P101" i="39"/>
  <c r="P102" i="39" s="1"/>
  <c r="O103" i="39"/>
  <c r="O110" i="39" l="1"/>
  <c r="O111" i="39" s="1"/>
  <c r="O112" i="39"/>
  <c r="O105" i="39"/>
  <c r="O106" i="39"/>
  <c r="Q101" i="39"/>
  <c r="Q102" i="39" s="1"/>
  <c r="P103" i="39"/>
  <c r="P110" i="39" l="1"/>
  <c r="P111" i="39" s="1"/>
  <c r="P112" i="39"/>
  <c r="P105" i="39"/>
  <c r="P106" i="39"/>
  <c r="Q103" i="39"/>
  <c r="R101" i="39"/>
  <c r="R102" i="39" s="1"/>
  <c r="Q110" i="39" l="1"/>
  <c r="Q111" i="39" s="1"/>
  <c r="Q112" i="39"/>
  <c r="R103" i="39"/>
  <c r="S101" i="39"/>
  <c r="S102" i="39" s="1"/>
  <c r="Q105" i="39"/>
  <c r="Q106" i="39"/>
  <c r="R110" i="39" l="1"/>
  <c r="R111" i="39" s="1"/>
  <c r="R112" i="39"/>
  <c r="U112" i="39" s="1"/>
  <c r="R105" i="39"/>
  <c r="R106" i="39"/>
  <c r="S103" i="39"/>
  <c r="T101" i="39"/>
  <c r="T102" i="39" s="1"/>
  <c r="T103" i="39" s="1"/>
  <c r="R113" i="39" l="1"/>
  <c r="R107" i="39" s="1"/>
  <c r="R108" i="39" s="1"/>
  <c r="C113" i="39"/>
  <c r="C107" i="39" s="1"/>
  <c r="C108" i="39" s="1"/>
  <c r="D113" i="39"/>
  <c r="D107" i="39" s="1"/>
  <c r="D108" i="39" s="1"/>
  <c r="E113" i="39"/>
  <c r="E107" i="39" s="1"/>
  <c r="E108" i="39" s="1"/>
  <c r="F113" i="39"/>
  <c r="F107" i="39" s="1"/>
  <c r="F108" i="39" s="1"/>
  <c r="G113" i="39"/>
  <c r="G107" i="39" s="1"/>
  <c r="G108" i="39" s="1"/>
  <c r="H113" i="39"/>
  <c r="H107" i="39" s="1"/>
  <c r="H108" i="39" s="1"/>
  <c r="I113" i="39"/>
  <c r="I107" i="39" s="1"/>
  <c r="I108" i="39" s="1"/>
  <c r="J113" i="39"/>
  <c r="J107" i="39" s="1"/>
  <c r="J108" i="39" s="1"/>
  <c r="K113" i="39"/>
  <c r="K107" i="39" s="1"/>
  <c r="K108" i="39" s="1"/>
  <c r="L113" i="39"/>
  <c r="L107" i="39" s="1"/>
  <c r="L108" i="39" s="1"/>
  <c r="M113" i="39"/>
  <c r="M107" i="39" s="1"/>
  <c r="M108" i="39" s="1"/>
  <c r="N113" i="39"/>
  <c r="N107" i="39" s="1"/>
  <c r="N108" i="39" s="1"/>
  <c r="O113" i="39"/>
  <c r="O107" i="39" s="1"/>
  <c r="O108" i="39" s="1"/>
  <c r="P113" i="39"/>
  <c r="P107" i="39" s="1"/>
  <c r="P108" i="39" s="1"/>
  <c r="S110" i="39"/>
  <c r="S111" i="39" s="1"/>
  <c r="S112" i="39"/>
  <c r="T110" i="39"/>
  <c r="T112" i="39"/>
  <c r="Q113" i="39"/>
  <c r="Q107" i="39" s="1"/>
  <c r="Q108" i="39" s="1"/>
  <c r="S105" i="39"/>
  <c r="S106" i="39"/>
  <c r="T105" i="39"/>
  <c r="T106" i="39"/>
  <c r="T111" i="39" l="1"/>
  <c r="T113" i="39" s="1"/>
  <c r="T107" i="39" s="1"/>
  <c r="T108" i="39" s="1"/>
  <c r="S113" i="39"/>
  <c r="S107" i="39" s="1"/>
  <c r="S108" i="39" s="1"/>
  <c r="M29" i="39"/>
  <c r="K29" i="39"/>
  <c r="N29" i="39"/>
  <c r="I29" i="39"/>
  <c r="T29" i="39"/>
  <c r="S29" i="39"/>
  <c r="J29" i="39"/>
  <c r="H29" i="39"/>
  <c r="F29" i="39"/>
  <c r="L29" i="39"/>
  <c r="R29" i="39"/>
  <c r="Q29" i="39"/>
  <c r="P29" i="39"/>
  <c r="O29" i="39"/>
  <c r="G29" i="39"/>
  <c r="O74" i="39" l="1"/>
  <c r="O75" i="39" s="1"/>
  <c r="O76" i="39" s="1"/>
  <c r="P30" i="39"/>
  <c r="P4" i="111" s="1"/>
  <c r="F74" i="39"/>
  <c r="F75" i="39" s="1"/>
  <c r="F76" i="39" s="1"/>
  <c r="G30" i="39"/>
  <c r="G4" i="111" s="1"/>
  <c r="H74" i="39"/>
  <c r="H75" i="39" s="1"/>
  <c r="H76" i="39" s="1"/>
  <c r="I30" i="39"/>
  <c r="I4" i="111" s="1"/>
  <c r="J74" i="39"/>
  <c r="J75" i="39" s="1"/>
  <c r="J76" i="39" s="1"/>
  <c r="K30" i="39"/>
  <c r="K4" i="111" s="1"/>
  <c r="I74" i="39"/>
  <c r="I75" i="39" s="1"/>
  <c r="I76" i="39" s="1"/>
  <c r="J30" i="39"/>
  <c r="J4" i="111" s="1"/>
  <c r="L74" i="39"/>
  <c r="L75" i="39" s="1"/>
  <c r="L76" i="39" s="1"/>
  <c r="M30" i="39"/>
  <c r="M4" i="111" s="1"/>
  <c r="N74" i="39"/>
  <c r="N75" i="39" s="1"/>
  <c r="N76" i="39" s="1"/>
  <c r="O30" i="39"/>
  <c r="O4" i="111" s="1"/>
  <c r="E74" i="39"/>
  <c r="E75" i="39" s="1"/>
  <c r="E76" i="39" s="1"/>
  <c r="F30" i="39"/>
  <c r="R74" i="39"/>
  <c r="R75" i="39" s="1"/>
  <c r="R76" i="39" s="1"/>
  <c r="S30" i="39"/>
  <c r="S4" i="111" s="1"/>
  <c r="G74" i="39"/>
  <c r="G75" i="39" s="1"/>
  <c r="G76" i="39" s="1"/>
  <c r="H30" i="39"/>
  <c r="H4" i="111" s="1"/>
  <c r="S74" i="39"/>
  <c r="S75" i="39" s="1"/>
  <c r="S76" i="39" s="1"/>
  <c r="T30" i="39"/>
  <c r="T4" i="111" s="1"/>
  <c r="K74" i="39"/>
  <c r="K75" i="39" s="1"/>
  <c r="K76" i="39" s="1"/>
  <c r="L30" i="39"/>
  <c r="L4" i="111" s="1"/>
  <c r="P74" i="39"/>
  <c r="P75" i="39" s="1"/>
  <c r="P76" i="39" s="1"/>
  <c r="Q30" i="39"/>
  <c r="Q4" i="111" s="1"/>
  <c r="Q74" i="39"/>
  <c r="Q75" i="39" s="1"/>
  <c r="Q76" i="39" s="1"/>
  <c r="R30" i="39"/>
  <c r="R4" i="111" s="1"/>
  <c r="M74" i="39"/>
  <c r="M75" i="39" s="1"/>
  <c r="M76" i="39" s="1"/>
  <c r="N30" i="39"/>
  <c r="N4" i="111" s="1"/>
  <c r="L11" i="111" l="1"/>
  <c r="L12" i="111" s="1"/>
  <c r="L29" i="111"/>
  <c r="L35" i="111" s="1"/>
  <c r="L36" i="111" s="1"/>
  <c r="L51" i="111"/>
  <c r="L52" i="111" s="1"/>
  <c r="S11" i="111"/>
  <c r="S12" i="111" s="1"/>
  <c r="S29" i="111"/>
  <c r="S35" i="111" s="1"/>
  <c r="S36" i="111" s="1"/>
  <c r="S51" i="111"/>
  <c r="J29" i="111"/>
  <c r="J35" i="111" s="1"/>
  <c r="J36" i="111" s="1"/>
  <c r="J51" i="111"/>
  <c r="J52" i="111" s="1"/>
  <c r="J11" i="111"/>
  <c r="J12" i="111" s="1"/>
  <c r="R9" i="112"/>
  <c r="R10" i="112" s="1"/>
  <c r="T11" i="111"/>
  <c r="T12" i="111" s="1"/>
  <c r="T29" i="111"/>
  <c r="T35" i="111" s="1"/>
  <c r="T36" i="111" s="1"/>
  <c r="T51" i="111"/>
  <c r="G29" i="111"/>
  <c r="G35" i="111" s="1"/>
  <c r="G36" i="111" s="1"/>
  <c r="G51" i="111"/>
  <c r="G52" i="111" s="1"/>
  <c r="G11" i="111"/>
  <c r="G12" i="111" s="1"/>
  <c r="E9" i="112"/>
  <c r="E10" i="112" s="1"/>
  <c r="E77" i="39"/>
  <c r="F77" i="39" s="1"/>
  <c r="M11" i="111"/>
  <c r="M12" i="111" s="1"/>
  <c r="M29" i="111"/>
  <c r="M35" i="111" s="1"/>
  <c r="M36" i="111" s="1"/>
  <c r="M51" i="111"/>
  <c r="M52" i="111" s="1"/>
  <c r="J9" i="112"/>
  <c r="J10" i="112" s="1"/>
  <c r="P29" i="111"/>
  <c r="P35" i="111" s="1"/>
  <c r="P36" i="111" s="1"/>
  <c r="P51" i="111"/>
  <c r="P11" i="111"/>
  <c r="P12" i="111" s="1"/>
  <c r="K9" i="112"/>
  <c r="K10" i="112" s="1"/>
  <c r="K11" i="111"/>
  <c r="K12" i="111" s="1"/>
  <c r="K29" i="111"/>
  <c r="K35" i="111" s="1"/>
  <c r="K36" i="111" s="1"/>
  <c r="K51" i="111"/>
  <c r="K52" i="111" s="1"/>
  <c r="S9" i="112"/>
  <c r="S10" i="112" s="1"/>
  <c r="N9" i="112"/>
  <c r="N10" i="112" s="1"/>
  <c r="O9" i="112"/>
  <c r="O10" i="112" s="1"/>
  <c r="I9" i="112"/>
  <c r="I10" i="112" s="1"/>
  <c r="F31" i="39"/>
  <c r="F4" i="111"/>
  <c r="F9" i="112"/>
  <c r="F10" i="112" s="1"/>
  <c r="Q29" i="111"/>
  <c r="Q35" i="111" s="1"/>
  <c r="Q36" i="111" s="1"/>
  <c r="Q51" i="111"/>
  <c r="Q11" i="111"/>
  <c r="Q12" i="111" s="1"/>
  <c r="I29" i="111"/>
  <c r="I35" i="111" s="1"/>
  <c r="I36" i="111" s="1"/>
  <c r="I51" i="111"/>
  <c r="I52" i="111" s="1"/>
  <c r="I11" i="111"/>
  <c r="I12" i="111" s="1"/>
  <c r="N29" i="111"/>
  <c r="N35" i="111" s="1"/>
  <c r="N36" i="111" s="1"/>
  <c r="N51" i="111"/>
  <c r="N11" i="111"/>
  <c r="N12" i="111" s="1"/>
  <c r="M9" i="112"/>
  <c r="M10" i="112" s="1"/>
  <c r="L9" i="112"/>
  <c r="L10" i="112" s="1"/>
  <c r="O29" i="111"/>
  <c r="O35" i="111" s="1"/>
  <c r="O36" i="111" s="1"/>
  <c r="O51" i="111"/>
  <c r="O11" i="111"/>
  <c r="O12" i="111" s="1"/>
  <c r="R29" i="111"/>
  <c r="R35" i="111" s="1"/>
  <c r="R36" i="111" s="1"/>
  <c r="R51" i="111"/>
  <c r="R11" i="111"/>
  <c r="R12" i="111" s="1"/>
  <c r="H29" i="111"/>
  <c r="H35" i="111" s="1"/>
  <c r="H36" i="111" s="1"/>
  <c r="H51" i="111"/>
  <c r="H52" i="111" s="1"/>
  <c r="H11" i="111"/>
  <c r="H12" i="111" s="1"/>
  <c r="Q9" i="112"/>
  <c r="Q10" i="112" s="1"/>
  <c r="P9" i="112"/>
  <c r="P10" i="112" s="1"/>
  <c r="G9" i="112"/>
  <c r="G10" i="112" s="1"/>
  <c r="H9" i="112"/>
  <c r="H10" i="112" s="1"/>
  <c r="G77" i="39" l="1"/>
  <c r="H77" i="39" s="1"/>
  <c r="F29" i="111"/>
  <c r="F35" i="111" s="1"/>
  <c r="F36" i="111" s="1"/>
  <c r="G40" i="111" s="1"/>
  <c r="G41" i="111" s="1"/>
  <c r="G42" i="111" s="1"/>
  <c r="F51" i="111"/>
  <c r="F52" i="111" s="1"/>
  <c r="D53" i="111" s="1"/>
  <c r="F11" i="111"/>
  <c r="F16" i="111" s="1"/>
  <c r="E15" i="112"/>
  <c r="E18" i="112" s="1"/>
  <c r="E20" i="112" s="1"/>
  <c r="G31" i="39"/>
  <c r="I77" i="39" l="1"/>
  <c r="J77" i="39" s="1"/>
  <c r="H40" i="111"/>
  <c r="H41" i="111" s="1"/>
  <c r="H42" i="111" s="1"/>
  <c r="F15" i="112"/>
  <c r="F18" i="112" s="1"/>
  <c r="F20" i="112" s="1"/>
  <c r="H31" i="39"/>
  <c r="F12" i="111"/>
  <c r="F17" i="111"/>
  <c r="F18" i="111" s="1"/>
  <c r="F40" i="111"/>
  <c r="F41" i="111" s="1"/>
  <c r="F42" i="111" s="1"/>
  <c r="D37" i="111"/>
  <c r="I40" i="111" l="1"/>
  <c r="G15" i="112"/>
  <c r="G18" i="112" s="1"/>
  <c r="G20" i="112" s="1"/>
  <c r="I31" i="39"/>
  <c r="I41" i="111"/>
  <c r="I42" i="111" s="1"/>
  <c r="J40" i="111"/>
  <c r="D13" i="111"/>
  <c r="C25" i="111"/>
  <c r="G16" i="111"/>
  <c r="K77" i="39"/>
  <c r="J41" i="111" l="1"/>
  <c r="J42" i="111" s="1"/>
  <c r="D43" i="111" s="1"/>
  <c r="K40" i="111"/>
  <c r="H15" i="112"/>
  <c r="H18" i="112" s="1"/>
  <c r="H20" i="112" s="1"/>
  <c r="J31" i="39"/>
  <c r="L77" i="39"/>
  <c r="G17" i="111"/>
  <c r="G18" i="111" s="1"/>
  <c r="H16" i="111"/>
  <c r="M77" i="39" l="1"/>
  <c r="I15" i="112"/>
  <c r="I18" i="112" s="1"/>
  <c r="I20" i="112" s="1"/>
  <c r="K31" i="39"/>
  <c r="K41" i="111"/>
  <c r="K42" i="111" s="1"/>
  <c r="L40" i="111"/>
  <c r="H17" i="111"/>
  <c r="H18" i="111" s="1"/>
  <c r="I16" i="111"/>
  <c r="J15" i="112" l="1"/>
  <c r="J18" i="112" s="1"/>
  <c r="J20" i="112" s="1"/>
  <c r="L31" i="39"/>
  <c r="N77" i="39"/>
  <c r="I17" i="111"/>
  <c r="I18" i="111" s="1"/>
  <c r="J16" i="111"/>
  <c r="L41" i="111"/>
  <c r="L42" i="111" s="1"/>
  <c r="M40" i="111"/>
  <c r="K15" i="112" l="1"/>
  <c r="K18" i="112" s="1"/>
  <c r="K20" i="112" s="1"/>
  <c r="M31" i="39"/>
  <c r="O77" i="39"/>
  <c r="M41" i="111"/>
  <c r="M42" i="111" s="1"/>
  <c r="N40" i="111"/>
  <c r="J17" i="111"/>
  <c r="J18" i="111" s="1"/>
  <c r="D19" i="111" s="1"/>
  <c r="K16" i="111"/>
  <c r="L15" i="112" l="1"/>
  <c r="L18" i="112" s="1"/>
  <c r="L20" i="112" s="1"/>
  <c r="N31" i="39"/>
  <c r="P77" i="39"/>
  <c r="K17" i="111"/>
  <c r="K18" i="111" s="1"/>
  <c r="L16" i="111"/>
  <c r="N41" i="111"/>
  <c r="N42" i="111" s="1"/>
  <c r="O40" i="111"/>
  <c r="Q77" i="39" l="1"/>
  <c r="O41" i="111"/>
  <c r="O42" i="111" s="1"/>
  <c r="P40" i="111"/>
  <c r="L17" i="111"/>
  <c r="L18" i="111" s="1"/>
  <c r="M16" i="111"/>
  <c r="M15" i="112"/>
  <c r="M18" i="112" s="1"/>
  <c r="M20" i="112" s="1"/>
  <c r="O31" i="39"/>
  <c r="P41" i="111" l="1"/>
  <c r="P42" i="111" s="1"/>
  <c r="Q40" i="111"/>
  <c r="M17" i="111"/>
  <c r="M18" i="111" s="1"/>
  <c r="N16" i="111"/>
  <c r="R77" i="39"/>
  <c r="N15" i="112"/>
  <c r="N18" i="112" s="1"/>
  <c r="N20" i="112" s="1"/>
  <c r="P31" i="39"/>
  <c r="N17" i="111" l="1"/>
  <c r="N18" i="111" s="1"/>
  <c r="O16" i="111"/>
  <c r="O15" i="112"/>
  <c r="O18" i="112" s="1"/>
  <c r="O20" i="112" s="1"/>
  <c r="Q31" i="39"/>
  <c r="S77" i="39"/>
  <c r="Q41" i="111"/>
  <c r="Q42" i="111" s="1"/>
  <c r="R40" i="111"/>
  <c r="T77" i="39" l="1"/>
  <c r="P15" i="112"/>
  <c r="P18" i="112" s="1"/>
  <c r="P20" i="112" s="1"/>
  <c r="R31" i="39"/>
  <c r="R41" i="111"/>
  <c r="R42" i="111" s="1"/>
  <c r="S40" i="111"/>
  <c r="O17" i="111"/>
  <c r="O18" i="111" s="1"/>
  <c r="P16" i="111"/>
  <c r="P17" i="111" l="1"/>
  <c r="P18" i="111" s="1"/>
  <c r="Q16" i="111"/>
  <c r="Q15" i="112"/>
  <c r="Q18" i="112" s="1"/>
  <c r="Q20" i="112" s="1"/>
  <c r="S31" i="39"/>
  <c r="S41" i="111"/>
  <c r="S42" i="111" s="1"/>
  <c r="T40" i="111"/>
  <c r="T41" i="111" s="1"/>
  <c r="T42" i="111" s="1"/>
  <c r="R15" i="112" l="1"/>
  <c r="R18" i="112" s="1"/>
  <c r="R20" i="112" s="1"/>
  <c r="T31" i="39"/>
  <c r="S15" i="112" s="1"/>
  <c r="S18" i="112" s="1"/>
  <c r="S20" i="112" s="1"/>
  <c r="Q17" i="111"/>
  <c r="Q18" i="111" s="1"/>
  <c r="R16" i="111"/>
  <c r="R17" i="111" l="1"/>
  <c r="R18" i="111" s="1"/>
  <c r="S16" i="111"/>
  <c r="S17" i="111" l="1"/>
  <c r="S18" i="111" s="1"/>
  <c r="T16" i="111"/>
  <c r="T17" i="111" s="1"/>
  <c r="T18" i="11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option-chain-indices?symbol=NIFTY" description="Connection to the 'option-chain-indices?symbol=NIFTY' query in the workbook." type="5" refreshedVersion="7" background="1" saveData="1">
    <dbPr connection="Provider=Microsoft.Mashup.OleDb.1;Data Source=$Workbook$;Location=&quot;option-chain-indices?symbol=NIFTY&quot;;Extended Properties=&quot;&quot;" command="SELECT * FROM [option-chain-indices?symbol=NIFTY]"/>
  </connection>
</connections>
</file>

<file path=xl/sharedStrings.xml><?xml version="1.0" encoding="utf-8"?>
<sst xmlns="http://schemas.openxmlformats.org/spreadsheetml/2006/main" count="985" uniqueCount="600">
  <si>
    <t>Naphtha</t>
  </si>
  <si>
    <t>Product</t>
  </si>
  <si>
    <t>Labour</t>
  </si>
  <si>
    <t>Variable Overheads</t>
  </si>
  <si>
    <t>Fixed Overheads</t>
  </si>
  <si>
    <t>Selling Overheads</t>
  </si>
  <si>
    <t>Description</t>
  </si>
  <si>
    <t>Operating Period</t>
  </si>
  <si>
    <t>Operating Revenue</t>
  </si>
  <si>
    <t>Total Operating Cost</t>
  </si>
  <si>
    <t>Depreciation</t>
  </si>
  <si>
    <t>NPV</t>
  </si>
  <si>
    <t>Accounts Receivable</t>
  </si>
  <si>
    <t>DSO</t>
  </si>
  <si>
    <t>Days</t>
  </si>
  <si>
    <t>Change in sales/ mth.</t>
  </si>
  <si>
    <t>Change in AR</t>
  </si>
  <si>
    <t>Inventory (Impact of COGS change)</t>
  </si>
  <si>
    <t>DIO (Days Inventory)</t>
  </si>
  <si>
    <t>Change in COGS/ mth.</t>
  </si>
  <si>
    <t>Change in Inv.</t>
  </si>
  <si>
    <t>Accounts Payable</t>
  </si>
  <si>
    <t>DPO</t>
  </si>
  <si>
    <t>Change in payables/ mth.</t>
  </si>
  <si>
    <t>B</t>
  </si>
  <si>
    <t>Tonne</t>
  </si>
  <si>
    <t>No of Employee Break-Up</t>
  </si>
  <si>
    <t>No of Employee</t>
  </si>
  <si>
    <t>Total CTC</t>
  </si>
  <si>
    <t>Top Level</t>
  </si>
  <si>
    <t>Senior level Management</t>
  </si>
  <si>
    <t>Mid Level Management</t>
  </si>
  <si>
    <t xml:space="preserve">Engineer/ Sr. Engineer </t>
  </si>
  <si>
    <t>Blue Collar</t>
  </si>
  <si>
    <t>Contractual, skilled &amp; Unskilled Worker</t>
  </si>
  <si>
    <t>Operating Cost</t>
  </si>
  <si>
    <t>CTC Break-up(Lacs)</t>
  </si>
  <si>
    <t>Total (Cr.)</t>
  </si>
  <si>
    <t>S.No.</t>
  </si>
  <si>
    <t>INR Crore</t>
  </si>
  <si>
    <t>Power</t>
  </si>
  <si>
    <t>Cooling Water</t>
  </si>
  <si>
    <t>Steam</t>
  </si>
  <si>
    <t>INR / Tonne</t>
  </si>
  <si>
    <t>Total Fixed Cost</t>
  </si>
  <si>
    <t>Unit</t>
  </si>
  <si>
    <t>MT</t>
  </si>
  <si>
    <t>Total</t>
  </si>
  <si>
    <t>TOTAL SALES</t>
  </si>
  <si>
    <t>Price (INR / Tonne)</t>
  </si>
  <si>
    <t>Annual Production</t>
  </si>
  <si>
    <t>Value in (INR Crore)</t>
  </si>
  <si>
    <t>Product &amp; Co-Product</t>
  </si>
  <si>
    <t>Expenditure phasing / Capacity Utilization</t>
  </si>
  <si>
    <t>Overheads</t>
  </si>
  <si>
    <t>Capex (In INR Crore)</t>
  </si>
  <si>
    <t>Total Investment (In INR Crore)</t>
  </si>
  <si>
    <t xml:space="preserve">All Figures are in INR Crore </t>
  </si>
  <si>
    <t>Plant &amp; Machinery</t>
  </si>
  <si>
    <t>Capacity Utilization</t>
  </si>
  <si>
    <t>Rs Crore</t>
  </si>
  <si>
    <t>1st Year</t>
  </si>
  <si>
    <t>2nd Year</t>
  </si>
  <si>
    <t>3rd Year</t>
  </si>
  <si>
    <t>4th Year</t>
  </si>
  <si>
    <t>5th Year</t>
  </si>
  <si>
    <t>6th Year</t>
  </si>
  <si>
    <t>7th Year</t>
  </si>
  <si>
    <t>8th Year</t>
  </si>
  <si>
    <t>9th Year</t>
  </si>
  <si>
    <t>10th Year</t>
  </si>
  <si>
    <t>Income Tax Provision</t>
  </si>
  <si>
    <t>Profit After Tax</t>
  </si>
  <si>
    <t>(A) Gross Revenue</t>
  </si>
  <si>
    <t>(B) Variable Expenses</t>
  </si>
  <si>
    <t>Total Variable Expenses</t>
  </si>
  <si>
    <t>(C) Contribution</t>
  </si>
  <si>
    <t>(D) Fixed Expenses</t>
  </si>
  <si>
    <t>(E) Break Even Point</t>
  </si>
  <si>
    <t>Debt Service Coverage Ratio (DSCR)</t>
  </si>
  <si>
    <t>Particulars</t>
  </si>
  <si>
    <t>(a) Profit After Tax</t>
  </si>
  <si>
    <t>(c) Add Back Interest on Term Loan</t>
  </si>
  <si>
    <t>Average DSCR (for Loan Period)</t>
  </si>
  <si>
    <t>Particular</t>
  </si>
  <si>
    <t>Value (Rs. Crore)</t>
  </si>
  <si>
    <t>Equity Share Capital</t>
  </si>
  <si>
    <t>Term Loan</t>
  </si>
  <si>
    <t>Rate of Interest on Term Loan</t>
  </si>
  <si>
    <t xml:space="preserve">                                                                                                                                                                                                                                                                                                                                                                                             </t>
  </si>
  <si>
    <t>Year</t>
  </si>
  <si>
    <t>Term Loan Amount</t>
  </si>
  <si>
    <t>Repayment (Half Yearly)</t>
  </si>
  <si>
    <t xml:space="preserve">Total Repayment during the year </t>
  </si>
  <si>
    <t>Interest (Half Yearly)</t>
  </si>
  <si>
    <t>Total Interest Payment during the year</t>
  </si>
  <si>
    <t>Gross Revenue</t>
  </si>
  <si>
    <t>Details</t>
  </si>
  <si>
    <t>Assumptions</t>
  </si>
  <si>
    <t>Source</t>
  </si>
  <si>
    <t>Feed Price</t>
  </si>
  <si>
    <t>Actual</t>
  </si>
  <si>
    <t>Chemical Products' Price</t>
  </si>
  <si>
    <t>Derived</t>
  </si>
  <si>
    <t>Tonnes</t>
  </si>
  <si>
    <t>Boiler Feed Water</t>
  </si>
  <si>
    <t>Total Utilities Cost</t>
  </si>
  <si>
    <t>Catchem</t>
  </si>
  <si>
    <t>Project Phase in Years</t>
  </si>
  <si>
    <t>Project Sensitivity</t>
  </si>
  <si>
    <t>Break-Even Point</t>
  </si>
  <si>
    <t>Selling Price decreases by 11%, Raw Material Price remains same</t>
  </si>
  <si>
    <t>Increase in Raw Material price by 16.5 % with no change in selling price</t>
  </si>
  <si>
    <t>Increase in raw material price by 9 % with decrease in selling price by 5%</t>
  </si>
  <si>
    <t>Increase in Cost of Production by 14.5% with no change in selling price</t>
  </si>
  <si>
    <t>Project Sensitivity Analysis</t>
  </si>
  <si>
    <t>Total (a+b)</t>
  </si>
  <si>
    <t>(c) Interest on Term Loan</t>
  </si>
  <si>
    <t>(d) Term Loan Instalment</t>
  </si>
  <si>
    <t>Total (c+d)</t>
  </si>
  <si>
    <t>DSCR</t>
  </si>
  <si>
    <t>Gross Margin (EBITDA/PBITDA)</t>
  </si>
  <si>
    <t>Inflation (after adjustment of dollar appreciation)</t>
  </si>
  <si>
    <t xml:space="preserve">Unit </t>
  </si>
  <si>
    <t>Break Even Point (at optimum capacity utilization)</t>
  </si>
  <si>
    <t>Year of Operation</t>
  </si>
  <si>
    <t>Total  Cost of Sales</t>
  </si>
  <si>
    <t>Gross Profit</t>
  </si>
  <si>
    <t>Raw material and Catalyst &amp; Chemicals</t>
  </si>
  <si>
    <t>(-)Depreciation</t>
  </si>
  <si>
    <t>Profit Before Tax</t>
  </si>
  <si>
    <t>Interest on Term Loan</t>
  </si>
  <si>
    <t>Nil</t>
  </si>
  <si>
    <t>Anhydrous Ammonia (liquid)</t>
  </si>
  <si>
    <t>Weak Nitric Acid</t>
  </si>
  <si>
    <t>Natural Gas</t>
  </si>
  <si>
    <t>Anhydrous Ammonia (Liquid)</t>
  </si>
  <si>
    <t>Production</t>
  </si>
  <si>
    <t>Yield Data by TechSci</t>
  </si>
  <si>
    <t>WNA</t>
  </si>
  <si>
    <t>Utilities for WNA</t>
  </si>
  <si>
    <t>10-30 KWH</t>
  </si>
  <si>
    <t>1000kg @ 200 psig</t>
  </si>
  <si>
    <t xml:space="preserve">Steam credit </t>
  </si>
  <si>
    <t>120 T</t>
  </si>
  <si>
    <t xml:space="preserve">Water </t>
  </si>
  <si>
    <t>0.001 Kg</t>
  </si>
  <si>
    <t>Platinum</t>
  </si>
  <si>
    <t>3000 Nm^3</t>
  </si>
  <si>
    <t>Air</t>
  </si>
  <si>
    <t xml:space="preserve">Ammonia </t>
  </si>
  <si>
    <t>155 kg</t>
  </si>
  <si>
    <t>58 MTD (21.17 KTPA)</t>
  </si>
  <si>
    <t>96.86 MTD (35.35 KTPA)</t>
  </si>
  <si>
    <t>For 1 T of Weak Nitric Acid (100%)</t>
  </si>
  <si>
    <t>Require-Magnesium Nitrate</t>
  </si>
  <si>
    <t>Require- Weak Nitric Acid</t>
  </si>
  <si>
    <t>Concentrated Nitric Acid</t>
  </si>
  <si>
    <t>144 MTD</t>
  </si>
  <si>
    <t>529 MTD</t>
  </si>
  <si>
    <t>671 MTD</t>
  </si>
  <si>
    <t>Ammonium Nitrate manufacturing process does not require any Catalyst. Similarly, CNA manufacturing does not require any catalyst.</t>
  </si>
  <si>
    <t>Catalyst for Ammonium Nitrate</t>
  </si>
  <si>
    <t>The remaining nitric acid i.e, 58 MTD (21.17 KTPA) can be used for merchant sale or can be captively utilized to produce concentrated nitric acid.</t>
  </si>
  <si>
    <t>For ammonia Oxidation - Precious metal (Pt /Rh) gauze. The net catalyst consumption per ton of nitric acid is, including the credit of Pt /Rh recovery from the recovery gauzes, is 40 mg/MT of Weak Nitric acid.</t>
  </si>
  <si>
    <t>Catalyst for Weak Nitric Acid</t>
  </si>
  <si>
    <t>274 MTD (100 KTPA)</t>
  </si>
  <si>
    <t>For 600 MTD (220 KTPA) production of weak nitric acid we require 170 MTD of Anhydrous Ammonia (Liquid). Therefore, for 274 MTD (100KTPA) production of weak nitric acid we will be requiring 28.4 MTD of Anhydrous Ammonia (Liquid).</t>
  </si>
  <si>
    <t>150 MTD</t>
  </si>
  <si>
    <t>553 MTD</t>
  </si>
  <si>
    <t>700 MTD</t>
  </si>
  <si>
    <t>To be procured from market</t>
  </si>
  <si>
    <t>Road</t>
  </si>
  <si>
    <t>0.24 @ 1.6 kg/MT</t>
  </si>
  <si>
    <t>Magnesium Nitrate</t>
  </si>
  <si>
    <t>Require- Anhydrous Ammonia (Liquid)</t>
  </si>
  <si>
    <t>Require -Weak Nitric Acid</t>
  </si>
  <si>
    <t>Ammonium Nitrate</t>
  </si>
  <si>
    <t>Captive production in WNA plant</t>
  </si>
  <si>
    <t>Pipeline</t>
  </si>
  <si>
    <t>250 @ 1.67 MT/MT</t>
  </si>
  <si>
    <t xml:space="preserve">Weak Nitric Acid (WNA) </t>
  </si>
  <si>
    <t>Concentrated Nitric Acid (CNA)</t>
  </si>
  <si>
    <t>Captive production</t>
  </si>
  <si>
    <t>150 @0.214 MT/MT</t>
  </si>
  <si>
    <t xml:space="preserve">529 MTD </t>
  </si>
  <si>
    <t>553 @ 0.789 MT/MT</t>
  </si>
  <si>
    <t>Weak Nitric Acid (WNA)</t>
  </si>
  <si>
    <t>28.4 MTD (10.36 KTPA)</t>
  </si>
  <si>
    <t>Technical Ammonium Nitrate (TAN) Plant – AN Melt/Prilled HDAN/LDAN</t>
  </si>
  <si>
    <t>170 MTD</t>
  </si>
  <si>
    <t>600 MTD</t>
  </si>
  <si>
    <t>170 @ 0.284 MT/MT</t>
  </si>
  <si>
    <t>Require -Anhydrous Ammonia (liquid)</t>
  </si>
  <si>
    <t>Sourcing</t>
  </si>
  <si>
    <t>Mode of Transport</t>
  </si>
  <si>
    <t>Daily requirement</t>
  </si>
  <si>
    <t xml:space="preserve">Raw Materials </t>
  </si>
  <si>
    <t>Raw Materials</t>
  </si>
  <si>
    <t>Kg</t>
  </si>
  <si>
    <t>300 MTD (100 KTPA)</t>
  </si>
  <si>
    <t>236 MTD (77.88)</t>
  </si>
  <si>
    <t>65 MTD (21.45)</t>
  </si>
  <si>
    <t>Per MT consumption</t>
  </si>
  <si>
    <t>Capacity (MTPA)</t>
  </si>
  <si>
    <t>Platinum(94%)/Rhodium(6%) Gauze (Catalyst)*</t>
  </si>
  <si>
    <t xml:space="preserve">Product </t>
  </si>
  <si>
    <t>Annual Quantity Required</t>
  </si>
  <si>
    <t>Pt/Rh Price</t>
  </si>
  <si>
    <t>Per Ton Consumption</t>
  </si>
  <si>
    <t>Cost of Per ton Consumption USD</t>
  </si>
  <si>
    <t>Cost of Per ton Consumption INR</t>
  </si>
  <si>
    <t>Annual Sales Revenue @ 100 Percent Capacity Utilization</t>
  </si>
  <si>
    <t>2017-18</t>
  </si>
  <si>
    <t>2018-19</t>
  </si>
  <si>
    <t>2019-20</t>
  </si>
  <si>
    <t>2020-21</t>
  </si>
  <si>
    <t>4 Years Average</t>
  </si>
  <si>
    <t>Kribhco (Shahjahanpur)</t>
  </si>
  <si>
    <t>INR/Tonne</t>
  </si>
  <si>
    <t>Kribhco (Hazira)</t>
  </si>
  <si>
    <t>Capacity- 100 KTPA WNA Plant + 100 KTPA Ammonium Nitrate(Captive Anhydrous Ammonia (Liquid))</t>
  </si>
  <si>
    <t>Finanacial Model</t>
  </si>
  <si>
    <t>Working Capital</t>
  </si>
  <si>
    <t xml:space="preserve">Annual Sales </t>
  </si>
  <si>
    <t>Salaries &amp; Wages Calculations</t>
  </si>
  <si>
    <t>TAN</t>
  </si>
  <si>
    <t>Means of Finance</t>
  </si>
  <si>
    <t xml:space="preserve">Interest Calculation on Loan and Working Capital  (INR Crore) </t>
  </si>
  <si>
    <t>Break Even Unit at Optimum Capacity Utilization (4th Year)</t>
  </si>
  <si>
    <t>Projections of Performance, Profitability and Repayment</t>
  </si>
  <si>
    <t>Utilities for AN</t>
  </si>
  <si>
    <t>% Change</t>
  </si>
  <si>
    <t>PAT</t>
  </si>
  <si>
    <t xml:space="preserve">Profit After Tax </t>
  </si>
  <si>
    <t>Total WNA &amp; AN Production</t>
  </si>
  <si>
    <t>Total WNA Production</t>
  </si>
  <si>
    <t>Cost of 100000 ton Consumption INR</t>
  </si>
  <si>
    <t>Anhydrous Ammonia (Liquid) (INR/Tonnes)</t>
  </si>
  <si>
    <t>Weak Nitric Acid (INR/Tonnes)</t>
  </si>
  <si>
    <t>Weak Nitric Acid (Tonnes)</t>
  </si>
  <si>
    <t>(C) Contribution(Surplus)</t>
  </si>
  <si>
    <t>Sensitivity- Break Even Point at Optimum Capacity Utilisation (4th Year)</t>
  </si>
  <si>
    <t>Sensitivity- Projections of Performance, Profitability and Repayment</t>
  </si>
  <si>
    <t>Rs. Crore</t>
  </si>
  <si>
    <t>Yield Data by KBR</t>
  </si>
  <si>
    <t xml:space="preserve">Process Condensate </t>
  </si>
  <si>
    <t>0.000028 kg</t>
  </si>
  <si>
    <t>Value (Per MT Consumption)</t>
  </si>
  <si>
    <t xml:space="preserve"> </t>
  </si>
  <si>
    <t>Debt: Equity to be taken as 3:1</t>
  </si>
  <si>
    <t>The basis of cost break up is not correct</t>
  </si>
  <si>
    <t>Packaging- do you consider LDAN/HDAN? Two alternatives may be carried out. AN Melt and solid lDAN/HDAN</t>
  </si>
  <si>
    <t>R&amp;M is minimum 2-3%</t>
  </si>
  <si>
    <t>Not reqd, Transportation by buyers</t>
  </si>
  <si>
    <t>R&amp;D cost not required</t>
  </si>
  <si>
    <t>Not required</t>
  </si>
  <si>
    <t>Split it in two years (24 months) in 40:60 ratio</t>
  </si>
  <si>
    <t>Break up of production to be corrected</t>
  </si>
  <si>
    <t>In 2025</t>
  </si>
  <si>
    <t>consider 15 years operation</t>
  </si>
  <si>
    <t>Escalation not required</t>
  </si>
  <si>
    <t>IT rate -are you sure 25%</t>
  </si>
  <si>
    <t>Book Depreciation should be based on 15 years period ~ 6.5%</t>
  </si>
  <si>
    <t>Sensitivity analysis to be factored into Raw material, Capex, Selling price only with +/- 5 &amp;10%</t>
  </si>
  <si>
    <t>average of this item is not required</t>
  </si>
  <si>
    <t>This sheet may not be necessary, "Norms" sheet can be directly linked to other worksheets.</t>
  </si>
  <si>
    <t>Interest cost not mentioned??</t>
  </si>
  <si>
    <t>Annual Sales</t>
  </si>
  <si>
    <t>For Hazira</t>
  </si>
  <si>
    <t> (Rs/MT NH3)</t>
  </si>
  <si>
    <t>2021-22</t>
  </si>
  <si>
    <t>For Shahjahanpur</t>
  </si>
  <si>
    <t xml:space="preserve">(Rs/MT NH3) </t>
  </si>
  <si>
    <t xml:space="preserve">Variable Cost </t>
  </si>
  <si>
    <t>Fixed  Cost</t>
  </si>
  <si>
    <t>Maintenance and repairs (2.0% of fixed-capital investment)(Capex)</t>
  </si>
  <si>
    <t>Varaible Cost</t>
  </si>
  <si>
    <t>Fixed Cost</t>
  </si>
  <si>
    <t>Variable Cost</t>
  </si>
  <si>
    <t>Interest</t>
  </si>
  <si>
    <t>Net Profit</t>
  </si>
  <si>
    <t>Selling Price decreases by 5%, Raw Material Price remains same</t>
  </si>
  <si>
    <t>Increase in Variable cost price by 10% with no change in selling price</t>
  </si>
  <si>
    <t>Increase in raw material price by 10% with decrease in selling price by 5%</t>
  </si>
  <si>
    <t>Increase in Cost of Production by 5% with no change in selling price</t>
  </si>
  <si>
    <t>Capacity- 82.5 KTPA WNA Plant + 100 KTPA Ammonium Nitrate(Captive Anhydrous Ammonia (Liquid))</t>
  </si>
  <si>
    <t>Long Term Loans</t>
  </si>
  <si>
    <t>Moratorium</t>
  </si>
  <si>
    <t>Tenure</t>
  </si>
  <si>
    <t>Loan</t>
  </si>
  <si>
    <t>Annual Installment</t>
  </si>
  <si>
    <t>-2 (6 Months Equity)</t>
  </si>
  <si>
    <t>Loan Repayment</t>
  </si>
  <si>
    <t>Loan Outstanding</t>
  </si>
  <si>
    <t>Total cost</t>
  </si>
  <si>
    <t>Years</t>
  </si>
  <si>
    <t>Description of the building</t>
  </si>
  <si>
    <t>Total area required</t>
  </si>
  <si>
    <t>(in square meter)</t>
  </si>
  <si>
    <t>Factory building</t>
  </si>
  <si>
    <t xml:space="preserve">Miscellaneous building including pump house,  water storage etc  Earth works, drainage, toilet, rest room, internal roads etc. at 5% of totla cost of factory and non factory building,  Architect fees </t>
  </si>
  <si>
    <t>Lumpsum</t>
  </si>
  <si>
    <t>Provision for contingency</t>
  </si>
  <si>
    <t>Building</t>
  </si>
  <si>
    <t>Plant and Machinery</t>
  </si>
  <si>
    <t>Preliminary and preoperative expenses</t>
  </si>
  <si>
    <t>Provision for contigency at 10%</t>
  </si>
  <si>
    <t xml:space="preserve">Plant and machinery </t>
  </si>
  <si>
    <t>Cost of basic plant and machinery</t>
  </si>
  <si>
    <t>Auxiliary equipment and pollution control equipment at 5%</t>
  </si>
  <si>
    <t xml:space="preserve">Freight charges at 1% </t>
  </si>
  <si>
    <t>Insurance charges  at 2%</t>
  </si>
  <si>
    <t>Stores and spares (2%)</t>
  </si>
  <si>
    <t>Miscellaneous fixed assets</t>
  </si>
  <si>
    <t>Electrification (including cost of installation, cabling, etc.)</t>
  </si>
  <si>
    <t xml:space="preserve">Steam generation and auxiliaries </t>
  </si>
  <si>
    <t>Water storage tank, borewell etc.</t>
  </si>
  <si>
    <t>Storage tanks</t>
  </si>
  <si>
    <t>Laboratory equipment</t>
  </si>
  <si>
    <t>Office machinery equipment</t>
  </si>
  <si>
    <t>Preliminary and Pre operative expenses</t>
  </si>
  <si>
    <t>Preliminary and Pre-operative expenses, establishment and rent rate and taxes</t>
  </si>
  <si>
    <t>Establishment</t>
  </si>
  <si>
    <t>Rent rate and taxes</t>
  </si>
  <si>
    <t>Traveling expenses</t>
  </si>
  <si>
    <t>Interest and commitment charges on borrowing</t>
  </si>
  <si>
    <t>Design and detailed engineering</t>
  </si>
  <si>
    <t>Rate per square meter</t>
  </si>
  <si>
    <t>Financial Model</t>
  </si>
  <si>
    <t>Material handling equipment, weight balance, etc.</t>
  </si>
  <si>
    <t>Ammonia</t>
  </si>
  <si>
    <t>SL.</t>
  </si>
  <si>
    <t>Item</t>
  </si>
  <si>
    <t>2</t>
  </si>
  <si>
    <t>3</t>
  </si>
  <si>
    <t>4</t>
  </si>
  <si>
    <t>5</t>
  </si>
  <si>
    <t>6</t>
  </si>
  <si>
    <t>7</t>
  </si>
  <si>
    <t>8</t>
  </si>
  <si>
    <t>9</t>
  </si>
  <si>
    <t>10</t>
  </si>
  <si>
    <t>11</t>
  </si>
  <si>
    <t>12</t>
  </si>
  <si>
    <t>13</t>
  </si>
  <si>
    <t>14</t>
  </si>
  <si>
    <t>15</t>
  </si>
  <si>
    <t>NO.</t>
  </si>
  <si>
    <t>ASSETS</t>
  </si>
  <si>
    <t>LIABILITIES</t>
  </si>
  <si>
    <t>Retained Earnings</t>
  </si>
  <si>
    <t>Working Capital Margin</t>
  </si>
  <si>
    <t>Income bef. Depr.,Int.&amp; Taxes</t>
  </si>
  <si>
    <t>Interest LT loan</t>
  </si>
  <si>
    <t xml:space="preserve">Depreciation </t>
  </si>
  <si>
    <t>Taxes on Income</t>
  </si>
  <si>
    <t>Profit after Tax</t>
  </si>
  <si>
    <t>EBIDTA%</t>
  </si>
  <si>
    <t>CASH FLOW STATEMENT</t>
  </si>
  <si>
    <t>Construction Period</t>
  </si>
  <si>
    <t>Sl.No.</t>
  </si>
  <si>
    <t>1</t>
  </si>
  <si>
    <t>SOURCE OF FUNDS</t>
  </si>
  <si>
    <t>Increase in LT Loan</t>
  </si>
  <si>
    <t>TOTAL (A)</t>
  </si>
  <si>
    <t>APPLICATION OF FUNDS</t>
  </si>
  <si>
    <t>Cost of Construction</t>
  </si>
  <si>
    <t>Interest on LT Loan</t>
  </si>
  <si>
    <t>TOTAL (B)</t>
  </si>
  <si>
    <t>C</t>
  </si>
  <si>
    <t>Cash surplus for period</t>
  </si>
  <si>
    <t>D</t>
  </si>
  <si>
    <t>INCOME TAX CALCULATION</t>
  </si>
  <si>
    <t>16</t>
  </si>
  <si>
    <t>17</t>
  </si>
  <si>
    <t>18</t>
  </si>
  <si>
    <t>Profit before Tax</t>
  </si>
  <si>
    <t>Add - Dep.as per Books</t>
  </si>
  <si>
    <t>Less - Depreciation for IT</t>
  </si>
  <si>
    <t>Less - B/F Business loss</t>
  </si>
  <si>
    <t>Taxable Profit / Loss</t>
  </si>
  <si>
    <t>Corporate Tax</t>
  </si>
  <si>
    <t>Tax under MAT</t>
  </si>
  <si>
    <t>Tax Payable</t>
  </si>
  <si>
    <t>Accumulated MAT for Credit</t>
  </si>
  <si>
    <t>MAT CREDIT</t>
  </si>
  <si>
    <t>Net Corporate Tax</t>
  </si>
  <si>
    <t>MAT Credit</t>
  </si>
  <si>
    <t>Accumulated MAT Credit</t>
  </si>
  <si>
    <t>TAX UNDER MAT</t>
  </si>
  <si>
    <t>Less - MAT Credit</t>
  </si>
  <si>
    <t>Land</t>
  </si>
  <si>
    <t>Site development and building</t>
  </si>
  <si>
    <t xml:space="preserve">Plant and Machinery </t>
  </si>
  <si>
    <t>Preliminary &amp; Pre-operative expenses</t>
  </si>
  <si>
    <t>Margin for working capital</t>
  </si>
  <si>
    <t>Total Project cost</t>
  </si>
  <si>
    <t>Interest During Construction</t>
  </si>
  <si>
    <t>Interest rate- LT &amp; ST</t>
  </si>
  <si>
    <t>Long term</t>
  </si>
  <si>
    <t>Short Term</t>
  </si>
  <si>
    <t>S.No</t>
  </si>
  <si>
    <t>Tax Structure</t>
  </si>
  <si>
    <t xml:space="preserve">Corp Tax </t>
  </si>
  <si>
    <t>MAT</t>
  </si>
  <si>
    <t>Base</t>
  </si>
  <si>
    <t>Surcharge</t>
  </si>
  <si>
    <t>Cess</t>
  </si>
  <si>
    <t>Project Capital Cost</t>
  </si>
  <si>
    <t>IDC</t>
  </si>
  <si>
    <t>Sensitivity</t>
  </si>
  <si>
    <t>Net Project Cost</t>
  </si>
  <si>
    <t>Interest on ST loan</t>
  </si>
  <si>
    <t>Debt Equity Ratio</t>
  </si>
  <si>
    <t>Percent</t>
  </si>
  <si>
    <t>Value</t>
  </si>
  <si>
    <t>Debt</t>
  </si>
  <si>
    <t>Equity</t>
  </si>
  <si>
    <t>Equity IRR</t>
  </si>
  <si>
    <t>Project IRR</t>
  </si>
  <si>
    <t>WNA production</t>
  </si>
  <si>
    <t>%</t>
  </si>
  <si>
    <t>Capacity Utilisation</t>
  </si>
  <si>
    <t>OSBL Facilities</t>
  </si>
  <si>
    <t>Cooling Tower</t>
  </si>
  <si>
    <t>DM Water plant</t>
  </si>
  <si>
    <t>Start Up Boiler</t>
  </si>
  <si>
    <t>STG for power generation</t>
  </si>
  <si>
    <t>Storage tanks-WNA</t>
  </si>
  <si>
    <t>Storage tank-AN</t>
  </si>
  <si>
    <t>Ammonia day tank</t>
  </si>
  <si>
    <t>Instrument air package</t>
  </si>
  <si>
    <t>Sl No.</t>
  </si>
  <si>
    <t>Capacity</t>
  </si>
  <si>
    <t>Cost, Rs Cr.</t>
  </si>
  <si>
    <t>30 TPH, 41 kg/cm2g</t>
  </si>
  <si>
    <t>DM water tank</t>
  </si>
  <si>
    <t>M3/hr</t>
  </si>
  <si>
    <t>m3/hr</t>
  </si>
  <si>
    <t>TPH</t>
  </si>
  <si>
    <t>MW</t>
  </si>
  <si>
    <t xml:space="preserve"> MT</t>
  </si>
  <si>
    <t>NM3/hr</t>
  </si>
  <si>
    <t>M3</t>
  </si>
  <si>
    <t>m3</t>
  </si>
  <si>
    <t>Units</t>
  </si>
  <si>
    <t>WTP plusTreated water tank</t>
  </si>
  <si>
    <t>Rs/m3</t>
  </si>
  <si>
    <t>DM water/BFW water</t>
  </si>
  <si>
    <t>Process water/Treated water/cooling water make up</t>
  </si>
  <si>
    <t>Sub-Total</t>
  </si>
  <si>
    <t>gm/MT</t>
  </si>
  <si>
    <t>Platinum catalyst loss</t>
  </si>
  <si>
    <t>Platinum catalyst</t>
  </si>
  <si>
    <t>INR/gm</t>
  </si>
  <si>
    <t>Chemicals</t>
  </si>
  <si>
    <t>INR lakhs</t>
  </si>
  <si>
    <t>Pt-Rh Catalyst guaze</t>
  </si>
  <si>
    <t>Administrative Overhead @25% of salary &amp; wages</t>
  </si>
  <si>
    <t xml:space="preserve">Plant Overhead and Administrative Costs </t>
  </si>
  <si>
    <t>Total  Production Cost-AN</t>
  </si>
  <si>
    <t>Total  Production Cost- WNA</t>
  </si>
  <si>
    <t>AN Production</t>
  </si>
  <si>
    <t>Construction Period Months</t>
  </si>
  <si>
    <t>Interest Rate (Term Loan)</t>
  </si>
  <si>
    <t>Cumulative</t>
  </si>
  <si>
    <t>Cumultive</t>
  </si>
  <si>
    <t>Phasing</t>
  </si>
  <si>
    <t>Half yearly</t>
  </si>
  <si>
    <t>First half yr</t>
  </si>
  <si>
    <t>Secod half yr</t>
  </si>
  <si>
    <t>Third half yr</t>
  </si>
  <si>
    <t>Fourth half yr</t>
  </si>
  <si>
    <t>Project cost with out IDC</t>
  </si>
  <si>
    <t>Rs lakhs</t>
  </si>
  <si>
    <t>Rs Lakhs</t>
  </si>
  <si>
    <t>Debt:Equity</t>
  </si>
  <si>
    <t>Balance</t>
  </si>
  <si>
    <t>Half yrly</t>
  </si>
  <si>
    <t>Total project cost with IDC</t>
  </si>
  <si>
    <t>Book</t>
  </si>
  <si>
    <t>IT</t>
  </si>
  <si>
    <t>Miscellaneous</t>
  </si>
  <si>
    <t>Civil Works-building &amp; site development</t>
  </si>
  <si>
    <t xml:space="preserve"> Total Depreciation</t>
  </si>
  <si>
    <t>Stream days</t>
  </si>
  <si>
    <t>Working Capital Requirement</t>
  </si>
  <si>
    <t xml:space="preserve">Total Working Capital Requirement </t>
  </si>
  <si>
    <t>Sources of Working Capital</t>
  </si>
  <si>
    <t xml:space="preserve"> Increase in the Margin Money</t>
  </si>
  <si>
    <t>Working Capital Loan (75% of WC)</t>
  </si>
  <si>
    <t>Increase in Working Capital loan</t>
  </si>
  <si>
    <t xml:space="preserve">Receivables </t>
  </si>
  <si>
    <t>Inventory -Finished products-WNA, no inventory for AN</t>
  </si>
  <si>
    <t>Inventory -Ammonia</t>
  </si>
  <si>
    <t>Credit from KFL-Ammonia</t>
  </si>
  <si>
    <t>WNA sales qty (MT)</t>
  </si>
  <si>
    <t>Variable Cost- WNA &amp; AN</t>
  </si>
  <si>
    <t>Fixed Cost- WNA &amp; AN</t>
  </si>
  <si>
    <t>Insurance (0.5% of project cost)</t>
  </si>
  <si>
    <t>WORKING CAPITAL REQUIREMENT</t>
  </si>
  <si>
    <t>Fixed cost (Salary &amp; wages, RM etc)</t>
  </si>
  <si>
    <t>Margin Money for Working Capital (25%)</t>
  </si>
  <si>
    <t>Interest of long term loan</t>
  </si>
  <si>
    <t>Interest on short term loan</t>
  </si>
  <si>
    <t>Interest (Rs Cr.)</t>
  </si>
  <si>
    <t>-2</t>
  </si>
  <si>
    <t>Profit for Taxation</t>
  </si>
  <si>
    <t>-</t>
  </si>
  <si>
    <t>WC Margin Money Return</t>
  </si>
  <si>
    <t>Add Book Depreciation</t>
  </si>
  <si>
    <t>Add Interest on Term Loan</t>
  </si>
  <si>
    <t>IRR on Project (Post Tax)</t>
  </si>
  <si>
    <t>Check</t>
  </si>
  <si>
    <t>Project NPV</t>
  </si>
  <si>
    <t>Net Equity Cash Flow</t>
  </si>
  <si>
    <t>Interest Payment On Term Loan</t>
  </si>
  <si>
    <t>Term Loan  Repayment</t>
  </si>
  <si>
    <t>Lenders Fund Requirement</t>
  </si>
  <si>
    <t>Funds Available</t>
  </si>
  <si>
    <t>Ratio</t>
  </si>
  <si>
    <t xml:space="preserve">Average DSCR </t>
  </si>
  <si>
    <t>Working Capital Margin Money increase</t>
  </si>
  <si>
    <t>WC Loans Outstanding Return</t>
  </si>
  <si>
    <t>Project cost</t>
  </si>
  <si>
    <t>Less : Term Loan repayment</t>
  </si>
  <si>
    <t>Depreciation provision</t>
  </si>
  <si>
    <t>Increase in ST (WC) Loan</t>
  </si>
  <si>
    <t>Increase in Working Capital</t>
  </si>
  <si>
    <t>Repayment of LT loans</t>
  </si>
  <si>
    <t>Interest on WC loan</t>
  </si>
  <si>
    <t>Provision for Tax</t>
  </si>
  <si>
    <t>Cumulative Cash at end of period</t>
  </si>
  <si>
    <t>Cash In Hand</t>
  </si>
  <si>
    <t>Projected Balance Sheet</t>
  </si>
  <si>
    <t>Promoters contribution- Equity</t>
  </si>
  <si>
    <t>Promoters contribution-Equity</t>
  </si>
  <si>
    <t xml:space="preserve">Long Term Loans </t>
  </si>
  <si>
    <t>WC loans</t>
  </si>
  <si>
    <t>Reserves &amp; Surplus (retained earnings)</t>
  </si>
  <si>
    <t>Gross Fixed assets</t>
  </si>
  <si>
    <t>Accu. Depreciation</t>
  </si>
  <si>
    <t xml:space="preserve">Net Fixed Asset </t>
  </si>
  <si>
    <t>Current Assets (WC)</t>
  </si>
  <si>
    <t>Check (Asset-Liabilities)</t>
  </si>
  <si>
    <t>IRR &amp; PAYBACK PERIOD</t>
  </si>
  <si>
    <t>INR Cr</t>
  </si>
  <si>
    <t>Terminal Value/salvage value @ 5%</t>
  </si>
  <si>
    <t>Net Project Cash Flow</t>
  </si>
  <si>
    <t>CAPEX less WC Margin</t>
  </si>
  <si>
    <t>IRR on Equity</t>
  </si>
  <si>
    <t>Rate</t>
  </si>
  <si>
    <t>Terminal Value /salvage value @ 5%</t>
  </si>
  <si>
    <t>DEPRECIATION CALCULATION</t>
  </si>
  <si>
    <t>Book Depreciation- SLM</t>
  </si>
  <si>
    <t>Depreciation for IT-WDV method</t>
  </si>
  <si>
    <t>Total Depreciation</t>
  </si>
  <si>
    <t>INR Cr.</t>
  </si>
  <si>
    <t>Interest on Working Capital  Loan</t>
  </si>
  <si>
    <t>GST Paid on Inputs</t>
  </si>
  <si>
    <t>Input Credit Available</t>
  </si>
  <si>
    <t>GST on Outputs</t>
  </si>
  <si>
    <t>ITC available over 5 years after commissioning</t>
  </si>
  <si>
    <t>ITC Carried Forward</t>
  </si>
  <si>
    <t>Calculation of Input Tax Credit on GST</t>
  </si>
  <si>
    <t>Input</t>
  </si>
  <si>
    <t>GST Rate</t>
  </si>
  <si>
    <t>Output</t>
  </si>
  <si>
    <t>AN</t>
  </si>
  <si>
    <t>GST Paid on Plant &amp; Machinery</t>
  </si>
  <si>
    <t>Total GST on products</t>
  </si>
  <si>
    <t>Calculation of ITC on GST</t>
  </si>
  <si>
    <t>Actual GST payable</t>
  </si>
  <si>
    <t>Total ITC available (GST on input+plant &amp; machinery)</t>
  </si>
  <si>
    <t>GST Collected on products Sales</t>
  </si>
  <si>
    <t>Net GST payable</t>
  </si>
  <si>
    <t>Project payback  period</t>
  </si>
  <si>
    <t>Cumulative cash flow</t>
  </si>
  <si>
    <t>Payback period</t>
  </si>
  <si>
    <t>Equity payback  period</t>
  </si>
  <si>
    <t>Cumulative equity cash flow</t>
  </si>
  <si>
    <t>Equity Payback period</t>
  </si>
  <si>
    <t>65 million USD</t>
  </si>
  <si>
    <t>Erection and foundation at 10% of plant machinery</t>
  </si>
  <si>
    <t>Case 1 :</t>
  </si>
  <si>
    <t xml:space="preserve">Project IRR </t>
  </si>
  <si>
    <t>Project Payback Period</t>
  </si>
  <si>
    <t>Equity Payback Period</t>
  </si>
  <si>
    <t>Raw Material Price Increases by 10%</t>
  </si>
  <si>
    <t>Gross Margin (%)</t>
  </si>
  <si>
    <t>PAT Margin (%)</t>
  </si>
  <si>
    <t>PBT Margin (%)</t>
  </si>
  <si>
    <t xml:space="preserve">Case 2: </t>
  </si>
  <si>
    <t>Project Cost decreases by 5%</t>
  </si>
  <si>
    <t>Case 3 :</t>
  </si>
  <si>
    <t xml:space="preserve">Selling Price increases by 10%	</t>
  </si>
  <si>
    <t>82500 MTPA Weak Nitric Acid</t>
  </si>
  <si>
    <t>100000 MTPA Ammonium Nitrate Plant</t>
  </si>
  <si>
    <t>Salary and Wages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</si>
</sst>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 #,##0.00_ ;_ * \-#,##0.00_ ;_ * &quot;-&quot;??_ ;_ @_ "/>
    <numFmt numFmtId="164" formatCode="_(* #,##0.00_);_(* \(#,##0.00\);_(* &quot;-&quot;??_);_(@_)"/>
    <numFmt numFmtId="165" formatCode="_(* #,##0_);_(* \(#,##0\);_(* &quot;-&quot;??_);_(@_)"/>
    <numFmt numFmtId="166" formatCode="0.0"/>
    <numFmt numFmtId="167" formatCode="0.0%"/>
    <numFmt numFmtId="168" formatCode="_(* #,##0_);_(* \(#,##0\);_(* &quot;-&quot;_);@_)"/>
    <numFmt numFmtId="169" formatCode="0%_);\(0%\)"/>
    <numFmt numFmtId="170" formatCode="General_)"/>
    <numFmt numFmtId="171" formatCode="#,##0.0"/>
    <numFmt numFmtId="172" formatCode="0.00_)"/>
    <numFmt numFmtId="173" formatCode="0.0_)"/>
    <numFmt numFmtId="174" formatCode="0.000000_)"/>
    <numFmt numFmtId="175" formatCode=";;;"/>
    <numFmt numFmtId="176" formatCode="0.0000"/>
  </numFmts>
  <fonts count="61" x14ac:knownFonts="1">
    <font>
      <sz val="11"/>
      <color theme="1"/>
      <name val="Calibri"/>
      <family val="2"/>
      <scheme val="minor"/>
    </font>
    <font>
      <sz val="11"/>
      <color theme="1"/>
      <name val="Calibri"/>
      <family val="2"/>
      <scheme val="minor"/>
    </font>
    <font>
      <sz val="10"/>
      <color theme="1"/>
      <name val="Arial"/>
      <family val="2"/>
    </font>
    <font>
      <sz val="10"/>
      <name val="Arial"/>
      <family val="2"/>
    </font>
    <font>
      <sz val="11"/>
      <color theme="0"/>
      <name val="Calibri"/>
      <family val="2"/>
      <scheme val="minor"/>
    </font>
    <font>
      <b/>
      <sz val="10"/>
      <name val="Arial"/>
      <family val="2"/>
    </font>
    <font>
      <b/>
      <sz val="10"/>
      <color rgb="FF000000"/>
      <name val="Arial"/>
      <family val="2"/>
    </font>
    <font>
      <sz val="10"/>
      <color rgb="FF000000"/>
      <name val="Arial"/>
      <family val="2"/>
    </font>
    <font>
      <b/>
      <sz val="10"/>
      <color theme="1"/>
      <name val="Arial"/>
      <family val="2"/>
    </font>
    <font>
      <b/>
      <sz val="10"/>
      <color theme="0"/>
      <name val="Arial"/>
      <family val="2"/>
    </font>
    <font>
      <sz val="9"/>
      <color theme="1"/>
      <name val="Calibri"/>
      <family val="2"/>
      <scheme val="minor"/>
    </font>
    <font>
      <b/>
      <sz val="11"/>
      <color theme="3"/>
      <name val="Calibri Light"/>
      <family val="2"/>
      <scheme val="major"/>
    </font>
    <font>
      <b/>
      <sz val="9"/>
      <color theme="3"/>
      <name val="Arial"/>
      <family val="2"/>
    </font>
    <font>
      <b/>
      <sz val="9"/>
      <color theme="3"/>
      <name val="Calibri Light"/>
      <family val="2"/>
      <scheme val="major"/>
    </font>
    <font>
      <sz val="9"/>
      <color theme="3"/>
      <name val="Calibri Light"/>
      <family val="2"/>
      <scheme val="major"/>
    </font>
    <font>
      <sz val="9"/>
      <color rgb="FF006100"/>
      <name val="Arial"/>
      <family val="2"/>
    </font>
    <font>
      <sz val="9"/>
      <color rgb="FF9C0006"/>
      <name val="Arial"/>
      <family val="2"/>
    </font>
    <font>
      <sz val="9"/>
      <color rgb="FF9C6500"/>
      <name val="Arial"/>
      <family val="2"/>
    </font>
    <font>
      <sz val="9"/>
      <color rgb="FF3F3F76"/>
      <name val="Calibri"/>
      <family val="2"/>
      <scheme val="minor"/>
    </font>
    <font>
      <b/>
      <sz val="9"/>
      <color rgb="FF3F3F3F"/>
      <name val="Calibri"/>
      <family val="2"/>
      <scheme val="minor"/>
    </font>
    <font>
      <b/>
      <sz val="9"/>
      <color rgb="FFFA7D00"/>
      <name val="Arial"/>
      <family val="2"/>
    </font>
    <font>
      <sz val="9"/>
      <color rgb="FFFA7D00"/>
      <name val="Calibri"/>
      <family val="2"/>
      <scheme val="minor"/>
    </font>
    <font>
      <b/>
      <sz val="9"/>
      <color theme="0"/>
      <name val="Calibri"/>
      <family val="2"/>
      <scheme val="minor"/>
    </font>
    <font>
      <i/>
      <sz val="9"/>
      <color rgb="FF7F7F7F"/>
      <name val="Calibri"/>
      <family val="2"/>
      <scheme val="minor"/>
    </font>
    <font>
      <b/>
      <sz val="9"/>
      <color theme="1"/>
      <name val="Calibri Light"/>
      <family val="2"/>
      <scheme val="major"/>
    </font>
    <font>
      <b/>
      <sz val="9"/>
      <color theme="4"/>
      <name val="Calibri"/>
      <family val="2"/>
      <scheme val="minor"/>
    </font>
    <font>
      <sz val="8"/>
      <color theme="1"/>
      <name val="Calibri"/>
      <family val="2"/>
      <scheme val="minor"/>
    </font>
    <font>
      <b/>
      <sz val="9"/>
      <color theme="1"/>
      <name val="Calibri"/>
      <family val="2"/>
      <scheme val="minor"/>
    </font>
    <font>
      <b/>
      <sz val="11"/>
      <color theme="4"/>
      <name val="Calibri"/>
      <family val="2"/>
      <scheme val="minor"/>
    </font>
    <font>
      <u/>
      <sz val="8.8000000000000007"/>
      <color theme="10"/>
      <name val="Calibri"/>
      <family val="2"/>
    </font>
    <font>
      <sz val="12"/>
      <color theme="1"/>
      <name val="Calibri"/>
      <family val="2"/>
      <scheme val="minor"/>
    </font>
    <font>
      <sz val="10"/>
      <name val="Times New Roman"/>
      <family val="1"/>
      <charset val="204"/>
    </font>
    <font>
      <sz val="8"/>
      <name val="Calibri"/>
      <family val="2"/>
      <scheme val="minor"/>
    </font>
    <font>
      <sz val="12"/>
      <name val="Times New Roman"/>
      <family val="1"/>
    </font>
    <font>
      <b/>
      <sz val="12"/>
      <name val="Times New Roman"/>
      <family val="1"/>
    </font>
    <font>
      <sz val="10"/>
      <color indexed="10"/>
      <name val="Arial"/>
      <family val="2"/>
    </font>
    <font>
      <b/>
      <i/>
      <sz val="10"/>
      <name val="Arial"/>
      <family val="2"/>
    </font>
    <font>
      <sz val="9"/>
      <color theme="1"/>
      <name val="Arial"/>
      <family val="2"/>
    </font>
    <font>
      <b/>
      <sz val="11"/>
      <color theme="0"/>
      <name val="Calibri"/>
      <family val="2"/>
      <scheme val="minor"/>
    </font>
    <font>
      <sz val="10"/>
      <color theme="0"/>
      <name val="Arial"/>
      <family val="2"/>
    </font>
    <font>
      <b/>
      <i/>
      <sz val="11"/>
      <color theme="0"/>
      <name val="Calibri"/>
      <family val="2"/>
      <scheme val="minor"/>
    </font>
    <font>
      <i/>
      <sz val="10"/>
      <color theme="1"/>
      <name val="Arial"/>
      <family val="2"/>
    </font>
    <font>
      <i/>
      <sz val="10"/>
      <name val="Arial"/>
      <family val="2"/>
    </font>
    <font>
      <sz val="10"/>
      <color rgb="FFFF0000"/>
      <name val="Arial"/>
      <family val="2"/>
    </font>
    <font>
      <sz val="11"/>
      <color rgb="FFFF0000"/>
      <name val="Calibri"/>
      <family val="2"/>
      <scheme val="minor"/>
    </font>
    <font>
      <b/>
      <i/>
      <sz val="10"/>
      <color theme="0"/>
      <name val="Arial"/>
      <family val="2"/>
    </font>
    <font>
      <sz val="10"/>
      <color theme="0" tint="-0.249977111117893"/>
      <name val="Calibri"/>
      <family val="2"/>
      <scheme val="minor"/>
    </font>
    <font>
      <sz val="10"/>
      <color theme="1"/>
      <name val="Calibri"/>
      <family val="2"/>
      <scheme val="minor"/>
    </font>
    <font>
      <b/>
      <sz val="10"/>
      <color rgb="FFFF0000"/>
      <name val="Arial"/>
      <family val="2"/>
    </font>
    <font>
      <sz val="10"/>
      <color rgb="FF7030A0"/>
      <name val="Arial"/>
      <family val="2"/>
    </font>
    <font>
      <sz val="10"/>
      <color rgb="FFFF0000"/>
      <name val="Calibri"/>
      <family val="2"/>
      <scheme val="minor"/>
    </font>
    <font>
      <b/>
      <sz val="10"/>
      <color rgb="FFFF0000"/>
      <name val="Calibri"/>
      <family val="2"/>
      <scheme val="minor"/>
    </font>
    <font>
      <sz val="12"/>
      <color rgb="FF000000"/>
      <name val="Calibri"/>
      <family val="2"/>
      <scheme val="minor"/>
    </font>
    <font>
      <sz val="11"/>
      <color rgb="FF000000"/>
      <name val="Calibri"/>
      <family val="2"/>
    </font>
    <font>
      <sz val="11"/>
      <name val="Calibri"/>
      <family val="2"/>
      <scheme val="minor"/>
    </font>
    <font>
      <sz val="10"/>
      <name val="Courier"/>
      <family val="3"/>
    </font>
    <font>
      <b/>
      <sz val="11"/>
      <name val="Calibri"/>
      <family val="2"/>
      <scheme val="minor"/>
    </font>
    <font>
      <sz val="10"/>
      <name val="Courier"/>
    </font>
    <font>
      <b/>
      <sz val="12"/>
      <name val="Arial"/>
      <family val="2"/>
    </font>
    <font>
      <b/>
      <sz val="11"/>
      <name val="Arial"/>
      <family val="2"/>
    </font>
    <font>
      <b/>
      <sz val="11"/>
      <color theme="1"/>
      <name val="Arial"/>
      <family val="2"/>
    </font>
  </fonts>
  <fills count="23">
    <fill>
      <patternFill patternType="none"/>
    </fill>
    <fill>
      <patternFill patternType="gray125"/>
    </fill>
    <fill>
      <patternFill patternType="solid">
        <fgColor theme="4"/>
      </patternFill>
    </fill>
    <fill>
      <patternFill patternType="solid">
        <fgColor rgb="FFFF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FCD4B6"/>
        <bgColor indexed="64"/>
      </patternFill>
    </fill>
    <fill>
      <patternFill patternType="solid">
        <fgColor rgb="FFE8E6DF"/>
        <bgColor indexed="64"/>
      </patternFill>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theme="5"/>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CCFFCC"/>
        <bgColor indexed="64"/>
      </patternFill>
    </fill>
    <fill>
      <patternFill patternType="solid">
        <fgColor rgb="FF92D050"/>
        <bgColor indexed="64"/>
      </patternFill>
    </fill>
    <fill>
      <patternFill patternType="solid">
        <fgColor theme="7" tint="0.39997558519241921"/>
        <bgColor indexed="64"/>
      </patternFill>
    </fill>
  </fills>
  <borders count="30">
    <border>
      <left/>
      <right/>
      <top/>
      <bottom/>
      <diagonal/>
    </border>
    <border>
      <left/>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thin">
        <color theme="4"/>
      </bottom>
      <diagonal/>
    </border>
    <border>
      <left/>
      <right/>
      <top style="thin">
        <color theme="4"/>
      </top>
      <bottom style="medium">
        <color theme="4"/>
      </bottom>
      <diagonal/>
    </border>
    <border>
      <left/>
      <right/>
      <top style="thin">
        <color theme="4"/>
      </top>
      <bottom/>
      <diagonal/>
    </border>
    <border>
      <left/>
      <right/>
      <top style="medium">
        <color theme="4"/>
      </top>
      <bottom/>
      <diagonal/>
    </border>
    <border>
      <left/>
      <right style="thin">
        <color indexed="64"/>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71">
    <xf numFmtId="0" fontId="0"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0" fontId="4" fillId="2" borderId="0" applyNumberFormat="0" applyBorder="0" applyAlignment="0" applyProtection="0"/>
    <xf numFmtId="164" fontId="1" fillId="0" borderId="0" applyFont="0" applyFill="0" applyBorder="0" applyAlignment="0" applyProtection="0"/>
    <xf numFmtId="0" fontId="1" fillId="0" borderId="0"/>
    <xf numFmtId="168" fontId="10" fillId="0" borderId="0"/>
    <xf numFmtId="0" fontId="16" fillId="5" borderId="0" applyNumberFormat="0" applyBorder="0" applyAlignment="0" applyProtection="0"/>
    <xf numFmtId="0" fontId="20" fillId="8" borderId="14" applyNumberFormat="0" applyAlignment="0" applyProtection="0"/>
    <xf numFmtId="0" fontId="22" fillId="9" borderId="17" applyNumberFormat="0" applyAlignment="0" applyProtection="0"/>
    <xf numFmtId="43" fontId="10" fillId="0" borderId="0" applyFont="0" applyFill="0" applyBorder="0" applyAlignment="0" applyProtection="0"/>
    <xf numFmtId="0" fontId="23" fillId="0" borderId="0" applyNumberFormat="0" applyFill="0" applyBorder="0" applyAlignment="0" applyProtection="0"/>
    <xf numFmtId="0" fontId="15" fillId="4" borderId="0" applyNumberFormat="0" applyBorder="0" applyAlignment="0" applyProtection="0"/>
    <xf numFmtId="49" fontId="12" fillId="0" borderId="19" applyFill="0" applyProtection="0">
      <alignment horizontal="right" wrapText="1"/>
    </xf>
    <xf numFmtId="49" fontId="13" fillId="0" borderId="0" applyProtection="0">
      <alignment wrapText="1"/>
    </xf>
    <xf numFmtId="49" fontId="14" fillId="0" borderId="20" applyFill="0" applyProtection="0">
      <alignment horizontal="right" wrapText="1"/>
    </xf>
    <xf numFmtId="49" fontId="14" fillId="0" borderId="0" applyProtection="0">
      <alignment wrapText="1"/>
    </xf>
    <xf numFmtId="0" fontId="29" fillId="0" borderId="0" applyNumberFormat="0" applyFill="0" applyBorder="0" applyAlignment="0" applyProtection="0">
      <alignment vertical="top"/>
      <protection locked="0"/>
    </xf>
    <xf numFmtId="0" fontId="18" fillId="7" borderId="14" applyNumberFormat="0" applyAlignment="0" applyProtection="0"/>
    <xf numFmtId="0" fontId="21" fillId="0" borderId="16" applyNumberFormat="0" applyFill="0" applyAlignment="0" applyProtection="0"/>
    <xf numFmtId="0" fontId="17" fillId="6" borderId="0" applyNumberFormat="0" applyBorder="0" applyAlignment="0" applyProtection="0"/>
    <xf numFmtId="0" fontId="1" fillId="0" borderId="0"/>
    <xf numFmtId="0" fontId="10" fillId="10" borderId="18" applyNumberFormat="0" applyAlignment="0" applyProtection="0"/>
    <xf numFmtId="0" fontId="19" fillId="8" borderId="15" applyNumberFormat="0" applyAlignment="0" applyProtection="0"/>
    <xf numFmtId="9" fontId="10" fillId="0" borderId="0" applyFont="0" applyFill="0" applyBorder="0" applyAlignment="0" applyProtection="0"/>
    <xf numFmtId="9" fontId="1" fillId="0" borderId="0" applyFont="0" applyFill="0" applyBorder="0" applyAlignment="0" applyProtection="0"/>
    <xf numFmtId="168" fontId="25" fillId="0" borderId="0" applyNumberFormat="0" applyFill="0" applyBorder="0" applyAlignment="0" applyProtection="0"/>
    <xf numFmtId="168" fontId="10" fillId="11" borderId="0" applyNumberFormat="0" applyFont="0" applyBorder="0" applyAlignment="0" applyProtection="0"/>
    <xf numFmtId="0" fontId="10" fillId="0" borderId="0" applyFill="0" applyBorder="0" applyProtection="0"/>
    <xf numFmtId="168" fontId="10" fillId="12" borderId="0" applyNumberFormat="0" applyFont="0" applyBorder="0" applyAlignment="0" applyProtection="0"/>
    <xf numFmtId="169" fontId="10" fillId="0" borderId="0" applyFill="0" applyBorder="0" applyAlignment="0" applyProtection="0"/>
    <xf numFmtId="0" fontId="26" fillId="0" borderId="0" applyNumberFormat="0" applyAlignment="0" applyProtection="0"/>
    <xf numFmtId="0" fontId="25" fillId="0" borderId="19" applyFill="0" applyProtection="0">
      <alignment horizontal="left" wrapText="1"/>
    </xf>
    <xf numFmtId="0" fontId="25" fillId="0" borderId="0" applyFill="0" applyProtection="0">
      <alignment wrapText="1"/>
    </xf>
    <xf numFmtId="0" fontId="25" fillId="0" borderId="23" applyFill="0" applyProtection="0">
      <alignment wrapText="1"/>
    </xf>
    <xf numFmtId="168" fontId="27" fillId="0" borderId="22" applyNumberFormat="0" applyFill="0" applyAlignment="0" applyProtection="0"/>
    <xf numFmtId="0" fontId="28" fillId="0" borderId="0" applyAlignment="0" applyProtection="0"/>
    <xf numFmtId="0" fontId="27" fillId="0" borderId="21" applyNumberFormat="0" applyFill="0" applyAlignment="0" applyProtection="0"/>
    <xf numFmtId="49" fontId="11" fillId="0" borderId="0" applyAlignment="0" applyProtection="0"/>
    <xf numFmtId="0" fontId="24" fillId="0" borderId="21" applyNumberFormat="0" applyFill="0" applyAlignment="0" applyProtection="0"/>
    <xf numFmtId="0" fontId="3" fillId="0" borderId="0"/>
    <xf numFmtId="43" fontId="1" fillId="0" borderId="0" applyFont="0" applyFill="0" applyBorder="0" applyAlignment="0" applyProtection="0"/>
    <xf numFmtId="0" fontId="3" fillId="0" borderId="0"/>
    <xf numFmtId="0" fontId="10" fillId="0" borderId="0"/>
    <xf numFmtId="168" fontId="10" fillId="0" borderId="0"/>
    <xf numFmtId="9" fontId="10" fillId="0" borderId="0" applyFont="0" applyFill="0" applyBorder="0" applyAlignment="0" applyProtection="0"/>
    <xf numFmtId="0" fontId="30" fillId="0" borderId="0"/>
    <xf numFmtId="0" fontId="3" fillId="0" borderId="0"/>
    <xf numFmtId="0" fontId="31" fillId="0" borderId="0" applyNumberFormat="0" applyFill="0" applyBorder="0" applyProtection="0">
      <alignment vertical="top" wrapText="1"/>
    </xf>
    <xf numFmtId="0" fontId="3" fillId="0" borderId="0"/>
    <xf numFmtId="9" fontId="3" fillId="0" borderId="0" applyFont="0" applyFill="0" applyBorder="0" applyAlignment="0" applyProtection="0"/>
    <xf numFmtId="0" fontId="55" fillId="0" borderId="0"/>
    <xf numFmtId="0" fontId="3" fillId="0" borderId="0"/>
    <xf numFmtId="164" fontId="3" fillId="0" borderId="0" applyFont="0" applyFill="0" applyBorder="0" applyAlignment="0" applyProtection="0"/>
    <xf numFmtId="0" fontId="57" fillId="0" borderId="0"/>
    <xf numFmtId="0" fontId="57"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9" fontId="3" fillId="0" borderId="0" applyFont="0" applyFill="0" applyBorder="0" applyAlignment="0" applyProtection="0"/>
    <xf numFmtId="0" fontId="57" fillId="0" borderId="0"/>
    <xf numFmtId="0" fontId="55" fillId="0" borderId="0"/>
  </cellStyleXfs>
  <cellXfs count="751">
    <xf numFmtId="0" fontId="0" fillId="0" borderId="0" xfId="0"/>
    <xf numFmtId="0" fontId="2" fillId="0" borderId="0" xfId="0" applyFont="1"/>
    <xf numFmtId="165" fontId="3" fillId="0" borderId="0" xfId="1" applyNumberFormat="1" applyFont="1" applyBorder="1" applyAlignment="1">
      <alignment horizontal="center" vertical="center"/>
    </xf>
    <xf numFmtId="1" fontId="2" fillId="0" borderId="0" xfId="0" applyNumberFormat="1" applyFont="1" applyAlignment="1">
      <alignment horizontal="center" vertical="center"/>
    </xf>
    <xf numFmtId="165" fontId="5" fillId="0" borderId="25" xfId="1" applyNumberFormat="1" applyFont="1" applyBorder="1" applyAlignment="1">
      <alignment horizontal="center" vertical="center"/>
    </xf>
    <xf numFmtId="165" fontId="3" fillId="0" borderId="1" xfId="1" applyNumberFormat="1" applyFont="1" applyBorder="1" applyAlignment="1">
      <alignment horizontal="center" vertical="center"/>
    </xf>
    <xf numFmtId="1" fontId="2" fillId="0" borderId="1" xfId="0" applyNumberFormat="1" applyFont="1" applyBorder="1" applyAlignment="1">
      <alignment horizontal="center" vertical="center"/>
    </xf>
    <xf numFmtId="0" fontId="2" fillId="0" borderId="25" xfId="0" applyFont="1" applyBorder="1"/>
    <xf numFmtId="0" fontId="3" fillId="0" borderId="25" xfId="0" applyFont="1" applyBorder="1" applyAlignment="1" applyProtection="1">
      <alignment horizontal="center" vertical="center"/>
      <protection locked="0"/>
    </xf>
    <xf numFmtId="2" fontId="2" fillId="0" borderId="0" xfId="0" applyNumberFormat="1" applyFont="1" applyAlignment="1">
      <alignment horizontal="center"/>
    </xf>
    <xf numFmtId="2" fontId="5" fillId="0" borderId="0" xfId="43" applyNumberFormat="1" applyFont="1" applyAlignment="1">
      <alignment horizontal="center" vertical="center"/>
    </xf>
    <xf numFmtId="0" fontId="3" fillId="0" borderId="0" xfId="43" applyAlignment="1">
      <alignment horizontal="center" vertical="center"/>
    </xf>
    <xf numFmtId="2" fontId="3" fillId="0" borderId="0" xfId="43" applyNumberFormat="1" applyAlignment="1">
      <alignment horizontal="center" vertical="center"/>
    </xf>
    <xf numFmtId="0" fontId="2" fillId="0" borderId="0" xfId="0" applyFont="1" applyAlignment="1">
      <alignment horizontal="center"/>
    </xf>
    <xf numFmtId="1" fontId="2" fillId="0" borderId="8" xfId="0" applyNumberFormat="1" applyFont="1" applyBorder="1" applyAlignment="1">
      <alignment horizontal="center"/>
    </xf>
    <xf numFmtId="2" fontId="8" fillId="0" borderId="0" xfId="0" applyNumberFormat="1" applyFont="1" applyAlignment="1">
      <alignment horizontal="center" vertical="center"/>
    </xf>
    <xf numFmtId="2" fontId="2" fillId="0" borderId="8" xfId="0" applyNumberFormat="1" applyFont="1" applyBorder="1" applyAlignment="1">
      <alignment horizontal="center"/>
    </xf>
    <xf numFmtId="2" fontId="6" fillId="0" borderId="1" xfId="0" applyNumberFormat="1" applyFont="1" applyBorder="1" applyAlignment="1">
      <alignment horizontal="center" vertical="center"/>
    </xf>
    <xf numFmtId="2" fontId="8" fillId="0" borderId="1" xfId="0" applyNumberFormat="1" applyFont="1" applyBorder="1" applyAlignment="1">
      <alignment horizontal="center"/>
    </xf>
    <xf numFmtId="2" fontId="6" fillId="0" borderId="8" xfId="0" applyNumberFormat="1" applyFont="1" applyBorder="1" applyAlignment="1">
      <alignment horizontal="center" vertical="center"/>
    </xf>
    <xf numFmtId="0" fontId="2" fillId="0" borderId="25" xfId="0" applyFont="1" applyBorder="1" applyAlignment="1">
      <alignment horizontal="center" vertical="center"/>
    </xf>
    <xf numFmtId="2" fontId="7" fillId="0" borderId="0" xfId="0" applyNumberFormat="1" applyFont="1" applyAlignment="1">
      <alignment horizontal="center" vertical="center"/>
    </xf>
    <xf numFmtId="3" fontId="7" fillId="0" borderId="0" xfId="0" applyNumberFormat="1" applyFont="1" applyAlignment="1">
      <alignment horizontal="center" vertical="center"/>
    </xf>
    <xf numFmtId="2" fontId="7" fillId="0" borderId="0" xfId="5" applyNumberFormat="1" applyFont="1" applyFill="1" applyBorder="1" applyAlignment="1">
      <alignment horizontal="center" vertical="center"/>
    </xf>
    <xf numFmtId="0" fontId="8" fillId="0" borderId="13" xfId="0" applyFont="1" applyBorder="1" applyAlignment="1">
      <alignment horizontal="center" vertical="center"/>
    </xf>
    <xf numFmtId="3" fontId="6" fillId="0" borderId="13" xfId="0" applyNumberFormat="1" applyFont="1" applyBorder="1" applyAlignment="1">
      <alignment horizontal="center" vertical="center"/>
    </xf>
    <xf numFmtId="2" fontId="6" fillId="0" borderId="13" xfId="0" applyNumberFormat="1" applyFont="1" applyBorder="1" applyAlignment="1">
      <alignment horizontal="center" vertical="center"/>
    </xf>
    <xf numFmtId="2" fontId="2" fillId="0" borderId="0" xfId="5" applyNumberFormat="1" applyFont="1" applyFill="1" applyBorder="1" applyAlignment="1">
      <alignment horizontal="center"/>
    </xf>
    <xf numFmtId="2" fontId="0" fillId="0" borderId="0" xfId="0" applyNumberFormat="1"/>
    <xf numFmtId="0" fontId="2" fillId="0" borderId="0" xfId="0" applyFont="1" applyAlignment="1">
      <alignment horizontal="left"/>
    </xf>
    <xf numFmtId="165" fontId="2" fillId="0" borderId="0" xfId="1" applyNumberFormat="1" applyFont="1" applyAlignment="1"/>
    <xf numFmtId="0" fontId="2" fillId="0" borderId="24" xfId="0" applyFont="1" applyBorder="1" applyAlignment="1">
      <alignment horizontal="center"/>
    </xf>
    <xf numFmtId="0" fontId="5" fillId="0" borderId="7" xfId="0" applyFont="1" applyBorder="1" applyAlignment="1">
      <alignment horizontal="center" vertical="center"/>
    </xf>
    <xf numFmtId="0" fontId="3" fillId="0" borderId="25" xfId="0" applyFont="1" applyBorder="1" applyAlignment="1">
      <alignment vertical="center"/>
    </xf>
    <xf numFmtId="0" fontId="3" fillId="0" borderId="10" xfId="0" applyFont="1" applyBorder="1" applyAlignment="1">
      <alignment vertical="center"/>
    </xf>
    <xf numFmtId="0" fontId="2" fillId="0" borderId="13" xfId="0" applyFont="1" applyBorder="1"/>
    <xf numFmtId="0" fontId="3" fillId="0" borderId="0" xfId="0" applyFont="1" applyAlignment="1" applyProtection="1">
      <alignment horizontal="center" vertical="center"/>
      <protection locked="0"/>
    </xf>
    <xf numFmtId="1" fontId="3" fillId="0" borderId="24" xfId="0" applyNumberFormat="1" applyFont="1" applyBorder="1" applyAlignment="1">
      <alignment horizontal="center" vertical="center"/>
    </xf>
    <xf numFmtId="0" fontId="5" fillId="0" borderId="25" xfId="41" applyFont="1" applyBorder="1" applyAlignment="1">
      <alignment horizontal="center" vertical="center"/>
    </xf>
    <xf numFmtId="9" fontId="3" fillId="0" borderId="0" xfId="41" applyNumberFormat="1" applyAlignment="1">
      <alignment horizontal="center" vertical="center"/>
    </xf>
    <xf numFmtId="0" fontId="5" fillId="0" borderId="0" xfId="41" applyFont="1" applyAlignment="1">
      <alignment horizontal="center" vertical="center"/>
    </xf>
    <xf numFmtId="0" fontId="5" fillId="0" borderId="24" xfId="41" applyFont="1" applyBorder="1" applyAlignment="1">
      <alignment horizontal="center" vertical="center"/>
    </xf>
    <xf numFmtId="0" fontId="5" fillId="0" borderId="10" xfId="41" applyFont="1" applyBorder="1" applyAlignment="1">
      <alignment horizontal="center" vertical="center"/>
    </xf>
    <xf numFmtId="0" fontId="5" fillId="0" borderId="25" xfId="43" applyFont="1" applyBorder="1" applyAlignment="1">
      <alignment vertical="center"/>
    </xf>
    <xf numFmtId="2" fontId="5" fillId="0" borderId="24" xfId="43" applyNumberFormat="1" applyFont="1" applyBorder="1" applyAlignment="1">
      <alignment horizontal="center" vertical="center"/>
    </xf>
    <xf numFmtId="0" fontId="3" fillId="0" borderId="24" xfId="43" applyBorder="1" applyAlignment="1">
      <alignment horizontal="center" vertical="center"/>
    </xf>
    <xf numFmtId="0" fontId="3" fillId="0" borderId="25" xfId="43" applyBorder="1" applyAlignment="1">
      <alignment vertical="center"/>
    </xf>
    <xf numFmtId="2" fontId="3" fillId="0" borderId="24" xfId="43" applyNumberFormat="1" applyBorder="1" applyAlignment="1">
      <alignment horizontal="center" vertical="center"/>
    </xf>
    <xf numFmtId="0" fontId="5" fillId="0" borderId="25" xfId="43" applyFont="1" applyBorder="1" applyAlignment="1">
      <alignment horizontal="center" vertical="center"/>
    </xf>
    <xf numFmtId="0" fontId="5" fillId="0" borderId="10" xfId="43" applyFont="1" applyBorder="1" applyAlignment="1">
      <alignment vertical="center"/>
    </xf>
    <xf numFmtId="10" fontId="5" fillId="0" borderId="11" xfId="51" applyNumberFormat="1" applyFont="1" applyBorder="1" applyAlignment="1">
      <alignment horizontal="center" vertical="center"/>
    </xf>
    <xf numFmtId="2" fontId="3" fillId="0" borderId="0" xfId="43" applyNumberFormat="1"/>
    <xf numFmtId="0" fontId="33" fillId="0" borderId="0" xfId="43" applyFont="1" applyAlignment="1">
      <alignment vertical="center"/>
    </xf>
    <xf numFmtId="0" fontId="33" fillId="0" borderId="24" xfId="43" applyFont="1" applyBorder="1" applyAlignment="1">
      <alignment vertical="center"/>
    </xf>
    <xf numFmtId="10" fontId="5" fillId="0" borderId="1" xfId="51" applyNumberFormat="1" applyFont="1" applyBorder="1" applyAlignment="1">
      <alignment horizontal="center" vertical="center"/>
    </xf>
    <xf numFmtId="0" fontId="3" fillId="0" borderId="0" xfId="43" applyAlignment="1">
      <alignment horizontal="center"/>
    </xf>
    <xf numFmtId="0" fontId="3" fillId="0" borderId="24" xfId="43" applyBorder="1" applyAlignment="1">
      <alignment horizontal="center"/>
    </xf>
    <xf numFmtId="0" fontId="3" fillId="0" borderId="5" xfId="43" applyBorder="1" applyAlignment="1">
      <alignment horizontal="center"/>
    </xf>
    <xf numFmtId="0" fontId="3" fillId="0" borderId="12" xfId="43" applyBorder="1" applyAlignment="1">
      <alignment horizontal="center"/>
    </xf>
    <xf numFmtId="2" fontId="3" fillId="0" borderId="0" xfId="41" applyNumberFormat="1" applyAlignment="1">
      <alignment horizontal="center" vertical="center"/>
    </xf>
    <xf numFmtId="2" fontId="3" fillId="0" borderId="24" xfId="41" applyNumberFormat="1" applyBorder="1" applyAlignment="1">
      <alignment horizontal="center" vertical="center"/>
    </xf>
    <xf numFmtId="2" fontId="3" fillId="0" borderId="1" xfId="41" applyNumberFormat="1" applyBorder="1" applyAlignment="1">
      <alignment horizontal="center" vertical="center"/>
    </xf>
    <xf numFmtId="2" fontId="3" fillId="0" borderId="11" xfId="41" applyNumberFormat="1" applyBorder="1" applyAlignment="1">
      <alignment horizontal="center" vertical="center"/>
    </xf>
    <xf numFmtId="0" fontId="2" fillId="0" borderId="10" xfId="0" applyFont="1" applyBorder="1" applyAlignment="1">
      <alignment horizontal="center" vertical="center"/>
    </xf>
    <xf numFmtId="9" fontId="0" fillId="0" borderId="0" xfId="3" applyFont="1"/>
    <xf numFmtId="0" fontId="5" fillId="0" borderId="5" xfId="0" applyFont="1" applyBorder="1" applyAlignment="1">
      <alignment horizontal="center" vertical="center"/>
    </xf>
    <xf numFmtId="0" fontId="8" fillId="0" borderId="1" xfId="0" applyFont="1" applyBorder="1"/>
    <xf numFmtId="2" fontId="3" fillId="0" borderId="0" xfId="41" applyNumberFormat="1" applyAlignment="1">
      <alignment vertical="center"/>
    </xf>
    <xf numFmtId="2" fontId="5" fillId="0" borderId="0" xfId="41" applyNumberFormat="1" applyFont="1" applyAlignment="1">
      <alignment vertical="center"/>
    </xf>
    <xf numFmtId="0" fontId="5" fillId="0" borderId="25" xfId="41" applyFont="1" applyBorder="1" applyAlignment="1">
      <alignment vertical="center"/>
    </xf>
    <xf numFmtId="0" fontId="3" fillId="0" borderId="25" xfId="41" applyBorder="1" applyAlignment="1">
      <alignment vertical="center"/>
    </xf>
    <xf numFmtId="2" fontId="3" fillId="0" borderId="24" xfId="41" applyNumberFormat="1" applyBorder="1" applyAlignment="1">
      <alignment vertical="center"/>
    </xf>
    <xf numFmtId="2" fontId="5" fillId="0" borderId="24" xfId="41" applyNumberFormat="1" applyFont="1" applyBorder="1" applyAlignment="1">
      <alignment vertical="center"/>
    </xf>
    <xf numFmtId="0" fontId="5" fillId="0" borderId="10" xfId="41" applyFont="1" applyBorder="1" applyAlignment="1">
      <alignment vertical="center"/>
    </xf>
    <xf numFmtId="2" fontId="5" fillId="0" borderId="1" xfId="41" applyNumberFormat="1" applyFont="1" applyBorder="1" applyAlignment="1">
      <alignment vertical="center"/>
    </xf>
    <xf numFmtId="0" fontId="3" fillId="0" borderId="1" xfId="41" applyBorder="1" applyAlignment="1">
      <alignment vertical="center"/>
    </xf>
    <xf numFmtId="0" fontId="3" fillId="0" borderId="11" xfId="41" applyBorder="1" applyAlignment="1">
      <alignment vertical="center"/>
    </xf>
    <xf numFmtId="1" fontId="0" fillId="0" borderId="0" xfId="0" applyNumberFormat="1"/>
    <xf numFmtId="2" fontId="37" fillId="0" borderId="0" xfId="3" applyNumberFormat="1" applyFont="1" applyAlignment="1">
      <alignment horizontal="center"/>
    </xf>
    <xf numFmtId="4" fontId="2" fillId="0" borderId="0" xfId="0" applyNumberFormat="1" applyFont="1"/>
    <xf numFmtId="0" fontId="9" fillId="15" borderId="8" xfId="0" applyFont="1" applyFill="1" applyBorder="1" applyAlignment="1">
      <alignment horizontal="center" vertical="center"/>
    </xf>
    <xf numFmtId="0" fontId="0" fillId="0" borderId="2" xfId="0" applyBorder="1"/>
    <xf numFmtId="0" fontId="0" fillId="0" borderId="2" xfId="0" applyBorder="1" applyAlignment="1">
      <alignment horizontal="left"/>
    </xf>
    <xf numFmtId="0" fontId="4" fillId="15" borderId="2" xfId="0" applyFont="1" applyFill="1" applyBorder="1"/>
    <xf numFmtId="0" fontId="0" fillId="0" borderId="2" xfId="0" applyBorder="1" applyAlignment="1">
      <alignment vertical="center"/>
    </xf>
    <xf numFmtId="0" fontId="0" fillId="0" borderId="2" xfId="0" applyBorder="1" applyAlignment="1">
      <alignment wrapText="1"/>
    </xf>
    <xf numFmtId="2" fontId="0" fillId="0" borderId="2" xfId="0" applyNumberFormat="1" applyBorder="1"/>
    <xf numFmtId="1" fontId="0" fillId="0" borderId="2" xfId="0" applyNumberFormat="1" applyBorder="1"/>
    <xf numFmtId="0" fontId="38" fillId="15" borderId="2" xfId="0" applyFont="1" applyFill="1" applyBorder="1" applyAlignment="1">
      <alignment horizontal="center"/>
    </xf>
    <xf numFmtId="0" fontId="0" fillId="0" borderId="12" xfId="0" applyBorder="1"/>
    <xf numFmtId="0" fontId="41" fillId="0" borderId="0" xfId="0" applyFont="1" applyAlignment="1">
      <alignment horizontal="left"/>
    </xf>
    <xf numFmtId="2" fontId="2" fillId="0" borderId="0" xfId="0" applyNumberFormat="1" applyFont="1" applyAlignment="1">
      <alignment horizontal="left"/>
    </xf>
    <xf numFmtId="0" fontId="0" fillId="13" borderId="0" xfId="0" applyFill="1"/>
    <xf numFmtId="0" fontId="2" fillId="13" borderId="0" xfId="0" applyFont="1" applyFill="1" applyAlignment="1">
      <alignment horizontal="center"/>
    </xf>
    <xf numFmtId="0" fontId="2" fillId="13" borderId="0" xfId="0" applyFont="1" applyFill="1"/>
    <xf numFmtId="2" fontId="2" fillId="13" borderId="0" xfId="0" applyNumberFormat="1" applyFont="1" applyFill="1" applyAlignment="1">
      <alignment horizontal="center"/>
    </xf>
    <xf numFmtId="2" fontId="6" fillId="13" borderId="0" xfId="0" applyNumberFormat="1" applyFont="1" applyFill="1" applyAlignment="1">
      <alignment horizontal="center" vertical="center"/>
    </xf>
    <xf numFmtId="0" fontId="8" fillId="13" borderId="0" xfId="0" applyFont="1" applyFill="1"/>
    <xf numFmtId="0" fontId="39" fillId="15" borderId="7" xfId="0" applyFont="1" applyFill="1" applyBorder="1" applyAlignment="1">
      <alignment horizontal="center"/>
    </xf>
    <xf numFmtId="0" fontId="39" fillId="15" borderId="8" xfId="0" applyFont="1" applyFill="1" applyBorder="1" applyAlignment="1">
      <alignment horizontal="center"/>
    </xf>
    <xf numFmtId="0" fontId="39" fillId="15" borderId="9" xfId="0" applyFont="1" applyFill="1" applyBorder="1" applyAlignment="1">
      <alignment horizontal="center"/>
    </xf>
    <xf numFmtId="0" fontId="39" fillId="15" borderId="2" xfId="0" applyFont="1" applyFill="1" applyBorder="1" applyAlignment="1">
      <alignment horizontal="center"/>
    </xf>
    <xf numFmtId="0" fontId="39" fillId="15" borderId="13" xfId="0" applyFont="1" applyFill="1" applyBorder="1" applyAlignment="1">
      <alignment horizontal="center"/>
    </xf>
    <xf numFmtId="166" fontId="39" fillId="15" borderId="6" xfId="0" applyNumberFormat="1" applyFont="1" applyFill="1" applyBorder="1" applyAlignment="1">
      <alignment horizontal="center"/>
    </xf>
    <xf numFmtId="0" fontId="9" fillId="15" borderId="8" xfId="4" applyFont="1" applyFill="1" applyBorder="1" applyAlignment="1">
      <alignment horizontal="center" vertical="center" wrapText="1"/>
    </xf>
    <xf numFmtId="0" fontId="39" fillId="15" borderId="0" xfId="0" applyFont="1" applyFill="1" applyAlignment="1">
      <alignment horizontal="center" vertical="center"/>
    </xf>
    <xf numFmtId="0" fontId="9" fillId="15" borderId="2" xfId="0" applyFont="1" applyFill="1" applyBorder="1" applyAlignment="1">
      <alignment vertical="center"/>
    </xf>
    <xf numFmtId="0" fontId="9" fillId="15" borderId="3" xfId="0" applyFont="1" applyFill="1" applyBorder="1" applyAlignment="1">
      <alignment horizontal="center"/>
    </xf>
    <xf numFmtId="1" fontId="9" fillId="15" borderId="6" xfId="0" applyNumberFormat="1" applyFont="1" applyFill="1" applyBorder="1" applyAlignment="1">
      <alignment horizontal="center" vertical="center"/>
    </xf>
    <xf numFmtId="1" fontId="9" fillId="15" borderId="13" xfId="0" applyNumberFormat="1" applyFont="1" applyFill="1" applyBorder="1" applyAlignment="1">
      <alignment horizontal="center"/>
    </xf>
    <xf numFmtId="2" fontId="9" fillId="15" borderId="1" xfId="4" applyNumberFormat="1" applyFont="1" applyFill="1" applyBorder="1" applyAlignment="1">
      <alignment horizontal="center" vertical="center"/>
    </xf>
    <xf numFmtId="2" fontId="9" fillId="15" borderId="1" xfId="4" applyNumberFormat="1" applyFont="1" applyFill="1" applyBorder="1" applyAlignment="1">
      <alignment horizontal="center" vertical="center" wrapText="1"/>
    </xf>
    <xf numFmtId="0" fontId="9" fillId="15" borderId="8" xfId="4" applyFont="1" applyFill="1" applyBorder="1" applyAlignment="1">
      <alignment vertical="center"/>
    </xf>
    <xf numFmtId="0" fontId="9" fillId="15" borderId="0" xfId="4" applyNumberFormat="1" applyFont="1" applyFill="1" applyBorder="1" applyAlignment="1">
      <alignment horizontal="center" vertical="center"/>
    </xf>
    <xf numFmtId="2" fontId="9" fillId="15" borderId="1" xfId="0" applyNumberFormat="1" applyFont="1" applyFill="1" applyBorder="1" applyAlignment="1">
      <alignment horizontal="center" vertical="center"/>
    </xf>
    <xf numFmtId="0" fontId="3" fillId="17" borderId="0" xfId="41" applyFill="1"/>
    <xf numFmtId="0" fontId="5" fillId="17" borderId="0" xfId="41" applyFont="1" applyFill="1" applyAlignment="1">
      <alignment horizontal="center"/>
    </xf>
    <xf numFmtId="0" fontId="5" fillId="17" borderId="0" xfId="41" applyFont="1" applyFill="1"/>
    <xf numFmtId="2" fontId="5" fillId="17" borderId="0" xfId="41" applyNumberFormat="1" applyFont="1" applyFill="1"/>
    <xf numFmtId="0" fontId="3" fillId="17" borderId="0" xfId="41" applyFill="1" applyAlignment="1">
      <alignment vertical="center"/>
    </xf>
    <xf numFmtId="2" fontId="3" fillId="17" borderId="0" xfId="41" applyNumberFormat="1" applyFill="1"/>
    <xf numFmtId="166" fontId="3" fillId="17" borderId="0" xfId="41" applyNumberFormat="1" applyFill="1"/>
    <xf numFmtId="0" fontId="3" fillId="17" borderId="0" xfId="41" applyFill="1" applyAlignment="1">
      <alignment horizontal="center"/>
    </xf>
    <xf numFmtId="0" fontId="5" fillId="17" borderId="0" xfId="41" applyFont="1" applyFill="1" applyAlignment="1">
      <alignment horizontal="center" vertical="center"/>
    </xf>
    <xf numFmtId="0" fontId="3" fillId="17" borderId="0" xfId="41" applyFill="1" applyAlignment="1">
      <alignment horizontal="center" vertical="center"/>
    </xf>
    <xf numFmtId="166" fontId="3" fillId="17" borderId="0" xfId="41" applyNumberFormat="1" applyFill="1" applyAlignment="1">
      <alignment horizontal="center" vertical="center"/>
    </xf>
    <xf numFmtId="166" fontId="3" fillId="17" borderId="0" xfId="41" applyNumberFormat="1" applyFill="1" applyAlignment="1">
      <alignment horizontal="center"/>
    </xf>
    <xf numFmtId="0" fontId="33" fillId="17" borderId="0" xfId="43" applyFont="1" applyFill="1"/>
    <xf numFmtId="0" fontId="3" fillId="17" borderId="0" xfId="43" applyFill="1"/>
    <xf numFmtId="2" fontId="35" fillId="17" borderId="0" xfId="43" applyNumberFormat="1" applyFont="1" applyFill="1"/>
    <xf numFmtId="2" fontId="3" fillId="17" borderId="0" xfId="43" applyNumberFormat="1" applyFill="1"/>
    <xf numFmtId="0" fontId="33" fillId="17" borderId="0" xfId="43" applyFont="1" applyFill="1" applyAlignment="1">
      <alignment vertical="center"/>
    </xf>
    <xf numFmtId="2" fontId="34" fillId="17" borderId="0" xfId="43" applyNumberFormat="1" applyFont="1" applyFill="1" applyAlignment="1">
      <alignment vertical="center"/>
    </xf>
    <xf numFmtId="166" fontId="3" fillId="17" borderId="0" xfId="43" applyNumberFormat="1" applyFill="1"/>
    <xf numFmtId="10" fontId="34" fillId="17" borderId="0" xfId="51" applyNumberFormat="1" applyFont="1" applyFill="1" applyAlignment="1">
      <alignment vertical="center"/>
    </xf>
    <xf numFmtId="0" fontId="5" fillId="0" borderId="25" xfId="41" applyFont="1" applyBorder="1" applyAlignment="1">
      <alignment horizontal="center" vertical="center" wrapText="1"/>
    </xf>
    <xf numFmtId="0" fontId="5" fillId="0" borderId="24" xfId="41" applyFont="1" applyBorder="1" applyAlignment="1">
      <alignment horizontal="center" vertical="center" wrapText="1"/>
    </xf>
    <xf numFmtId="2" fontId="5" fillId="0" borderId="11" xfId="41" applyNumberFormat="1" applyFont="1" applyBorder="1" applyAlignment="1">
      <alignment horizontal="center" vertical="center"/>
    </xf>
    <xf numFmtId="0" fontId="9" fillId="15" borderId="7" xfId="0" applyFont="1" applyFill="1" applyBorder="1" applyAlignment="1">
      <alignment horizontal="center" vertical="center"/>
    </xf>
    <xf numFmtId="0" fontId="9" fillId="15" borderId="9" xfId="0" applyFont="1" applyFill="1" applyBorder="1" applyAlignment="1">
      <alignment horizontal="center" vertical="center"/>
    </xf>
    <xf numFmtId="0" fontId="2" fillId="0" borderId="24" xfId="0" applyFont="1" applyBorder="1" applyAlignment="1">
      <alignment horizontal="center" vertical="center"/>
    </xf>
    <xf numFmtId="0" fontId="2" fillId="0" borderId="11" xfId="0" applyFont="1" applyBorder="1" applyAlignment="1">
      <alignment horizontal="center" vertical="center"/>
    </xf>
    <xf numFmtId="2" fontId="2" fillId="0" borderId="2" xfId="0" applyNumberFormat="1" applyFont="1" applyBorder="1" applyAlignment="1">
      <alignment horizontal="center"/>
    </xf>
    <xf numFmtId="0" fontId="42" fillId="14" borderId="0" xfId="0" applyFont="1" applyFill="1" applyAlignment="1">
      <alignment horizontal="left" wrapText="1"/>
    </xf>
    <xf numFmtId="9" fontId="5" fillId="0" borderId="0" xfId="41" applyNumberFormat="1" applyFont="1" applyAlignment="1">
      <alignment horizontal="center" vertical="center"/>
    </xf>
    <xf numFmtId="0" fontId="3" fillId="0" borderId="25" xfId="41" applyBorder="1" applyAlignment="1">
      <alignment horizontal="center" vertical="center"/>
    </xf>
    <xf numFmtId="3" fontId="3" fillId="0" borderId="0" xfId="41" applyNumberFormat="1" applyAlignment="1">
      <alignment vertical="center"/>
    </xf>
    <xf numFmtId="3" fontId="3" fillId="0" borderId="24" xfId="41" applyNumberFormat="1" applyBorder="1"/>
    <xf numFmtId="0" fontId="3" fillId="0" borderId="25" xfId="41" applyBorder="1" applyAlignment="1">
      <alignment horizontal="center" vertical="center" wrapText="1"/>
    </xf>
    <xf numFmtId="3" fontId="3" fillId="0" borderId="10" xfId="41" applyNumberFormat="1" applyBorder="1" applyAlignment="1">
      <alignment horizontal="left" vertical="center" wrapText="1"/>
    </xf>
    <xf numFmtId="2" fontId="5" fillId="0" borderId="1" xfId="41" applyNumberFormat="1" applyFont="1" applyBorder="1" applyAlignment="1">
      <alignment horizontal="center" vertical="center"/>
    </xf>
    <xf numFmtId="0" fontId="9" fillId="15" borderId="2" xfId="0" applyFont="1" applyFill="1" applyBorder="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3" fontId="3" fillId="0" borderId="25" xfId="41" applyNumberFormat="1" applyBorder="1" applyAlignment="1">
      <alignment horizontal="left" vertical="center" wrapText="1"/>
    </xf>
    <xf numFmtId="0" fontId="9" fillId="15" borderId="13" xfId="0" applyFont="1" applyFill="1" applyBorder="1" applyAlignment="1">
      <alignment horizontal="center" vertical="center"/>
    </xf>
    <xf numFmtId="0" fontId="9" fillId="15" borderId="8" xfId="4" applyFont="1" applyFill="1" applyBorder="1" applyAlignment="1">
      <alignment horizontal="center" vertical="center"/>
    </xf>
    <xf numFmtId="0" fontId="8" fillId="0" borderId="3" xfId="0" applyFont="1" applyBorder="1" applyAlignment="1">
      <alignment horizontal="center" vertical="center"/>
    </xf>
    <xf numFmtId="0" fontId="5" fillId="0" borderId="12" xfId="0" applyFont="1" applyBorder="1" applyAlignment="1">
      <alignment horizontal="center" vertical="center"/>
    </xf>
    <xf numFmtId="2" fontId="5" fillId="0" borderId="12" xfId="0" applyNumberFormat="1" applyFont="1" applyBorder="1" applyAlignment="1">
      <alignment horizontal="center" vertical="center"/>
    </xf>
    <xf numFmtId="2" fontId="5" fillId="0" borderId="4" xfId="0" applyNumberFormat="1" applyFont="1" applyBorder="1" applyAlignment="1">
      <alignment horizontal="center" vertical="center"/>
    </xf>
    <xf numFmtId="9" fontId="5" fillId="0" borderId="12" xfId="3" applyFont="1" applyBorder="1" applyAlignment="1">
      <alignment horizontal="center" vertical="center"/>
    </xf>
    <xf numFmtId="9" fontId="5" fillId="0" borderId="4" xfId="3" applyFont="1" applyBorder="1" applyAlignment="1">
      <alignment horizontal="center" vertical="center"/>
    </xf>
    <xf numFmtId="0" fontId="9" fillId="15" borderId="0" xfId="0" applyFont="1" applyFill="1" applyAlignment="1">
      <alignment horizontal="center" vertical="center"/>
    </xf>
    <xf numFmtId="14" fontId="9" fillId="15" borderId="7" xfId="0" applyNumberFormat="1" applyFont="1" applyFill="1" applyBorder="1" applyAlignment="1">
      <alignment horizontal="center" vertical="center"/>
    </xf>
    <xf numFmtId="1" fontId="2" fillId="0" borderId="9" xfId="0" applyNumberFormat="1" applyFont="1" applyBorder="1" applyAlignment="1">
      <alignment horizontal="center"/>
    </xf>
    <xf numFmtId="1" fontId="2" fillId="0" borderId="0" xfId="0" applyNumberFormat="1" applyFont="1" applyAlignment="1">
      <alignment horizontal="center"/>
    </xf>
    <xf numFmtId="1" fontId="2" fillId="0" borderId="1" xfId="0" applyNumberFormat="1" applyFont="1" applyBorder="1" applyAlignment="1">
      <alignment horizontal="center" vertical="center" wrapText="1"/>
    </xf>
    <xf numFmtId="1" fontId="3" fillId="0" borderId="8" xfId="0" applyNumberFormat="1" applyFont="1" applyBorder="1" applyAlignment="1">
      <alignment horizontal="center" vertical="center" wrapText="1"/>
    </xf>
    <xf numFmtId="1" fontId="7" fillId="3" borderId="8" xfId="0" applyNumberFormat="1" applyFont="1" applyFill="1" applyBorder="1" applyAlignment="1">
      <alignment horizontal="center" vertical="center"/>
    </xf>
    <xf numFmtId="1" fontId="3" fillId="0" borderId="0" xfId="0" applyNumberFormat="1" applyFont="1" applyAlignment="1">
      <alignment horizontal="center" vertical="center" wrapText="1"/>
    </xf>
    <xf numFmtId="1" fontId="2" fillId="0" borderId="24" xfId="0" applyNumberFormat="1" applyFont="1" applyBorder="1" applyAlignment="1">
      <alignment horizontal="center"/>
    </xf>
    <xf numFmtId="1" fontId="3" fillId="0" borderId="1" xfId="0" applyNumberFormat="1" applyFont="1" applyBorder="1" applyAlignment="1">
      <alignment horizontal="center" vertical="center" wrapText="1"/>
    </xf>
    <xf numFmtId="1" fontId="2" fillId="0" borderId="11" xfId="0" applyNumberFormat="1" applyFont="1" applyBorder="1" applyAlignment="1">
      <alignment horizontal="center"/>
    </xf>
    <xf numFmtId="1" fontId="3" fillId="0" borderId="8" xfId="45" applyNumberFormat="1" applyFont="1" applyBorder="1" applyAlignment="1">
      <alignment horizontal="center" vertical="center"/>
    </xf>
    <xf numFmtId="1" fontId="3" fillId="0" borderId="0" xfId="45" applyNumberFormat="1" applyFont="1" applyAlignment="1">
      <alignment horizontal="center" vertical="center"/>
    </xf>
    <xf numFmtId="1" fontId="3" fillId="0" borderId="0" xfId="1" applyNumberFormat="1" applyFont="1" applyFill="1" applyBorder="1" applyAlignment="1">
      <alignment horizontal="center" vertical="center"/>
    </xf>
    <xf numFmtId="1" fontId="3" fillId="0" borderId="0" xfId="45" applyNumberFormat="1" applyFont="1" applyAlignment="1">
      <alignment horizontal="center" vertical="center" wrapText="1"/>
    </xf>
    <xf numFmtId="1" fontId="2" fillId="0" borderId="0" xfId="0" applyNumberFormat="1" applyFont="1" applyAlignment="1">
      <alignment horizontal="center" wrapText="1"/>
    </xf>
    <xf numFmtId="1" fontId="2" fillId="0" borderId="1" xfId="0" applyNumberFormat="1" applyFont="1" applyBorder="1" applyAlignment="1">
      <alignment horizontal="center" wrapText="1"/>
    </xf>
    <xf numFmtId="1" fontId="3" fillId="0" borderId="13" xfId="45" applyNumberFormat="1" applyFont="1" applyBorder="1" applyAlignment="1">
      <alignment horizontal="center" vertical="center" wrapText="1"/>
    </xf>
    <xf numFmtId="0" fontId="47" fillId="0" borderId="0" xfId="0" applyFont="1"/>
    <xf numFmtId="0" fontId="47" fillId="0" borderId="1" xfId="0" applyFont="1" applyBorder="1"/>
    <xf numFmtId="0" fontId="47" fillId="14" borderId="0" xfId="0" applyFont="1" applyFill="1"/>
    <xf numFmtId="0" fontId="47" fillId="18" borderId="0" xfId="0" applyFont="1" applyFill="1"/>
    <xf numFmtId="0" fontId="46" fillId="18" borderId="0" xfId="0" applyFont="1" applyFill="1"/>
    <xf numFmtId="0" fontId="2" fillId="18" borderId="0" xfId="0" applyFont="1" applyFill="1" applyAlignment="1">
      <alignment horizontal="center"/>
    </xf>
    <xf numFmtId="0" fontId="2" fillId="18" borderId="0" xfId="0" applyFont="1" applyFill="1"/>
    <xf numFmtId="0" fontId="7" fillId="18" borderId="0" xfId="0" applyFont="1" applyFill="1" applyAlignment="1">
      <alignment horizontal="right" vertical="top" wrapText="1"/>
    </xf>
    <xf numFmtId="0" fontId="2" fillId="18" borderId="0" xfId="0" applyFont="1" applyFill="1" applyAlignment="1">
      <alignment horizontal="center" vertical="center"/>
    </xf>
    <xf numFmtId="0" fontId="2" fillId="18" borderId="0" xfId="0" applyFont="1" applyFill="1" applyAlignment="1">
      <alignment vertical="center"/>
    </xf>
    <xf numFmtId="1" fontId="2" fillId="18" borderId="0" xfId="0" applyNumberFormat="1" applyFont="1" applyFill="1" applyAlignment="1">
      <alignment horizontal="center" vertical="center"/>
    </xf>
    <xf numFmtId="1" fontId="46" fillId="18" borderId="0" xfId="0" applyNumberFormat="1" applyFont="1" applyFill="1"/>
    <xf numFmtId="1" fontId="3" fillId="0" borderId="1" xfId="1" applyNumberFormat="1" applyFont="1" applyFill="1" applyBorder="1" applyAlignment="1">
      <alignment horizontal="center" vertical="center"/>
    </xf>
    <xf numFmtId="1" fontId="39" fillId="15" borderId="9" xfId="0" applyNumberFormat="1" applyFont="1" applyFill="1" applyBorder="1" applyAlignment="1">
      <alignment horizontal="center"/>
    </xf>
    <xf numFmtId="1" fontId="5" fillId="0" borderId="11" xfId="41" applyNumberFormat="1" applyFont="1" applyBorder="1" applyAlignment="1">
      <alignment horizontal="center" vertical="center"/>
    </xf>
    <xf numFmtId="167" fontId="3" fillId="0" borderId="0" xfId="41" applyNumberFormat="1" applyAlignment="1">
      <alignment horizontal="center" vertical="center"/>
    </xf>
    <xf numFmtId="9" fontId="3" fillId="0" borderId="24" xfId="41" applyNumberFormat="1" applyBorder="1" applyAlignment="1">
      <alignment horizontal="center" vertical="center"/>
    </xf>
    <xf numFmtId="0" fontId="5" fillId="0" borderId="0" xfId="43" applyFont="1" applyAlignment="1">
      <alignment vertical="center"/>
    </xf>
    <xf numFmtId="0" fontId="9" fillId="15" borderId="2" xfId="43" applyFont="1" applyFill="1" applyBorder="1" applyAlignment="1">
      <alignment horizontal="center"/>
    </xf>
    <xf numFmtId="0" fontId="5" fillId="0" borderId="12" xfId="43" applyFont="1" applyBorder="1" applyAlignment="1">
      <alignment horizontal="center"/>
    </xf>
    <xf numFmtId="0" fontId="5" fillId="0" borderId="4" xfId="43" applyFont="1" applyBorder="1" applyAlignment="1">
      <alignment horizontal="center"/>
    </xf>
    <xf numFmtId="10" fontId="3" fillId="0" borderId="12" xfId="51" applyNumberFormat="1" applyFont="1" applyBorder="1" applyAlignment="1">
      <alignment horizontal="center" vertical="center"/>
    </xf>
    <xf numFmtId="0" fontId="3" fillId="0" borderId="12" xfId="0" applyFont="1" applyBorder="1" applyAlignment="1">
      <alignment horizontal="center" vertical="center"/>
    </xf>
    <xf numFmtId="10" fontId="3" fillId="0" borderId="12" xfId="0" applyNumberFormat="1" applyFont="1" applyBorder="1" applyAlignment="1">
      <alignment horizontal="center" vertical="center"/>
    </xf>
    <xf numFmtId="10" fontId="3" fillId="0" borderId="4" xfId="0" applyNumberFormat="1" applyFont="1" applyBorder="1" applyAlignment="1">
      <alignment horizontal="center" vertical="center"/>
    </xf>
    <xf numFmtId="0" fontId="3" fillId="0" borderId="0" xfId="0" applyFont="1" applyAlignment="1">
      <alignment horizontal="center"/>
    </xf>
    <xf numFmtId="1" fontId="2" fillId="0" borderId="6" xfId="0" applyNumberFormat="1" applyFont="1" applyBorder="1" applyAlignment="1">
      <alignment horizontal="center" vertical="center"/>
    </xf>
    <xf numFmtId="0" fontId="44" fillId="0" borderId="0" xfId="0" applyFont="1"/>
    <xf numFmtId="0" fontId="50" fillId="18" borderId="0" xfId="0" applyFont="1" applyFill="1"/>
    <xf numFmtId="0" fontId="2" fillId="19" borderId="25" xfId="0" applyFont="1" applyFill="1" applyBorder="1"/>
    <xf numFmtId="0" fontId="8" fillId="19" borderId="3" xfId="0" applyFont="1" applyFill="1" applyBorder="1" applyAlignment="1">
      <alignment horizontal="center" vertical="center" wrapText="1"/>
    </xf>
    <xf numFmtId="1" fontId="3" fillId="19" borderId="8" xfId="0" applyNumberFormat="1" applyFont="1" applyFill="1" applyBorder="1" applyAlignment="1">
      <alignment horizontal="center" vertical="center" wrapText="1"/>
    </xf>
    <xf numFmtId="1" fontId="2" fillId="19" borderId="6" xfId="0" applyNumberFormat="1" applyFont="1" applyFill="1" applyBorder="1" applyAlignment="1">
      <alignment horizontal="center"/>
    </xf>
    <xf numFmtId="0" fontId="51" fillId="18" borderId="0" xfId="0" applyFont="1" applyFill="1"/>
    <xf numFmtId="1" fontId="2" fillId="19" borderId="9" xfId="0" applyNumberFormat="1" applyFont="1" applyFill="1" applyBorder="1" applyAlignment="1">
      <alignment horizontal="center"/>
    </xf>
    <xf numFmtId="1" fontId="2" fillId="19" borderId="24" xfId="0" applyNumberFormat="1" applyFont="1" applyFill="1" applyBorder="1" applyAlignment="1">
      <alignment horizontal="center"/>
    </xf>
    <xf numFmtId="0" fontId="46" fillId="19" borderId="0" xfId="0" applyFont="1" applyFill="1"/>
    <xf numFmtId="0" fontId="2" fillId="19" borderId="0" xfId="0" applyFont="1" applyFill="1" applyAlignment="1">
      <alignment horizontal="center"/>
    </xf>
    <xf numFmtId="0" fontId="2" fillId="19" borderId="0" xfId="0" applyFont="1" applyFill="1"/>
    <xf numFmtId="0" fontId="2" fillId="19" borderId="0" xfId="0" applyFont="1" applyFill="1" applyAlignment="1">
      <alignment horizontal="center" vertical="center"/>
    </xf>
    <xf numFmtId="0" fontId="9" fillId="19" borderId="8" xfId="4" applyFont="1" applyFill="1" applyBorder="1" applyAlignment="1">
      <alignment horizontal="center" vertical="center"/>
    </xf>
    <xf numFmtId="0" fontId="9" fillId="19" borderId="8" xfId="4" applyFont="1" applyFill="1" applyBorder="1" applyAlignment="1">
      <alignment horizontal="center" vertical="center" wrapText="1"/>
    </xf>
    <xf numFmtId="0" fontId="47" fillId="19" borderId="0" xfId="0" applyFont="1" applyFill="1"/>
    <xf numFmtId="0" fontId="39" fillId="19" borderId="0" xfId="0" applyFont="1" applyFill="1" applyAlignment="1">
      <alignment horizontal="center" vertical="center"/>
    </xf>
    <xf numFmtId="1" fontId="2" fillId="19" borderId="0" xfId="0" applyNumberFormat="1" applyFont="1" applyFill="1" applyAlignment="1">
      <alignment horizontal="center" vertical="center"/>
    </xf>
    <xf numFmtId="1" fontId="2" fillId="19" borderId="1" xfId="0" applyNumberFormat="1" applyFont="1" applyFill="1" applyBorder="1" applyAlignment="1">
      <alignment horizontal="center" vertical="center"/>
    </xf>
    <xf numFmtId="1" fontId="3" fillId="19" borderId="24" xfId="41" applyNumberFormat="1" applyFill="1" applyBorder="1" applyAlignment="1">
      <alignment horizontal="center" vertical="center"/>
    </xf>
    <xf numFmtId="0" fontId="51" fillId="19" borderId="0" xfId="0" applyFont="1" applyFill="1"/>
    <xf numFmtId="166" fontId="43" fillId="19" borderId="0" xfId="41" applyNumberFormat="1" applyFont="1" applyFill="1" applyAlignment="1">
      <alignment vertical="center"/>
    </xf>
    <xf numFmtId="1" fontId="37" fillId="0" borderId="0" xfId="3" applyNumberFormat="1" applyFont="1" applyAlignment="1">
      <alignment horizontal="center"/>
    </xf>
    <xf numFmtId="0" fontId="52" fillId="0" borderId="0" xfId="0" applyFont="1" applyAlignment="1">
      <alignment vertical="center"/>
    </xf>
    <xf numFmtId="0" fontId="53" fillId="0" borderId="26" xfId="0" applyFont="1" applyBorder="1" applyAlignment="1">
      <alignment vertical="center"/>
    </xf>
    <xf numFmtId="0" fontId="53" fillId="0" borderId="27" xfId="0" applyFont="1" applyBorder="1" applyAlignment="1">
      <alignment horizontal="right" vertical="center"/>
    </xf>
    <xf numFmtId="0" fontId="53" fillId="0" borderId="28" xfId="0" applyFont="1" applyBorder="1" applyAlignment="1">
      <alignment vertical="center"/>
    </xf>
    <xf numFmtId="0" fontId="53" fillId="0" borderId="29" xfId="0" applyFont="1" applyBorder="1" applyAlignment="1">
      <alignment horizontal="right" vertical="center"/>
    </xf>
    <xf numFmtId="0" fontId="53" fillId="0" borderId="26" xfId="0" applyFont="1" applyBorder="1" applyAlignment="1">
      <alignment vertical="center" wrapText="1"/>
    </xf>
    <xf numFmtId="0" fontId="53" fillId="0" borderId="27" xfId="0" applyFont="1" applyBorder="1" applyAlignment="1">
      <alignment horizontal="right" vertical="center" wrapText="1"/>
    </xf>
    <xf numFmtId="0" fontId="53" fillId="0" borderId="28" xfId="0" applyFont="1" applyBorder="1" applyAlignment="1">
      <alignment vertical="center" wrapText="1"/>
    </xf>
    <xf numFmtId="0" fontId="53" fillId="0" borderId="29" xfId="0" applyFont="1" applyBorder="1" applyAlignment="1">
      <alignment horizontal="right" vertical="center" wrapText="1"/>
    </xf>
    <xf numFmtId="0" fontId="9" fillId="15" borderId="4" xfId="43" applyFont="1" applyFill="1" applyBorder="1" applyAlignment="1">
      <alignment horizontal="center" vertical="center"/>
    </xf>
    <xf numFmtId="0" fontId="9" fillId="15" borderId="12" xfId="0" applyFont="1" applyFill="1" applyBorder="1" applyAlignment="1">
      <alignment horizontal="center" vertical="center"/>
    </xf>
    <xf numFmtId="0" fontId="5" fillId="0" borderId="7" xfId="41" applyFont="1" applyBorder="1" applyAlignment="1">
      <alignment horizontal="center" vertical="center"/>
    </xf>
    <xf numFmtId="9" fontId="3" fillId="0" borderId="8" xfId="41" applyNumberFormat="1" applyBorder="1" applyAlignment="1">
      <alignment horizontal="center" vertical="center"/>
    </xf>
    <xf numFmtId="9" fontId="3" fillId="0" borderId="9" xfId="41" applyNumberFormat="1" applyBorder="1" applyAlignment="1">
      <alignment horizontal="center" vertical="center"/>
    </xf>
    <xf numFmtId="0" fontId="56" fillId="14" borderId="3" xfId="52" applyFont="1" applyFill="1" applyBorder="1" applyAlignment="1">
      <alignment horizontal="left"/>
    </xf>
    <xf numFmtId="0" fontId="56" fillId="14" borderId="6" xfId="52" applyFont="1" applyFill="1" applyBorder="1"/>
    <xf numFmtId="0" fontId="54" fillId="14" borderId="0" xfId="52" applyFont="1" applyFill="1"/>
    <xf numFmtId="0" fontId="56" fillId="14" borderId="0" xfId="52" applyFont="1" applyFill="1" applyAlignment="1">
      <alignment horizontal="left"/>
    </xf>
    <xf numFmtId="0" fontId="56" fillId="14" borderId="11" xfId="52" applyFont="1" applyFill="1" applyBorder="1"/>
    <xf numFmtId="0" fontId="54" fillId="14" borderId="4" xfId="52" applyFont="1" applyFill="1" applyBorder="1"/>
    <xf numFmtId="0" fontId="54" fillId="14" borderId="2" xfId="52" applyFont="1" applyFill="1" applyBorder="1" applyAlignment="1">
      <alignment horizontal="center"/>
    </xf>
    <xf numFmtId="0" fontId="54" fillId="14" borderId="2" xfId="52" applyFont="1" applyFill="1" applyBorder="1"/>
    <xf numFmtId="1" fontId="54" fillId="14" borderId="2" xfId="52" applyNumberFormat="1" applyFont="1" applyFill="1" applyBorder="1" applyAlignment="1">
      <alignment horizontal="center"/>
    </xf>
    <xf numFmtId="9" fontId="54" fillId="14" borderId="2" xfId="52" applyNumberFormat="1" applyFont="1" applyFill="1" applyBorder="1" applyAlignment="1">
      <alignment horizontal="center"/>
    </xf>
    <xf numFmtId="3" fontId="54" fillId="14" borderId="2" xfId="52" applyNumberFormat="1" applyFont="1" applyFill="1" applyBorder="1" applyAlignment="1">
      <alignment horizontal="center"/>
    </xf>
    <xf numFmtId="1" fontId="54" fillId="14" borderId="0" xfId="52" applyNumberFormat="1" applyFont="1" applyFill="1"/>
    <xf numFmtId="0" fontId="54" fillId="20" borderId="2" xfId="52" applyFont="1" applyFill="1" applyBorder="1"/>
    <xf numFmtId="0" fontId="54" fillId="20" borderId="2" xfId="52" quotePrefix="1" applyFont="1" applyFill="1" applyBorder="1" applyAlignment="1">
      <alignment horizontal="center"/>
    </xf>
    <xf numFmtId="0" fontId="54" fillId="20" borderId="2" xfId="52" applyFont="1" applyFill="1" applyBorder="1" applyAlignment="1">
      <alignment horizontal="center"/>
    </xf>
    <xf numFmtId="0" fontId="2" fillId="0" borderId="2" xfId="0" applyFont="1" applyBorder="1"/>
    <xf numFmtId="0" fontId="2" fillId="0" borderId="2" xfId="0" applyFont="1" applyBorder="1" applyAlignment="1">
      <alignment wrapText="1"/>
    </xf>
    <xf numFmtId="2" fontId="2" fillId="0" borderId="2" xfId="0" applyNumberFormat="1" applyFont="1" applyBorder="1"/>
    <xf numFmtId="166" fontId="2" fillId="0" borderId="2" xfId="0" applyNumberFormat="1" applyFont="1" applyBorder="1"/>
    <xf numFmtId="0" fontId="2" fillId="0" borderId="2" xfId="0" applyFont="1" applyBorder="1" applyAlignment="1">
      <alignment horizontal="center" vertical="center"/>
    </xf>
    <xf numFmtId="1" fontId="2" fillId="0" borderId="2" xfId="0" applyNumberFormat="1" applyFont="1" applyBorder="1"/>
    <xf numFmtId="0" fontId="7" fillId="0" borderId="0" xfId="0" applyFont="1" applyAlignment="1">
      <alignment horizontal="center" vertical="center" wrapText="1"/>
    </xf>
    <xf numFmtId="0" fontId="8" fillId="0" borderId="0" xfId="0" applyFont="1" applyAlignment="1">
      <alignment horizontal="center"/>
    </xf>
    <xf numFmtId="3" fontId="8" fillId="0" borderId="0" xfId="0" applyNumberFormat="1" applyFont="1" applyAlignment="1">
      <alignment horizontal="center"/>
    </xf>
    <xf numFmtId="3" fontId="2" fillId="22" borderId="2" xfId="0" applyNumberFormat="1" applyFont="1" applyFill="1" applyBorder="1" applyAlignment="1">
      <alignment horizontal="center"/>
    </xf>
    <xf numFmtId="0" fontId="2" fillId="0" borderId="2" xfId="0" applyFont="1" applyBorder="1" applyAlignment="1">
      <alignment horizontal="center"/>
    </xf>
    <xf numFmtId="1" fontId="2" fillId="0" borderId="2" xfId="0" applyNumberFormat="1" applyFont="1" applyBorder="1" applyAlignment="1">
      <alignment horizontal="center"/>
    </xf>
    <xf numFmtId="9" fontId="2" fillId="0" borderId="2" xfId="0" applyNumberFormat="1" applyFont="1" applyBorder="1" applyAlignment="1">
      <alignment horizontal="center"/>
    </xf>
    <xf numFmtId="3" fontId="3" fillId="14" borderId="2" xfId="69" applyNumberFormat="1" applyFont="1" applyFill="1" applyBorder="1" applyAlignment="1">
      <alignment horizontal="center"/>
    </xf>
    <xf numFmtId="4" fontId="8" fillId="0" borderId="0" xfId="0" applyNumberFormat="1" applyFont="1" applyAlignment="1">
      <alignment horizontal="center"/>
    </xf>
    <xf numFmtId="9" fontId="2" fillId="0" borderId="0" xfId="0" applyNumberFormat="1" applyFont="1" applyAlignment="1">
      <alignment horizontal="center"/>
    </xf>
    <xf numFmtId="3" fontId="3" fillId="0" borderId="0" xfId="69" applyNumberFormat="1" applyFont="1" applyAlignment="1">
      <alignment horizontal="center" vertical="top"/>
    </xf>
    <xf numFmtId="1" fontId="9" fillId="15" borderId="13" xfId="0" applyNumberFormat="1" applyFont="1" applyFill="1" applyBorder="1" applyAlignment="1">
      <alignment horizontal="center" vertical="center"/>
    </xf>
    <xf numFmtId="1" fontId="39" fillId="15" borderId="2" xfId="0" applyNumberFormat="1" applyFont="1" applyFill="1" applyBorder="1" applyAlignment="1">
      <alignment horizontal="center"/>
    </xf>
    <xf numFmtId="9" fontId="9" fillId="15" borderId="13" xfId="3" applyFont="1" applyFill="1" applyBorder="1" applyAlignment="1">
      <alignment horizontal="center" vertical="center"/>
    </xf>
    <xf numFmtId="1" fontId="9" fillId="15" borderId="3" xfId="0" applyNumberFormat="1" applyFont="1" applyFill="1" applyBorder="1" applyAlignment="1">
      <alignment horizontal="center" vertical="center"/>
    </xf>
    <xf numFmtId="0" fontId="43" fillId="13" borderId="0" xfId="0" applyFont="1" applyFill="1"/>
    <xf numFmtId="0" fontId="2" fillId="0" borderId="2" xfId="0" applyFont="1" applyBorder="1" applyAlignment="1">
      <alignment horizontal="left"/>
    </xf>
    <xf numFmtId="0" fontId="9" fillId="15" borderId="2" xfId="0" applyFont="1" applyFill="1" applyBorder="1" applyAlignment="1">
      <alignment horizontal="center"/>
    </xf>
    <xf numFmtId="0" fontId="9" fillId="15" borderId="2" xfId="0" applyFont="1" applyFill="1" applyBorder="1" applyAlignment="1">
      <alignment horizontal="left"/>
    </xf>
    <xf numFmtId="1" fontId="9" fillId="15" borderId="2" xfId="0" applyNumberFormat="1" applyFont="1" applyFill="1" applyBorder="1" applyAlignment="1">
      <alignment horizontal="center"/>
    </xf>
    <xf numFmtId="1" fontId="3" fillId="0" borderId="8" xfId="0" applyNumberFormat="1" applyFont="1" applyBorder="1" applyAlignment="1">
      <alignment horizontal="center" vertical="center"/>
    </xf>
    <xf numFmtId="1" fontId="3" fillId="0" borderId="8" xfId="1" applyNumberFormat="1" applyFont="1" applyFill="1" applyBorder="1" applyAlignment="1">
      <alignment horizontal="center" vertical="center"/>
    </xf>
    <xf numFmtId="1" fontId="3" fillId="0" borderId="1" xfId="45" applyNumberFormat="1" applyFont="1" applyBorder="1" applyAlignment="1">
      <alignment horizontal="center" vertical="center"/>
    </xf>
    <xf numFmtId="4" fontId="3" fillId="0" borderId="0" xfId="0" applyNumberFormat="1" applyFont="1" applyAlignment="1">
      <alignment horizontal="center" vertical="center"/>
    </xf>
    <xf numFmtId="3" fontId="3" fillId="0" borderId="0" xfId="0" applyNumberFormat="1" applyFont="1" applyAlignment="1" applyProtection="1">
      <alignment horizontal="center" vertical="center"/>
      <protection locked="0"/>
    </xf>
    <xf numFmtId="10" fontId="3" fillId="0" borderId="8" xfId="0" applyNumberFormat="1" applyFont="1" applyBorder="1" applyAlignment="1">
      <alignment horizontal="center"/>
    </xf>
    <xf numFmtId="3" fontId="2" fillId="0" borderId="0" xfId="0" applyNumberFormat="1" applyFont="1"/>
    <xf numFmtId="3" fontId="48" fillId="0" borderId="0" xfId="0" applyNumberFormat="1" applyFont="1" applyAlignment="1">
      <alignment horizontal="center"/>
    </xf>
    <xf numFmtId="0" fontId="48" fillId="0" borderId="0" xfId="0" applyFont="1" applyAlignment="1">
      <alignment horizontal="center"/>
    </xf>
    <xf numFmtId="0" fontId="43" fillId="0" borderId="0" xfId="0" applyFont="1" applyAlignment="1">
      <alignment horizontal="center"/>
    </xf>
    <xf numFmtId="2" fontId="43" fillId="0" borderId="0" xfId="0" applyNumberFormat="1" applyFont="1" applyAlignment="1">
      <alignment horizontal="center" vertical="center"/>
    </xf>
    <xf numFmtId="2" fontId="6" fillId="0" borderId="0" xfId="0" applyNumberFormat="1" applyFont="1" applyAlignment="1">
      <alignment horizontal="center" vertical="center"/>
    </xf>
    <xf numFmtId="2" fontId="8" fillId="0" borderId="0" xfId="0" applyNumberFormat="1" applyFont="1" applyAlignment="1">
      <alignment horizontal="center"/>
    </xf>
    <xf numFmtId="0" fontId="5" fillId="14" borderId="0" xfId="0" applyFont="1" applyFill="1" applyAlignment="1">
      <alignment horizontal="center" vertical="center"/>
    </xf>
    <xf numFmtId="0" fontId="3" fillId="14" borderId="2" xfId="0" applyFont="1" applyFill="1" applyBorder="1" applyAlignment="1">
      <alignment horizontal="center" vertical="center"/>
    </xf>
    <xf numFmtId="0" fontId="3" fillId="14" borderId="2" xfId="0" applyFont="1" applyFill="1" applyBorder="1" applyAlignment="1">
      <alignment vertical="center"/>
    </xf>
    <xf numFmtId="0" fontId="3" fillId="14" borderId="0" xfId="0" applyFont="1" applyFill="1" applyAlignment="1">
      <alignment horizontal="center" vertical="center"/>
    </xf>
    <xf numFmtId="0" fontId="3" fillId="14" borderId="0" xfId="0" applyFont="1" applyFill="1" applyAlignment="1">
      <alignment vertical="center"/>
    </xf>
    <xf numFmtId="172" fontId="3" fillId="14" borderId="0" xfId="0" applyNumberFormat="1" applyFont="1" applyFill="1" applyAlignment="1">
      <alignment vertical="center"/>
    </xf>
    <xf numFmtId="172" fontId="3" fillId="14" borderId="0" xfId="0" applyNumberFormat="1" applyFont="1" applyFill="1" applyAlignment="1">
      <alignment horizontal="right" vertical="center"/>
    </xf>
    <xf numFmtId="0" fontId="3" fillId="14" borderId="0" xfId="0" applyFont="1" applyFill="1" applyAlignment="1">
      <alignment horizontal="left" vertical="center"/>
    </xf>
    <xf numFmtId="0" fontId="3" fillId="14" borderId="0" xfId="0" applyFont="1" applyFill="1" applyAlignment="1">
      <alignment horizontal="right" vertical="center"/>
    </xf>
    <xf numFmtId="0" fontId="3" fillId="14" borderId="2" xfId="0" applyFont="1" applyFill="1" applyBorder="1" applyAlignment="1">
      <alignment horizontal="left" vertical="center"/>
    </xf>
    <xf numFmtId="0" fontId="3" fillId="14" borderId="2" xfId="41" applyFill="1" applyBorder="1" applyAlignment="1">
      <alignment horizontal="center" vertical="center"/>
    </xf>
    <xf numFmtId="0" fontId="43" fillId="14" borderId="2" xfId="0" applyFont="1" applyFill="1" applyBorder="1" applyAlignment="1">
      <alignment horizontal="center" vertical="center"/>
    </xf>
    <xf numFmtId="0" fontId="43" fillId="14" borderId="0" xfId="0" applyFont="1" applyFill="1" applyAlignment="1">
      <alignment horizontal="center" vertical="center"/>
    </xf>
    <xf numFmtId="0" fontId="3" fillId="14" borderId="0" xfId="41" applyFill="1" applyAlignment="1">
      <alignment horizontal="center" vertical="center"/>
    </xf>
    <xf numFmtId="0" fontId="3" fillId="14" borderId="12" xfId="0" applyFont="1" applyFill="1" applyBorder="1" applyAlignment="1">
      <alignment horizontal="center" vertical="center"/>
    </xf>
    <xf numFmtId="0" fontId="3" fillId="14" borderId="12" xfId="0" applyFont="1" applyFill="1" applyBorder="1" applyAlignment="1">
      <alignment vertical="center"/>
    </xf>
    <xf numFmtId="0" fontId="3" fillId="14" borderId="12" xfId="0" applyFont="1" applyFill="1" applyBorder="1" applyAlignment="1">
      <alignment horizontal="left" vertical="center"/>
    </xf>
    <xf numFmtId="0" fontId="5" fillId="14" borderId="2" xfId="0" applyFont="1" applyFill="1" applyBorder="1" applyAlignment="1">
      <alignment horizontal="center" vertical="center"/>
    </xf>
    <xf numFmtId="0" fontId="48" fillId="13" borderId="0" xfId="0" applyFont="1" applyFill="1"/>
    <xf numFmtId="1" fontId="43" fillId="0" borderId="0" xfId="0" applyNumberFormat="1" applyFont="1" applyAlignment="1">
      <alignment horizontal="center"/>
    </xf>
    <xf numFmtId="0" fontId="43" fillId="0" borderId="0" xfId="0" applyFont="1"/>
    <xf numFmtId="3" fontId="43" fillId="0" borderId="2" xfId="0" applyNumberFormat="1" applyFont="1" applyBorder="1" applyAlignment="1">
      <alignment horizontal="center"/>
    </xf>
    <xf numFmtId="173" fontId="3" fillId="14" borderId="2" xfId="0" applyNumberFormat="1" applyFont="1" applyFill="1" applyBorder="1" applyAlignment="1">
      <alignment vertical="center"/>
    </xf>
    <xf numFmtId="0" fontId="3" fillId="14" borderId="0" xfId="0" applyFont="1" applyFill="1" applyAlignment="1">
      <alignment horizontal="center"/>
    </xf>
    <xf numFmtId="0" fontId="5" fillId="14" borderId="0" xfId="0" applyFont="1" applyFill="1" applyAlignment="1">
      <alignment horizontal="left"/>
    </xf>
    <xf numFmtId="0" fontId="3" fillId="14" borderId="0" xfId="0" applyFont="1" applyFill="1"/>
    <xf numFmtId="0" fontId="3" fillId="14" borderId="0" xfId="0" applyFont="1" applyFill="1" applyAlignment="1">
      <alignment horizontal="right"/>
    </xf>
    <xf numFmtId="0" fontId="3" fillId="14" borderId="0" xfId="0" applyFont="1" applyFill="1" applyAlignment="1">
      <alignment horizontal="left"/>
    </xf>
    <xf numFmtId="171" fontId="3" fillId="14" borderId="5" xfId="0" applyNumberFormat="1" applyFont="1" applyFill="1" applyBorder="1" applyAlignment="1">
      <alignment horizontal="center"/>
    </xf>
    <xf numFmtId="0" fontId="3" fillId="14" borderId="2" xfId="0" applyFont="1" applyFill="1" applyBorder="1" applyAlignment="1">
      <alignment horizontal="center"/>
    </xf>
    <xf numFmtId="0" fontId="3" fillId="14" borderId="2" xfId="0" applyFont="1" applyFill="1" applyBorder="1"/>
    <xf numFmtId="172" fontId="3" fillId="14" borderId="0" xfId="0" applyNumberFormat="1" applyFont="1" applyFill="1" applyAlignment="1">
      <alignment horizontal="center"/>
    </xf>
    <xf numFmtId="172" fontId="3" fillId="14" borderId="2" xfId="0" applyNumberFormat="1" applyFont="1" applyFill="1" applyBorder="1" applyAlignment="1">
      <alignment horizontal="center"/>
    </xf>
    <xf numFmtId="0" fontId="3" fillId="14" borderId="2" xfId="0" applyFont="1" applyFill="1" applyBorder="1" applyAlignment="1">
      <alignment horizontal="left"/>
    </xf>
    <xf numFmtId="10" fontId="3" fillId="14" borderId="0" xfId="0" applyNumberFormat="1" applyFont="1" applyFill="1" applyAlignment="1">
      <alignment horizontal="center"/>
    </xf>
    <xf numFmtId="166" fontId="3" fillId="14" borderId="0" xfId="0" applyNumberFormat="1" applyFont="1" applyFill="1" applyAlignment="1">
      <alignment horizontal="center"/>
    </xf>
    <xf numFmtId="172" fontId="3" fillId="14" borderId="0" xfId="0" applyNumberFormat="1" applyFont="1" applyFill="1"/>
    <xf numFmtId="0" fontId="5" fillId="14" borderId="2" xfId="0" applyFont="1" applyFill="1" applyBorder="1"/>
    <xf numFmtId="172" fontId="5" fillId="14" borderId="2" xfId="0" applyNumberFormat="1" applyFont="1" applyFill="1" applyBorder="1" applyAlignment="1">
      <alignment horizontal="center"/>
    </xf>
    <xf numFmtId="0" fontId="5" fillId="14" borderId="0" xfId="0" applyFont="1" applyFill="1"/>
    <xf numFmtId="2" fontId="3" fillId="14" borderId="0" xfId="0" applyNumberFormat="1" applyFont="1" applyFill="1" applyAlignment="1">
      <alignment horizontal="center"/>
    </xf>
    <xf numFmtId="175" fontId="3" fillId="14" borderId="0" xfId="0" applyNumberFormat="1" applyFont="1" applyFill="1"/>
    <xf numFmtId="175" fontId="3" fillId="14" borderId="0" xfId="0" applyNumberFormat="1" applyFont="1" applyFill="1" applyAlignment="1">
      <alignment horizontal="center"/>
    </xf>
    <xf numFmtId="166" fontId="3" fillId="14" borderId="0" xfId="0" applyNumberFormat="1" applyFont="1" applyFill="1"/>
    <xf numFmtId="176" fontId="5" fillId="14" borderId="0" xfId="0" applyNumberFormat="1" applyFont="1" applyFill="1" applyAlignment="1">
      <alignment horizontal="center"/>
    </xf>
    <xf numFmtId="172" fontId="5" fillId="14" borderId="0" xfId="0" applyNumberFormat="1" applyFont="1" applyFill="1" applyAlignment="1">
      <alignment horizontal="center"/>
    </xf>
    <xf numFmtId="0" fontId="3" fillId="14" borderId="0" xfId="0" applyFont="1" applyFill="1" applyAlignment="1">
      <alignment horizontal="fill"/>
    </xf>
    <xf numFmtId="0" fontId="3" fillId="0" borderId="2" xfId="0" applyFont="1" applyBorder="1" applyAlignment="1">
      <alignment horizontal="center"/>
    </xf>
    <xf numFmtId="0" fontId="3" fillId="0" borderId="2" xfId="0" applyFont="1" applyBorder="1"/>
    <xf numFmtId="0" fontId="3" fillId="0" borderId="2" xfId="0" applyFont="1" applyBorder="1" applyAlignment="1">
      <alignment horizontal="center" vertical="center"/>
    </xf>
    <xf numFmtId="0" fontId="3" fillId="0" borderId="0" xfId="0" applyFont="1"/>
    <xf numFmtId="0" fontId="3" fillId="0" borderId="6" xfId="0" applyFont="1" applyBorder="1"/>
    <xf numFmtId="0" fontId="3" fillId="0" borderId="5" xfId="0" applyFont="1" applyBorder="1" applyAlignment="1">
      <alignment horizontal="center"/>
    </xf>
    <xf numFmtId="172" fontId="3" fillId="0" borderId="0" xfId="0" applyNumberFormat="1" applyFont="1" applyAlignment="1">
      <alignment horizontal="center"/>
    </xf>
    <xf numFmtId="167" fontId="3" fillId="14" borderId="0" xfId="0" applyNumberFormat="1" applyFont="1" applyFill="1" applyAlignment="1">
      <alignment horizontal="center"/>
    </xf>
    <xf numFmtId="0" fontId="3" fillId="0" borderId="5" xfId="0" applyFont="1" applyBorder="1" applyAlignment="1">
      <alignment horizontal="center" vertical="center"/>
    </xf>
    <xf numFmtId="1" fontId="3" fillId="0" borderId="5" xfId="0" applyNumberFormat="1" applyFont="1" applyBorder="1" applyAlignment="1">
      <alignment horizontal="center" vertical="center"/>
    </xf>
    <xf numFmtId="2" fontId="3" fillId="0" borderId="5" xfId="0" applyNumberFormat="1" applyFont="1" applyBorder="1" applyAlignment="1">
      <alignment horizontal="center" vertical="center"/>
    </xf>
    <xf numFmtId="166" fontId="3" fillId="0" borderId="5" xfId="0" applyNumberFormat="1" applyFont="1" applyBorder="1" applyAlignment="1">
      <alignment horizontal="center" vertical="center"/>
    </xf>
    <xf numFmtId="0" fontId="46" fillId="0" borderId="0" xfId="0" applyFont="1"/>
    <xf numFmtId="0" fontId="5" fillId="0" borderId="2" xfId="0" applyFont="1" applyBorder="1"/>
    <xf numFmtId="171" fontId="3" fillId="14" borderId="0" xfId="0" applyNumberFormat="1" applyFont="1" applyFill="1" applyAlignment="1">
      <alignment horizontal="center"/>
    </xf>
    <xf numFmtId="171" fontId="3" fillId="19" borderId="2" xfId="0" applyNumberFormat="1" applyFont="1" applyFill="1" applyBorder="1" applyAlignment="1">
      <alignment horizontal="center"/>
    </xf>
    <xf numFmtId="0" fontId="3" fillId="0" borderId="0" xfId="0" applyFont="1" applyAlignment="1">
      <alignment horizontal="right"/>
    </xf>
    <xf numFmtId="0" fontId="3" fillId="0" borderId="0" xfId="0" applyFont="1" applyAlignment="1">
      <alignment horizontal="left"/>
    </xf>
    <xf numFmtId="0" fontId="3" fillId="0" borderId="5" xfId="0" applyFont="1" applyBorder="1" applyAlignment="1">
      <alignment horizontal="left"/>
    </xf>
    <xf numFmtId="0" fontId="48" fillId="0" borderId="2" xfId="0" applyFont="1" applyBorder="1" applyAlignment="1">
      <alignment horizontal="center"/>
    </xf>
    <xf numFmtId="0" fontId="48" fillId="0" borderId="6" xfId="0" applyFont="1" applyBorder="1"/>
    <xf numFmtId="0" fontId="48" fillId="0" borderId="2" xfId="0" applyFont="1" applyBorder="1"/>
    <xf numFmtId="2" fontId="3" fillId="0" borderId="3" xfId="0" applyNumberFormat="1" applyFont="1" applyBorder="1" applyAlignment="1">
      <alignment horizontal="center"/>
    </xf>
    <xf numFmtId="1" fontId="3" fillId="0" borderId="3" xfId="0" applyNumberFormat="1" applyFont="1" applyBorder="1" applyAlignment="1">
      <alignment horizontal="center"/>
    </xf>
    <xf numFmtId="2" fontId="48" fillId="0" borderId="3" xfId="0" applyNumberFormat="1" applyFont="1" applyBorder="1" applyAlignment="1">
      <alignment horizontal="center"/>
    </xf>
    <xf numFmtId="0" fontId="48" fillId="0" borderId="0" xfId="0" applyFont="1"/>
    <xf numFmtId="0" fontId="3" fillId="0" borderId="12" xfId="0" applyFont="1" applyBorder="1" applyAlignment="1">
      <alignment horizontal="left" vertical="center"/>
    </xf>
    <xf numFmtId="0" fontId="3" fillId="0" borderId="0" xfId="0" applyFont="1" applyAlignment="1">
      <alignment vertical="center"/>
    </xf>
    <xf numFmtId="0" fontId="3" fillId="0" borderId="0" xfId="0" applyFont="1" applyAlignment="1">
      <alignment horizontal="left" vertical="center"/>
    </xf>
    <xf numFmtId="171" fontId="3" fillId="0" borderId="2" xfId="0" applyNumberFormat="1" applyFont="1" applyBorder="1" applyAlignment="1">
      <alignment horizontal="center" vertical="center"/>
    </xf>
    <xf numFmtId="172" fontId="3" fillId="0" borderId="0" xfId="0" applyNumberFormat="1" applyFont="1" applyAlignment="1">
      <alignment horizontal="center" vertical="center"/>
    </xf>
    <xf numFmtId="2" fontId="3" fillId="0" borderId="0" xfId="0" applyNumberFormat="1" applyFont="1" applyAlignment="1">
      <alignment horizontal="center" vertical="center"/>
    </xf>
    <xf numFmtId="172" fontId="3" fillId="0" borderId="0" xfId="0" applyNumberFormat="1" applyFont="1" applyAlignment="1">
      <alignment vertical="center"/>
    </xf>
    <xf numFmtId="0" fontId="3" fillId="0" borderId="0" xfId="0" applyFont="1" applyAlignment="1">
      <alignment horizontal="center" vertical="center"/>
    </xf>
    <xf numFmtId="0" fontId="3" fillId="0" borderId="2" xfId="0" applyFont="1" applyBorder="1" applyAlignment="1">
      <alignment horizontal="left" vertical="center"/>
    </xf>
    <xf numFmtId="0" fontId="5" fillId="0" borderId="2" xfId="0" applyFont="1" applyBorder="1" applyAlignment="1">
      <alignment horizontal="center" vertical="center"/>
    </xf>
    <xf numFmtId="0" fontId="3" fillId="0" borderId="5" xfId="0" applyFont="1" applyBorder="1" applyAlignment="1">
      <alignment horizontal="left" vertical="center"/>
    </xf>
    <xf numFmtId="171" fontId="3" fillId="0" borderId="5" xfId="0" applyNumberFormat="1" applyFont="1" applyBorder="1" applyAlignment="1">
      <alignment horizontal="center" vertical="center"/>
    </xf>
    <xf numFmtId="171" fontId="3" fillId="0" borderId="12" xfId="0" applyNumberFormat="1" applyFont="1" applyBorder="1" applyAlignment="1">
      <alignment horizontal="center" vertical="center"/>
    </xf>
    <xf numFmtId="0" fontId="3" fillId="0" borderId="4" xfId="0" applyFont="1" applyBorder="1" applyAlignment="1">
      <alignment horizontal="left" vertical="center"/>
    </xf>
    <xf numFmtId="171" fontId="3" fillId="0" borderId="4" xfId="0" applyNumberFormat="1" applyFont="1" applyBorder="1" applyAlignment="1">
      <alignment horizontal="center" vertical="center"/>
    </xf>
    <xf numFmtId="166" fontId="3" fillId="0" borderId="2" xfId="0" applyNumberFormat="1" applyFont="1" applyBorder="1" applyAlignment="1">
      <alignment horizontal="center" vertical="center"/>
    </xf>
    <xf numFmtId="1" fontId="3" fillId="0" borderId="2" xfId="0" applyNumberFormat="1" applyFont="1" applyBorder="1" applyAlignment="1">
      <alignment horizontal="center" vertical="center"/>
    </xf>
    <xf numFmtId="0" fontId="3" fillId="0" borderId="5" xfId="0" applyFont="1" applyBorder="1" applyAlignment="1">
      <alignment vertical="center"/>
    </xf>
    <xf numFmtId="0" fontId="5" fillId="0" borderId="2" xfId="0" applyFont="1" applyBorder="1" applyAlignment="1">
      <alignment horizontal="left" vertical="center"/>
    </xf>
    <xf numFmtId="0" fontId="3" fillId="0" borderId="2" xfId="59" applyFont="1" applyBorder="1" applyAlignment="1">
      <alignment horizontal="center" vertical="center"/>
    </xf>
    <xf numFmtId="0" fontId="39" fillId="15" borderId="2" xfId="4" applyFont="1" applyFill="1" applyBorder="1" applyAlignment="1">
      <alignment vertical="center"/>
    </xf>
    <xf numFmtId="0" fontId="9" fillId="15" borderId="2" xfId="4" applyNumberFormat="1" applyFont="1" applyFill="1" applyBorder="1" applyAlignment="1">
      <alignment horizontal="center" vertical="center"/>
    </xf>
    <xf numFmtId="9" fontId="9" fillId="15" borderId="2" xfId="3" applyFont="1" applyFill="1" applyBorder="1" applyAlignment="1">
      <alignment vertical="center"/>
    </xf>
    <xf numFmtId="2" fontId="9" fillId="15" borderId="2" xfId="4" applyNumberFormat="1" applyFont="1" applyFill="1" applyBorder="1" applyAlignment="1">
      <alignment horizontal="center" vertical="center"/>
    </xf>
    <xf numFmtId="2" fontId="9" fillId="15" borderId="2" xfId="4" applyNumberFormat="1" applyFont="1" applyFill="1" applyBorder="1" applyAlignment="1">
      <alignment horizontal="center" vertical="center" wrapText="1"/>
    </xf>
    <xf numFmtId="2" fontId="9" fillId="0" borderId="2" xfId="4" applyNumberFormat="1" applyFont="1" applyFill="1" applyBorder="1" applyAlignment="1">
      <alignment horizontal="center" vertical="center"/>
    </xf>
    <xf numFmtId="2" fontId="9" fillId="0" borderId="2" xfId="4" applyNumberFormat="1" applyFont="1" applyFill="1" applyBorder="1" applyAlignment="1">
      <alignment horizontal="center" vertical="center" wrapText="1"/>
    </xf>
    <xf numFmtId="0" fontId="8" fillId="0" borderId="2" xfId="0" applyFont="1" applyBorder="1" applyAlignment="1">
      <alignment horizontal="left" vertical="center"/>
    </xf>
    <xf numFmtId="1" fontId="8" fillId="0" borderId="2" xfId="0" applyNumberFormat="1" applyFont="1" applyBorder="1" applyAlignment="1">
      <alignment horizontal="center" vertical="center"/>
    </xf>
    <xf numFmtId="3" fontId="6" fillId="0" borderId="2" xfId="0" applyNumberFormat="1" applyFont="1" applyBorder="1" applyAlignment="1">
      <alignment horizontal="center" vertical="center"/>
    </xf>
    <xf numFmtId="2" fontId="48" fillId="0" borderId="2" xfId="0" applyNumberFormat="1" applyFont="1" applyBorder="1" applyAlignment="1">
      <alignment horizontal="left" vertical="center"/>
    </xf>
    <xf numFmtId="10" fontId="7" fillId="0" borderId="2" xfId="3" applyNumberFormat="1" applyFont="1" applyFill="1" applyBorder="1" applyAlignment="1">
      <alignment horizontal="center" vertical="center"/>
    </xf>
    <xf numFmtId="2" fontId="7" fillId="0" borderId="2" xfId="0" applyNumberFormat="1" applyFont="1" applyBorder="1" applyAlignment="1">
      <alignment horizontal="center" vertical="center"/>
    </xf>
    <xf numFmtId="2" fontId="7" fillId="0" borderId="2" xfId="3" applyNumberFormat="1" applyFont="1" applyFill="1" applyBorder="1" applyAlignment="1">
      <alignment horizontal="center" vertical="center"/>
    </xf>
    <xf numFmtId="1" fontId="9" fillId="15" borderId="2" xfId="0" applyNumberFormat="1" applyFont="1" applyFill="1" applyBorder="1" applyAlignment="1">
      <alignment horizontal="center" vertical="center"/>
    </xf>
    <xf numFmtId="3" fontId="9" fillId="15" borderId="2" xfId="0" applyNumberFormat="1" applyFont="1" applyFill="1" applyBorder="1" applyAlignment="1">
      <alignment horizontal="center" vertical="center"/>
    </xf>
    <xf numFmtId="2" fontId="6" fillId="0" borderId="2" xfId="0" applyNumberFormat="1" applyFont="1" applyBorder="1" applyAlignment="1">
      <alignment horizontal="center" vertical="center"/>
    </xf>
    <xf numFmtId="2" fontId="43" fillId="0" borderId="2" xfId="0" applyNumberFormat="1" applyFont="1" applyBorder="1" applyAlignment="1">
      <alignment horizontal="center"/>
    </xf>
    <xf numFmtId="1" fontId="43" fillId="0" borderId="2" xfId="0" applyNumberFormat="1" applyFont="1" applyBorder="1" applyAlignment="1">
      <alignment horizontal="center"/>
    </xf>
    <xf numFmtId="0" fontId="43" fillId="0" borderId="2" xfId="0" applyFont="1" applyBorder="1" applyAlignment="1">
      <alignment horizontal="center" vertical="center"/>
    </xf>
    <xf numFmtId="0" fontId="8" fillId="0" borderId="2" xfId="0" applyFont="1" applyBorder="1" applyAlignment="1">
      <alignment horizontal="center" vertical="center"/>
    </xf>
    <xf numFmtId="0" fontId="48" fillId="0" borderId="2" xfId="0" applyFont="1" applyBorder="1" applyAlignment="1">
      <alignment horizontal="center" vertical="center"/>
    </xf>
    <xf numFmtId="3" fontId="48" fillId="0" borderId="2" xfId="0" applyNumberFormat="1" applyFont="1" applyBorder="1" applyAlignment="1">
      <alignment horizontal="center" vertical="center"/>
    </xf>
    <xf numFmtId="0" fontId="2" fillId="0" borderId="2" xfId="0" quotePrefix="1" applyFont="1" applyBorder="1" applyAlignment="1">
      <alignment horizontal="center" vertical="center"/>
    </xf>
    <xf numFmtId="3" fontId="7" fillId="0" borderId="2" xfId="0" applyNumberFormat="1" applyFont="1" applyBorder="1" applyAlignment="1">
      <alignment horizontal="center" vertical="center"/>
    </xf>
    <xf numFmtId="2" fontId="7" fillId="0" borderId="2" xfId="5" applyNumberFormat="1" applyFont="1" applyFill="1" applyBorder="1" applyAlignment="1">
      <alignment horizontal="center" vertical="center"/>
    </xf>
    <xf numFmtId="167" fontId="7" fillId="0" borderId="2" xfId="3" applyNumberFormat="1" applyFont="1" applyFill="1" applyBorder="1" applyAlignment="1">
      <alignment horizontal="center" vertical="center"/>
    </xf>
    <xf numFmtId="2" fontId="8" fillId="0" borderId="2" xfId="0" applyNumberFormat="1" applyFont="1" applyBorder="1" applyAlignment="1">
      <alignment horizontal="center" vertical="center"/>
    </xf>
    <xf numFmtId="2" fontId="8" fillId="0" borderId="2" xfId="0" applyNumberFormat="1" applyFont="1" applyBorder="1" applyAlignment="1">
      <alignment horizontal="center"/>
    </xf>
    <xf numFmtId="9" fontId="43" fillId="0" borderId="2" xfId="3" applyFont="1" applyFill="1" applyBorder="1" applyAlignment="1">
      <alignment horizontal="center"/>
    </xf>
    <xf numFmtId="9" fontId="43" fillId="0" borderId="0" xfId="3" applyFont="1" applyFill="1" applyBorder="1" applyAlignment="1">
      <alignment horizontal="center"/>
    </xf>
    <xf numFmtId="0" fontId="39" fillId="15" borderId="2" xfId="67" applyFont="1" applyFill="1" applyBorder="1" applyAlignment="1">
      <alignment horizontal="center" vertical="top"/>
    </xf>
    <xf numFmtId="0" fontId="9" fillId="15" borderId="2" xfId="67" applyFont="1" applyFill="1" applyBorder="1" applyAlignment="1">
      <alignment horizontal="center" vertical="top"/>
    </xf>
    <xf numFmtId="0" fontId="3" fillId="14" borderId="2" xfId="67" applyFont="1" applyFill="1" applyBorder="1" applyAlignment="1">
      <alignment horizontal="center" vertical="top"/>
    </xf>
    <xf numFmtId="167" fontId="3" fillId="14" borderId="2" xfId="67" applyNumberFormat="1" applyFont="1" applyFill="1" applyBorder="1" applyAlignment="1">
      <alignment horizontal="center" vertical="top"/>
    </xf>
    <xf numFmtId="10" fontId="5" fillId="14" borderId="2" xfId="68" applyNumberFormat="1" applyFont="1" applyFill="1" applyBorder="1" applyAlignment="1" applyProtection="1">
      <alignment horizontal="center" vertical="top"/>
    </xf>
    <xf numFmtId="0" fontId="3" fillId="0" borderId="3" xfId="62" applyFont="1" applyBorder="1" applyAlignment="1">
      <alignment horizontal="center" vertical="top"/>
    </xf>
    <xf numFmtId="0" fontId="5" fillId="0" borderId="13" xfId="62" applyFont="1" applyBorder="1" applyAlignment="1">
      <alignment horizontal="left" vertical="top"/>
    </xf>
    <xf numFmtId="0" fontId="8" fillId="0" borderId="2" xfId="0" applyFont="1" applyBorder="1" applyAlignment="1">
      <alignment horizontal="center"/>
    </xf>
    <xf numFmtId="0" fontId="5" fillId="0" borderId="13" xfId="62" applyFont="1" applyBorder="1" applyAlignment="1">
      <alignment horizontal="center" vertical="top"/>
    </xf>
    <xf numFmtId="0" fontId="5" fillId="0" borderId="0" xfId="63" applyFont="1" applyAlignment="1">
      <alignment horizontal="left" vertical="top"/>
    </xf>
    <xf numFmtId="0" fontId="3" fillId="0" borderId="0" xfId="63" applyFont="1" applyAlignment="1">
      <alignment vertical="top"/>
    </xf>
    <xf numFmtId="0" fontId="2" fillId="0" borderId="3" xfId="0" applyFont="1" applyBorder="1"/>
    <xf numFmtId="1" fontId="2" fillId="0" borderId="6" xfId="0" applyNumberFormat="1" applyFont="1" applyBorder="1" applyAlignment="1">
      <alignment horizontal="center"/>
    </xf>
    <xf numFmtId="166" fontId="3" fillId="0" borderId="2" xfId="64" applyNumberFormat="1" applyFont="1" applyBorder="1" applyAlignment="1">
      <alignment horizontal="center" vertical="top"/>
    </xf>
    <xf numFmtId="0" fontId="3" fillId="0" borderId="3" xfId="64" applyFont="1" applyBorder="1" applyAlignment="1">
      <alignment horizontal="left" vertical="top"/>
    </xf>
    <xf numFmtId="3" fontId="3" fillId="0" borderId="2" xfId="0" applyNumberFormat="1" applyFont="1" applyBorder="1" applyAlignment="1">
      <alignment horizontal="center"/>
    </xf>
    <xf numFmtId="3" fontId="2" fillId="0" borderId="2" xfId="0" applyNumberFormat="1" applyFont="1" applyBorder="1" applyAlignment="1">
      <alignment horizontal="center"/>
    </xf>
    <xf numFmtId="0" fontId="3" fillId="0" borderId="2" xfId="64" quotePrefix="1" applyFont="1" applyBorder="1" applyAlignment="1">
      <alignment horizontal="left" vertical="top"/>
    </xf>
    <xf numFmtId="3" fontId="2" fillId="0" borderId="6" xfId="0" applyNumberFormat="1" applyFont="1" applyBorder="1" applyAlignment="1">
      <alignment horizontal="center"/>
    </xf>
    <xf numFmtId="0" fontId="5" fillId="0" borderId="2" xfId="64" quotePrefix="1" applyFont="1" applyBorder="1" applyAlignment="1">
      <alignment horizontal="left" vertical="top"/>
    </xf>
    <xf numFmtId="0" fontId="5" fillId="0" borderId="3" xfId="64" quotePrefix="1" applyFont="1" applyBorder="1" applyAlignment="1">
      <alignment horizontal="left" vertical="top"/>
    </xf>
    <xf numFmtId="0" fontId="5" fillId="0" borderId="3" xfId="64" applyFont="1" applyBorder="1" applyAlignment="1">
      <alignment horizontal="left" vertical="top"/>
    </xf>
    <xf numFmtId="0" fontId="2" fillId="0" borderId="6" xfId="0" applyFont="1" applyBorder="1" applyAlignment="1">
      <alignment horizontal="center"/>
    </xf>
    <xf numFmtId="166" fontId="2" fillId="0" borderId="6" xfId="0" applyNumberFormat="1" applyFont="1" applyBorder="1" applyAlignment="1">
      <alignment horizontal="center"/>
    </xf>
    <xf numFmtId="1" fontId="2" fillId="0" borderId="0" xfId="0" applyNumberFormat="1" applyFont="1"/>
    <xf numFmtId="0" fontId="3" fillId="14" borderId="0" xfId="52" applyFont="1" applyFill="1"/>
    <xf numFmtId="1" fontId="43" fillId="14" borderId="2" xfId="52" applyNumberFormat="1" applyFont="1" applyFill="1" applyBorder="1" applyAlignment="1">
      <alignment horizontal="center"/>
    </xf>
    <xf numFmtId="3" fontId="43" fillId="14" borderId="2" xfId="52" applyNumberFormat="1" applyFont="1" applyFill="1" applyBorder="1" applyAlignment="1">
      <alignment horizontal="center"/>
    </xf>
    <xf numFmtId="0" fontId="43" fillId="0" borderId="2" xfId="52" applyFont="1" applyBorder="1" applyAlignment="1">
      <alignment horizontal="center"/>
    </xf>
    <xf numFmtId="0" fontId="48" fillId="0" borderId="9" xfId="65" applyFont="1" applyBorder="1" applyAlignment="1">
      <alignment horizontal="right" vertical="top"/>
    </xf>
    <xf numFmtId="0" fontId="48" fillId="0" borderId="11" xfId="65" applyFont="1" applyBorder="1" applyAlignment="1">
      <alignment vertical="top"/>
    </xf>
    <xf numFmtId="3" fontId="43" fillId="0" borderId="0" xfId="65" applyNumberFormat="1" applyFont="1" applyAlignment="1">
      <alignment vertical="top"/>
    </xf>
    <xf numFmtId="3" fontId="43" fillId="0" borderId="24" xfId="65" applyNumberFormat="1" applyFont="1" applyBorder="1" applyAlignment="1">
      <alignment vertical="top"/>
    </xf>
    <xf numFmtId="3" fontId="43" fillId="0" borderId="0" xfId="65" applyNumberFormat="1" applyFont="1" applyAlignment="1">
      <alignment horizontal="right" vertical="top"/>
    </xf>
    <xf numFmtId="3" fontId="48" fillId="0" borderId="0" xfId="65" applyNumberFormat="1" applyFont="1" applyAlignment="1">
      <alignment vertical="top"/>
    </xf>
    <xf numFmtId="1" fontId="43" fillId="0" borderId="0" xfId="65" applyNumberFormat="1" applyFont="1" applyAlignment="1">
      <alignment vertical="top"/>
    </xf>
    <xf numFmtId="3" fontId="48" fillId="0" borderId="1" xfId="65" applyNumberFormat="1" applyFont="1" applyBorder="1" applyAlignment="1">
      <alignment vertical="top"/>
    </xf>
    <xf numFmtId="0" fontId="3" fillId="0" borderId="2" xfId="0" applyFont="1" applyBorder="1" applyAlignment="1">
      <alignment horizontal="left"/>
    </xf>
    <xf numFmtId="171" fontId="3" fillId="0" borderId="2" xfId="0" applyNumberFormat="1" applyFont="1" applyBorder="1" applyAlignment="1">
      <alignment horizontal="center"/>
    </xf>
    <xf numFmtId="0" fontId="5" fillId="0" borderId="2" xfId="0" applyFont="1" applyBorder="1" applyAlignment="1">
      <alignment horizontal="center"/>
    </xf>
    <xf numFmtId="171" fontId="3" fillId="14" borderId="2" xfId="0" applyNumberFormat="1" applyFont="1" applyFill="1" applyBorder="1" applyAlignment="1">
      <alignment horizontal="center"/>
    </xf>
    <xf numFmtId="3" fontId="3" fillId="14" borderId="2" xfId="0" applyNumberFormat="1" applyFont="1" applyFill="1" applyBorder="1" applyAlignment="1">
      <alignment horizontal="center"/>
    </xf>
    <xf numFmtId="167" fontId="3" fillId="14" borderId="2" xfId="0" applyNumberFormat="1" applyFont="1" applyFill="1" applyBorder="1" applyAlignment="1">
      <alignment horizontal="center"/>
    </xf>
    <xf numFmtId="172" fontId="3" fillId="0" borderId="2" xfId="0" applyNumberFormat="1" applyFont="1" applyBorder="1" applyAlignment="1">
      <alignment horizontal="center"/>
    </xf>
    <xf numFmtId="173" fontId="3" fillId="0" borderId="2" xfId="0" applyNumberFormat="1" applyFont="1" applyBorder="1" applyAlignment="1">
      <alignment horizontal="center"/>
    </xf>
    <xf numFmtId="173" fontId="3" fillId="14" borderId="2" xfId="0" applyNumberFormat="1" applyFont="1" applyFill="1" applyBorder="1" applyAlignment="1">
      <alignment horizontal="center"/>
    </xf>
    <xf numFmtId="174" fontId="3" fillId="14" borderId="2" xfId="0" applyNumberFormat="1" applyFont="1" applyFill="1" applyBorder="1" applyAlignment="1">
      <alignment horizontal="center"/>
    </xf>
    <xf numFmtId="0" fontId="5" fillId="0" borderId="2" xfId="0" applyFont="1" applyBorder="1" applyAlignment="1">
      <alignment vertical="center"/>
    </xf>
    <xf numFmtId="1" fontId="5" fillId="0" borderId="2" xfId="0" applyNumberFormat="1" applyFont="1" applyBorder="1" applyAlignment="1">
      <alignment horizontal="center" vertical="center"/>
    </xf>
    <xf numFmtId="0" fontId="5" fillId="14" borderId="2" xfId="0" applyFont="1" applyFill="1" applyBorder="1" applyAlignment="1">
      <alignment vertical="center"/>
    </xf>
    <xf numFmtId="172" fontId="3" fillId="14" borderId="2" xfId="0" applyNumberFormat="1" applyFont="1" applyFill="1" applyBorder="1" applyAlignment="1">
      <alignment vertical="center"/>
    </xf>
    <xf numFmtId="172" fontId="3" fillId="14" borderId="2" xfId="0" applyNumberFormat="1" applyFont="1" applyFill="1" applyBorder="1" applyAlignment="1">
      <alignment horizontal="right" vertical="center"/>
    </xf>
    <xf numFmtId="173" fontId="5" fillId="14" borderId="2" xfId="0" applyNumberFormat="1" applyFont="1" applyFill="1" applyBorder="1" applyAlignment="1">
      <alignment vertical="center"/>
    </xf>
    <xf numFmtId="0" fontId="5" fillId="14" borderId="0" xfId="41" applyFont="1" applyFill="1" applyAlignment="1">
      <alignment horizontal="fill" vertical="center"/>
    </xf>
    <xf numFmtId="0" fontId="5" fillId="14" borderId="0" xfId="41" applyFont="1" applyFill="1" applyAlignment="1">
      <alignment horizontal="center" vertical="center"/>
    </xf>
    <xf numFmtId="166" fontId="3" fillId="14" borderId="12" xfId="0" quotePrefix="1" applyNumberFormat="1" applyFont="1" applyFill="1" applyBorder="1" applyAlignment="1">
      <alignment horizontal="center" vertical="center"/>
    </xf>
    <xf numFmtId="166" fontId="3" fillId="14" borderId="12" xfId="0" applyNumberFormat="1" applyFont="1" applyFill="1" applyBorder="1" applyAlignment="1">
      <alignment horizontal="center" vertical="center"/>
    </xf>
    <xf numFmtId="166" fontId="5" fillId="14" borderId="2" xfId="0" applyNumberFormat="1" applyFont="1" applyFill="1" applyBorder="1" applyAlignment="1">
      <alignment horizontal="center" vertical="center"/>
    </xf>
    <xf numFmtId="2" fontId="3" fillId="14" borderId="0" xfId="0" applyNumberFormat="1" applyFont="1" applyFill="1" applyAlignment="1">
      <alignment vertical="center"/>
    </xf>
    <xf numFmtId="166" fontId="3" fillId="14" borderId="0" xfId="0" applyNumberFormat="1" applyFont="1" applyFill="1" applyAlignment="1">
      <alignment vertical="center"/>
    </xf>
    <xf numFmtId="0" fontId="3" fillId="14" borderId="12" xfId="0" applyFont="1" applyFill="1" applyBorder="1" applyAlignment="1">
      <alignment horizontal="left" vertical="center" wrapText="1"/>
    </xf>
    <xf numFmtId="0" fontId="5" fillId="14" borderId="2" xfId="0" applyFont="1" applyFill="1" applyBorder="1" applyAlignment="1">
      <alignment horizontal="left" vertical="center"/>
    </xf>
    <xf numFmtId="2" fontId="5" fillId="14" borderId="2" xfId="0" applyNumberFormat="1" applyFont="1" applyFill="1" applyBorder="1" applyAlignment="1">
      <alignment horizontal="center" vertical="center"/>
    </xf>
    <xf numFmtId="0" fontId="5" fillId="0" borderId="2" xfId="41" applyFont="1" applyBorder="1" applyAlignment="1">
      <alignment horizontal="center" vertical="center"/>
    </xf>
    <xf numFmtId="166" fontId="3" fillId="0" borderId="5" xfId="0" quotePrefix="1" applyNumberFormat="1" applyFont="1" applyBorder="1" applyAlignment="1">
      <alignment horizontal="center" vertical="center"/>
    </xf>
    <xf numFmtId="166" fontId="5" fillId="0" borderId="2" xfId="0" quotePrefix="1" applyNumberFormat="1" applyFont="1" applyBorder="1" applyAlignment="1">
      <alignment horizontal="center" vertical="center"/>
    </xf>
    <xf numFmtId="0" fontId="5" fillId="0" borderId="0" xfId="0" applyFont="1" applyAlignment="1">
      <alignment vertical="center"/>
    </xf>
    <xf numFmtId="0" fontId="3" fillId="0" borderId="0" xfId="0" quotePrefix="1" applyFont="1" applyAlignment="1">
      <alignment vertical="center"/>
    </xf>
    <xf numFmtId="2" fontId="3" fillId="0" borderId="0" xfId="0" quotePrefix="1" applyNumberFormat="1" applyFont="1" applyAlignment="1">
      <alignment vertical="center"/>
    </xf>
    <xf numFmtId="0" fontId="5" fillId="0" borderId="2" xfId="0" quotePrefix="1" applyFont="1" applyBorder="1" applyAlignment="1">
      <alignment vertical="center"/>
    </xf>
    <xf numFmtId="0" fontId="5" fillId="0" borderId="3" xfId="0" applyFont="1" applyBorder="1" applyAlignment="1">
      <alignment vertical="center"/>
    </xf>
    <xf numFmtId="0" fontId="5" fillId="0" borderId="6" xfId="0" applyFont="1" applyBorder="1" applyAlignment="1">
      <alignment vertical="center"/>
    </xf>
    <xf numFmtId="0" fontId="5" fillId="0" borderId="0" xfId="0" applyFont="1" applyAlignment="1">
      <alignment horizontal="center" vertical="center"/>
    </xf>
    <xf numFmtId="0" fontId="5" fillId="0" borderId="4" xfId="0" applyFont="1" applyBorder="1" applyAlignment="1">
      <alignment vertical="center"/>
    </xf>
    <xf numFmtId="0" fontId="5" fillId="0" borderId="4" xfId="0" applyFont="1" applyBorder="1" applyAlignment="1">
      <alignment horizontal="center" vertical="center"/>
    </xf>
    <xf numFmtId="0" fontId="5" fillId="0" borderId="4" xfId="41" applyFont="1" applyBorder="1" applyAlignment="1">
      <alignment horizontal="center" vertical="center"/>
    </xf>
    <xf numFmtId="0" fontId="43" fillId="14" borderId="0" xfId="0" applyFont="1" applyFill="1" applyAlignment="1">
      <alignment vertical="center"/>
    </xf>
    <xf numFmtId="0" fontId="5" fillId="14" borderId="2" xfId="0" applyFont="1" applyFill="1" applyBorder="1" applyAlignment="1">
      <alignment horizontal="left"/>
    </xf>
    <xf numFmtId="2" fontId="2" fillId="21" borderId="2" xfId="0" applyNumberFormat="1" applyFont="1" applyFill="1" applyBorder="1"/>
    <xf numFmtId="171" fontId="3" fillId="14" borderId="0" xfId="0" applyNumberFormat="1" applyFont="1" applyFill="1"/>
    <xf numFmtId="0" fontId="7" fillId="13" borderId="0" xfId="0" applyFont="1" applyFill="1" applyAlignment="1">
      <alignment horizontal="left" vertical="top" wrapText="1"/>
    </xf>
    <xf numFmtId="0" fontId="9" fillId="15" borderId="3" xfId="0" applyFont="1" applyFill="1" applyBorder="1" applyAlignment="1">
      <alignment horizontal="center" wrapText="1"/>
    </xf>
    <xf numFmtId="0" fontId="9" fillId="15" borderId="3" xfId="0" applyFont="1" applyFill="1" applyBorder="1" applyAlignment="1">
      <alignment horizontal="center" vertical="center"/>
    </xf>
    <xf numFmtId="1" fontId="5" fillId="0" borderId="0" xfId="0" applyNumberFormat="1" applyFont="1" applyAlignment="1">
      <alignment horizontal="center" vertical="center"/>
    </xf>
    <xf numFmtId="167" fontId="48" fillId="0" borderId="0" xfId="0" applyNumberFormat="1" applyFont="1" applyAlignment="1">
      <alignment horizontal="center"/>
    </xf>
    <xf numFmtId="167" fontId="48" fillId="0" borderId="2" xfId="0" applyNumberFormat="1" applyFont="1" applyBorder="1" applyAlignment="1">
      <alignment horizontal="center"/>
    </xf>
    <xf numFmtId="171" fontId="3" fillId="14" borderId="2" xfId="0" applyNumberFormat="1" applyFont="1" applyFill="1" applyBorder="1"/>
    <xf numFmtId="171" fontId="3" fillId="0" borderId="0" xfId="0" applyNumberFormat="1" applyFont="1" applyAlignment="1">
      <alignment horizontal="center"/>
    </xf>
    <xf numFmtId="0" fontId="3" fillId="0" borderId="25" xfId="0" applyFont="1" applyBorder="1" applyAlignment="1">
      <alignment horizontal="center" vertical="center"/>
    </xf>
    <xf numFmtId="0" fontId="9" fillId="15" borderId="2" xfId="0" applyFont="1" applyFill="1" applyBorder="1" applyAlignment="1">
      <alignment horizontal="center" wrapText="1"/>
    </xf>
    <xf numFmtId="0" fontId="0" fillId="13" borderId="2" xfId="0" applyFill="1" applyBorder="1"/>
    <xf numFmtId="0" fontId="5" fillId="0" borderId="2" xfId="0" applyFont="1" applyBorder="1" applyAlignment="1">
      <alignment horizontal="center" vertical="center" wrapText="1"/>
    </xf>
    <xf numFmtId="9" fontId="5" fillId="0" borderId="2" xfId="0" applyNumberFormat="1" applyFont="1" applyBorder="1" applyAlignment="1">
      <alignment horizontal="center" wrapText="1"/>
    </xf>
    <xf numFmtId="0" fontId="5" fillId="0" borderId="2" xfId="0" applyFont="1" applyBorder="1" applyAlignment="1">
      <alignment horizontal="center" wrapText="1"/>
    </xf>
    <xf numFmtId="0" fontId="3" fillId="18" borderId="2" xfId="0" applyFont="1" applyFill="1" applyBorder="1" applyAlignment="1">
      <alignment horizontal="center" wrapText="1"/>
    </xf>
    <xf numFmtId="0" fontId="3" fillId="18" borderId="2" xfId="0" applyFont="1" applyFill="1" applyBorder="1" applyAlignment="1">
      <alignment horizontal="center" vertical="center"/>
    </xf>
    <xf numFmtId="2" fontId="3" fillId="18" borderId="2" xfId="0" applyNumberFormat="1" applyFont="1" applyFill="1" applyBorder="1" applyAlignment="1">
      <alignment horizontal="center"/>
    </xf>
    <xf numFmtId="2" fontId="3" fillId="0" borderId="2" xfId="0" applyNumberFormat="1" applyFont="1" applyBorder="1" applyAlignment="1">
      <alignment horizontal="center"/>
    </xf>
    <xf numFmtId="1" fontId="3" fillId="18" borderId="2" xfId="0" applyNumberFormat="1" applyFont="1" applyFill="1" applyBorder="1" applyAlignment="1">
      <alignment horizontal="center" vertical="center"/>
    </xf>
    <xf numFmtId="2" fontId="3" fillId="18" borderId="2" xfId="0" applyNumberFormat="1" applyFont="1" applyFill="1" applyBorder="1" applyAlignment="1">
      <alignment horizontal="center" wrapText="1"/>
    </xf>
    <xf numFmtId="0" fontId="3" fillId="0" borderId="2" xfId="0" applyFont="1" applyBorder="1" applyAlignment="1">
      <alignment horizontal="center" wrapText="1"/>
    </xf>
    <xf numFmtId="2" fontId="9" fillId="15" borderId="2" xfId="0" applyNumberFormat="1" applyFont="1" applyFill="1" applyBorder="1" applyAlignment="1">
      <alignment horizontal="center"/>
    </xf>
    <xf numFmtId="166" fontId="0" fillId="0" borderId="2" xfId="0" applyNumberFormat="1" applyBorder="1"/>
    <xf numFmtId="0" fontId="3" fillId="18" borderId="2" xfId="0" applyFont="1" applyFill="1" applyBorder="1" applyAlignment="1">
      <alignment horizontal="center" vertical="center" wrapText="1"/>
    </xf>
    <xf numFmtId="0" fontId="7" fillId="0" borderId="2" xfId="0" applyFont="1" applyBorder="1" applyAlignment="1">
      <alignment horizontal="center" vertical="center"/>
    </xf>
    <xf numFmtId="1" fontId="7" fillId="0" borderId="2" xfId="0" applyNumberFormat="1" applyFont="1" applyBorder="1" applyAlignment="1">
      <alignment horizontal="center" vertical="center"/>
    </xf>
    <xf numFmtId="2" fontId="3" fillId="18" borderId="2" xfId="0" applyNumberFormat="1" applyFont="1" applyFill="1" applyBorder="1" applyAlignment="1">
      <alignment horizontal="center" vertical="center"/>
    </xf>
    <xf numFmtId="2" fontId="3" fillId="14" borderId="2" xfId="0" applyNumberFormat="1" applyFont="1" applyFill="1" applyBorder="1" applyAlignment="1">
      <alignment horizontal="center"/>
    </xf>
    <xf numFmtId="167" fontId="3" fillId="0" borderId="2" xfId="3" applyNumberFormat="1" applyFont="1" applyFill="1" applyBorder="1" applyAlignment="1">
      <alignment horizontal="center" vertical="center" wrapText="1"/>
    </xf>
    <xf numFmtId="2" fontId="3" fillId="0" borderId="2" xfId="0" applyNumberFormat="1" applyFont="1" applyBorder="1" applyAlignment="1">
      <alignment horizontal="center" vertical="center"/>
    </xf>
    <xf numFmtId="0" fontId="3" fillId="0" borderId="2" xfId="0" applyFont="1" applyBorder="1" applyAlignment="1">
      <alignment horizontal="center" vertical="top" wrapText="1"/>
    </xf>
    <xf numFmtId="2" fontId="3" fillId="0" borderId="2" xfId="0" applyNumberFormat="1" applyFont="1" applyBorder="1" applyAlignment="1">
      <alignment horizontal="center" vertical="top"/>
    </xf>
    <xf numFmtId="0" fontId="0" fillId="13" borderId="3" xfId="0" applyFill="1" applyBorder="1"/>
    <xf numFmtId="9" fontId="5" fillId="0" borderId="3" xfId="0" applyNumberFormat="1" applyFont="1" applyBorder="1" applyAlignment="1">
      <alignment horizontal="center" wrapText="1"/>
    </xf>
    <xf numFmtId="0" fontId="5" fillId="0" borderId="3" xfId="0" applyFont="1" applyBorder="1" applyAlignment="1">
      <alignment horizontal="center" wrapText="1"/>
    </xf>
    <xf numFmtId="2" fontId="3" fillId="18" borderId="3" xfId="0" applyNumberFormat="1" applyFont="1" applyFill="1" applyBorder="1" applyAlignment="1">
      <alignment horizontal="center"/>
    </xf>
    <xf numFmtId="2" fontId="3" fillId="18" borderId="3" xfId="0" applyNumberFormat="1" applyFont="1" applyFill="1" applyBorder="1" applyAlignment="1">
      <alignment horizontal="center" wrapText="1"/>
    </xf>
    <xf numFmtId="2" fontId="3" fillId="14" borderId="3" xfId="0" applyNumberFormat="1" applyFont="1" applyFill="1" applyBorder="1" applyAlignment="1">
      <alignment horizontal="center"/>
    </xf>
    <xf numFmtId="2" fontId="3" fillId="0" borderId="3" xfId="0" applyNumberFormat="1" applyFont="1" applyBorder="1" applyAlignment="1">
      <alignment horizontal="center" vertical="center"/>
    </xf>
    <xf numFmtId="2" fontId="3" fillId="0" borderId="3" xfId="0" applyNumberFormat="1" applyFont="1" applyBorder="1" applyAlignment="1">
      <alignment horizontal="center" vertical="top"/>
    </xf>
    <xf numFmtId="2" fontId="9" fillId="15" borderId="3" xfId="0" applyNumberFormat="1" applyFont="1" applyFill="1" applyBorder="1" applyAlignment="1">
      <alignment horizontal="center"/>
    </xf>
    <xf numFmtId="0" fontId="0" fillId="0" borderId="3" xfId="0" applyBorder="1"/>
    <xf numFmtId="0" fontId="5" fillId="0" borderId="3" xfId="0" applyFont="1" applyBorder="1" applyAlignment="1">
      <alignment horizontal="center" vertical="center" wrapText="1"/>
    </xf>
    <xf numFmtId="0" fontId="0" fillId="14" borderId="0" xfId="0" applyFill="1"/>
    <xf numFmtId="0" fontId="44" fillId="14" borderId="0" xfId="0" applyFont="1" applyFill="1"/>
    <xf numFmtId="0" fontId="54" fillId="14" borderId="0" xfId="0" applyFont="1" applyFill="1"/>
    <xf numFmtId="1" fontId="54" fillId="14" borderId="0" xfId="0" applyNumberFormat="1" applyFont="1" applyFill="1"/>
    <xf numFmtId="2" fontId="3" fillId="18" borderId="3" xfId="0" applyNumberFormat="1" applyFont="1" applyFill="1" applyBorder="1" applyAlignment="1">
      <alignment horizontal="center" vertical="center"/>
    </xf>
    <xf numFmtId="9" fontId="9" fillId="15" borderId="2" xfId="3" applyFont="1" applyFill="1" applyBorder="1" applyAlignment="1">
      <alignment horizontal="center" vertical="center"/>
    </xf>
    <xf numFmtId="1" fontId="3" fillId="0" borderId="2" xfId="0" applyNumberFormat="1" applyFont="1" applyBorder="1" applyAlignment="1">
      <alignment horizontal="center"/>
    </xf>
    <xf numFmtId="3" fontId="3" fillId="0" borderId="2" xfId="0" applyNumberFormat="1" applyFont="1" applyBorder="1" applyAlignment="1">
      <alignment horizontal="center" vertical="center"/>
    </xf>
    <xf numFmtId="0" fontId="3" fillId="0" borderId="2" xfId="0" quotePrefix="1" applyFont="1" applyBorder="1" applyAlignment="1">
      <alignment horizontal="center" vertical="center"/>
    </xf>
    <xf numFmtId="0" fontId="3" fillId="0" borderId="3" xfId="0" applyFont="1" applyBorder="1" applyAlignment="1">
      <alignment horizontal="center" vertical="center"/>
    </xf>
    <xf numFmtId="9" fontId="3" fillId="0" borderId="2" xfId="3" applyFont="1" applyFill="1" applyBorder="1" applyAlignment="1">
      <alignment horizontal="center"/>
    </xf>
    <xf numFmtId="0" fontId="5" fillId="14" borderId="3" xfId="52" applyFont="1" applyFill="1" applyBorder="1" applyAlignment="1">
      <alignment horizontal="left"/>
    </xf>
    <xf numFmtId="0" fontId="3" fillId="14" borderId="0" xfId="52" applyFont="1" applyFill="1" applyAlignment="1">
      <alignment horizontal="left"/>
    </xf>
    <xf numFmtId="0" fontId="5" fillId="14" borderId="11" xfId="52" applyFont="1" applyFill="1" applyBorder="1"/>
    <xf numFmtId="0" fontId="3" fillId="14" borderId="4" xfId="52" applyFont="1" applyFill="1" applyBorder="1"/>
    <xf numFmtId="0" fontId="3" fillId="14" borderId="2" xfId="52" applyFont="1" applyFill="1" applyBorder="1" applyAlignment="1">
      <alignment horizontal="center"/>
    </xf>
    <xf numFmtId="0" fontId="3" fillId="14" borderId="2" xfId="52" applyFont="1" applyFill="1" applyBorder="1"/>
    <xf numFmtId="1" fontId="3" fillId="14" borderId="2" xfId="52" applyNumberFormat="1" applyFont="1" applyFill="1" applyBorder="1" applyAlignment="1">
      <alignment horizontal="center"/>
    </xf>
    <xf numFmtId="9" fontId="3" fillId="14" borderId="2" xfId="52" applyNumberFormat="1" applyFont="1" applyFill="1" applyBorder="1" applyAlignment="1">
      <alignment horizontal="center"/>
    </xf>
    <xf numFmtId="3" fontId="3" fillId="14" borderId="2" xfId="52" applyNumberFormat="1" applyFont="1" applyFill="1" applyBorder="1" applyAlignment="1">
      <alignment horizontal="center"/>
    </xf>
    <xf numFmtId="1" fontId="3" fillId="14" borderId="0" xfId="52" applyNumberFormat="1" applyFont="1" applyFill="1"/>
    <xf numFmtId="0" fontId="3" fillId="0" borderId="2" xfId="52" applyFont="1" applyBorder="1"/>
    <xf numFmtId="0" fontId="3" fillId="0" borderId="2" xfId="52" quotePrefix="1" applyFont="1" applyBorder="1" applyAlignment="1">
      <alignment horizontal="center"/>
    </xf>
    <xf numFmtId="0" fontId="3" fillId="0" borderId="2" xfId="52" applyFont="1" applyBorder="1" applyAlignment="1">
      <alignment horizontal="center"/>
    </xf>
    <xf numFmtId="0" fontId="3" fillId="0" borderId="2" xfId="65" applyFont="1" applyBorder="1" applyAlignment="1">
      <alignment horizontal="center" vertical="top"/>
    </xf>
    <xf numFmtId="0" fontId="5" fillId="0" borderId="2" xfId="65" applyFont="1" applyBorder="1" applyAlignment="1">
      <alignment horizontal="left" vertical="top"/>
    </xf>
    <xf numFmtId="0" fontId="5" fillId="0" borderId="2" xfId="65" applyFont="1" applyBorder="1" applyAlignment="1">
      <alignment horizontal="right" vertical="top"/>
    </xf>
    <xf numFmtId="0" fontId="5" fillId="0" borderId="2" xfId="65" applyFont="1" applyBorder="1" applyAlignment="1">
      <alignment vertical="top"/>
    </xf>
    <xf numFmtId="166" fontId="3" fillId="0" borderId="2" xfId="65" applyNumberFormat="1" applyFont="1" applyBorder="1" applyAlignment="1">
      <alignment horizontal="center" vertical="top"/>
    </xf>
    <xf numFmtId="0" fontId="3" fillId="0" borderId="2" xfId="65" applyFont="1" applyBorder="1" applyAlignment="1">
      <alignment horizontal="left" vertical="top"/>
    </xf>
    <xf numFmtId="3" fontId="3" fillId="0" borderId="2" xfId="65" applyNumberFormat="1" applyFont="1" applyBorder="1" applyAlignment="1">
      <alignment vertical="top"/>
    </xf>
    <xf numFmtId="0" fontId="3" fillId="0" borderId="2" xfId="65" quotePrefix="1" applyFont="1" applyBorder="1" applyAlignment="1">
      <alignment horizontal="left" vertical="top"/>
    </xf>
    <xf numFmtId="3" fontId="3" fillId="0" borderId="2" xfId="65" applyNumberFormat="1" applyFont="1" applyBorder="1" applyAlignment="1">
      <alignment horizontal="right" vertical="top"/>
    </xf>
    <xf numFmtId="170" fontId="3" fillId="0" borderId="2" xfId="65" applyNumberFormat="1" applyFont="1" applyBorder="1" applyAlignment="1">
      <alignment vertical="top"/>
    </xf>
    <xf numFmtId="3" fontId="5" fillId="0" borderId="2" xfId="65" applyNumberFormat="1" applyFont="1" applyBorder="1" applyAlignment="1">
      <alignment vertical="top"/>
    </xf>
    <xf numFmtId="1" fontId="3" fillId="0" borderId="2" xfId="65" applyNumberFormat="1" applyFont="1" applyBorder="1" applyAlignment="1">
      <alignment vertical="top"/>
    </xf>
    <xf numFmtId="0" fontId="59" fillId="0" borderId="2" xfId="0" applyFont="1" applyBorder="1"/>
    <xf numFmtId="3" fontId="5" fillId="0" borderId="0" xfId="0" applyNumberFormat="1" applyFont="1" applyAlignment="1">
      <alignment horizontal="center"/>
    </xf>
    <xf numFmtId="0" fontId="5" fillId="0" borderId="0" xfId="0" applyFont="1" applyAlignment="1">
      <alignment horizontal="center"/>
    </xf>
    <xf numFmtId="0" fontId="3" fillId="13" borderId="2" xfId="0" applyFont="1" applyFill="1" applyBorder="1"/>
    <xf numFmtId="3" fontId="5" fillId="0" borderId="2" xfId="0" applyNumberFormat="1" applyFont="1" applyBorder="1" applyAlignment="1">
      <alignment horizontal="center"/>
    </xf>
    <xf numFmtId="3" fontId="5" fillId="0" borderId="2" xfId="0" applyNumberFormat="1" applyFont="1" applyBorder="1" applyAlignment="1">
      <alignment horizontal="left"/>
    </xf>
    <xf numFmtId="0" fontId="3" fillId="13" borderId="2" xfId="0" applyFont="1" applyFill="1" applyBorder="1" applyAlignment="1">
      <alignment horizontal="center"/>
    </xf>
    <xf numFmtId="3" fontId="3" fillId="0" borderId="2" xfId="0" applyNumberFormat="1" applyFont="1" applyBorder="1" applyAlignment="1">
      <alignment horizontal="left"/>
    </xf>
    <xf numFmtId="171" fontId="5" fillId="0" borderId="2" xfId="0" applyNumberFormat="1" applyFont="1" applyBorder="1" applyAlignment="1">
      <alignment horizontal="center"/>
    </xf>
    <xf numFmtId="166" fontId="2" fillId="14" borderId="2" xfId="0" applyNumberFormat="1" applyFont="1" applyFill="1" applyBorder="1" applyAlignment="1">
      <alignment horizontal="center"/>
    </xf>
    <xf numFmtId="171" fontId="8" fillId="14" borderId="0" xfId="0" applyNumberFormat="1" applyFont="1" applyFill="1" applyAlignment="1">
      <alignment horizontal="center"/>
    </xf>
    <xf numFmtId="0" fontId="5" fillId="0" borderId="0" xfId="0" applyFont="1"/>
    <xf numFmtId="1" fontId="5" fillId="0" borderId="2" xfId="0" applyNumberFormat="1" applyFont="1" applyBorder="1" applyAlignment="1">
      <alignment horizontal="center"/>
    </xf>
    <xf numFmtId="9" fontId="3" fillId="0" borderId="2" xfId="0" applyNumberFormat="1" applyFont="1" applyBorder="1"/>
    <xf numFmtId="1" fontId="3" fillId="0" borderId="2" xfId="0" applyNumberFormat="1" applyFont="1" applyBorder="1"/>
    <xf numFmtId="1" fontId="5" fillId="0" borderId="2" xfId="0" applyNumberFormat="1" applyFont="1" applyBorder="1"/>
    <xf numFmtId="3" fontId="3" fillId="0" borderId="0" xfId="0" applyNumberFormat="1" applyFont="1" applyAlignment="1">
      <alignment horizontal="center"/>
    </xf>
    <xf numFmtId="9" fontId="3" fillId="0" borderId="2" xfId="0" applyNumberFormat="1" applyFont="1" applyBorder="1" applyAlignment="1">
      <alignment horizontal="center"/>
    </xf>
    <xf numFmtId="9" fontId="3" fillId="14" borderId="2" xfId="0" applyNumberFormat="1" applyFont="1" applyFill="1" applyBorder="1" applyAlignment="1">
      <alignment horizontal="center"/>
    </xf>
    <xf numFmtId="3" fontId="5" fillId="14" borderId="2" xfId="0" applyNumberFormat="1" applyFont="1" applyFill="1" applyBorder="1" applyAlignment="1">
      <alignment horizontal="center"/>
    </xf>
    <xf numFmtId="9" fontId="5" fillId="14" borderId="2" xfId="0" applyNumberFormat="1" applyFont="1" applyFill="1" applyBorder="1" applyAlignment="1">
      <alignment horizontal="center" vertical="center"/>
    </xf>
    <xf numFmtId="1" fontId="2" fillId="18" borderId="0" xfId="0" applyNumberFormat="1" applyFont="1" applyFill="1" applyAlignment="1">
      <alignment horizontal="center"/>
    </xf>
    <xf numFmtId="4" fontId="3" fillId="14" borderId="0" xfId="0" applyNumberFormat="1" applyFont="1" applyFill="1" applyAlignment="1">
      <alignment horizontal="center" vertical="center"/>
    </xf>
    <xf numFmtId="0" fontId="2" fillId="14" borderId="0" xfId="0" applyFont="1" applyFill="1"/>
    <xf numFmtId="1" fontId="2" fillId="0" borderId="2" xfId="0" applyNumberFormat="1" applyFont="1" applyBorder="1" applyAlignment="1">
      <alignment horizontal="center" vertical="center"/>
    </xf>
    <xf numFmtId="14" fontId="9" fillId="15" borderId="9" xfId="0" applyNumberFormat="1" applyFont="1" applyFill="1" applyBorder="1" applyAlignment="1">
      <alignment horizontal="center" vertical="center"/>
    </xf>
    <xf numFmtId="14" fontId="9" fillId="15" borderId="2" xfId="0" applyNumberFormat="1" applyFont="1" applyFill="1" applyBorder="1" applyAlignment="1">
      <alignment horizontal="center" vertical="center"/>
    </xf>
    <xf numFmtId="0" fontId="2" fillId="0" borderId="2" xfId="0" applyFont="1" applyBorder="1" applyAlignment="1">
      <alignment horizontal="center" vertical="top"/>
    </xf>
    <xf numFmtId="1" fontId="3" fillId="0" borderId="2" xfId="0" applyNumberFormat="1" applyFont="1" applyBorder="1" applyAlignment="1">
      <alignment horizontal="center" vertical="center" wrapText="1"/>
    </xf>
    <xf numFmtId="0" fontId="8" fillId="0" borderId="2" xfId="0" applyFont="1" applyBorder="1" applyAlignment="1">
      <alignment horizontal="center" vertical="center" wrapText="1"/>
    </xf>
    <xf numFmtId="0" fontId="49" fillId="14" borderId="2" xfId="0" applyFont="1" applyFill="1" applyBorder="1" applyAlignment="1">
      <alignment horizontal="center"/>
    </xf>
    <xf numFmtId="1" fontId="3" fillId="0" borderId="2" xfId="45" applyNumberFormat="1" applyFont="1" applyBorder="1" applyAlignment="1">
      <alignment horizontal="center" vertical="center"/>
    </xf>
    <xf numFmtId="0" fontId="49" fillId="0" borderId="2" xfId="0" applyFont="1" applyBorder="1" applyAlignment="1">
      <alignment horizontal="center"/>
    </xf>
    <xf numFmtId="0" fontId="49" fillId="0" borderId="2" xfId="0" applyFont="1" applyBorder="1" applyAlignment="1">
      <alignment horizontal="center" vertical="center"/>
    </xf>
    <xf numFmtId="1" fontId="3" fillId="0" borderId="2" xfId="45" applyNumberFormat="1" applyFont="1" applyBorder="1" applyAlignment="1">
      <alignment horizontal="center" vertical="center" wrapText="1"/>
    </xf>
    <xf numFmtId="1" fontId="2" fillId="0" borderId="2" xfId="0" applyNumberFormat="1" applyFont="1" applyBorder="1" applyAlignment="1">
      <alignment horizontal="center" wrapText="1"/>
    </xf>
    <xf numFmtId="2" fontId="3" fillId="0" borderId="2" xfId="0" applyNumberFormat="1" applyFont="1" applyBorder="1" applyAlignment="1">
      <alignment horizontal="center" vertical="center" wrapText="1"/>
    </xf>
    <xf numFmtId="1" fontId="3" fillId="14" borderId="2" xfId="0" applyNumberFormat="1" applyFont="1" applyFill="1" applyBorder="1" applyAlignment="1">
      <alignment horizontal="center" vertical="center"/>
    </xf>
    <xf numFmtId="1" fontId="7" fillId="3" borderId="2" xfId="0" applyNumberFormat="1" applyFont="1" applyFill="1" applyBorder="1" applyAlignment="1">
      <alignment horizontal="center" vertical="center"/>
    </xf>
    <xf numFmtId="0" fontId="2" fillId="14" borderId="2" xfId="0" applyFont="1" applyFill="1" applyBorder="1"/>
    <xf numFmtId="9" fontId="3" fillId="14" borderId="2" xfId="0" applyNumberFormat="1" applyFont="1" applyFill="1" applyBorder="1"/>
    <xf numFmtId="0" fontId="60" fillId="0" borderId="2" xfId="0" applyFont="1" applyBorder="1"/>
    <xf numFmtId="167" fontId="2" fillId="0" borderId="2" xfId="0" applyNumberFormat="1" applyFont="1" applyBorder="1" applyAlignment="1">
      <alignment horizontal="center" vertical="center"/>
    </xf>
    <xf numFmtId="167" fontId="2" fillId="0" borderId="0" xfId="0" applyNumberFormat="1" applyFont="1" applyAlignment="1">
      <alignment horizontal="center" vertical="center"/>
    </xf>
    <xf numFmtId="2" fontId="2" fillId="0" borderId="2" xfId="0" applyNumberFormat="1" applyFont="1" applyBorder="1" applyAlignment="1">
      <alignment horizontal="center" vertical="center"/>
    </xf>
    <xf numFmtId="9" fontId="2" fillId="0" borderId="2" xfId="3" applyFont="1" applyBorder="1" applyAlignment="1">
      <alignment horizontal="center"/>
    </xf>
    <xf numFmtId="166" fontId="3" fillId="0" borderId="2" xfId="0" applyNumberFormat="1" applyFont="1" applyBorder="1" applyAlignment="1">
      <alignment horizontal="center"/>
    </xf>
    <xf numFmtId="166" fontId="43" fillId="0" borderId="2" xfId="0" applyNumberFormat="1" applyFont="1" applyBorder="1" applyAlignment="1">
      <alignment horizontal="center"/>
    </xf>
    <xf numFmtId="2" fontId="43" fillId="0" borderId="0" xfId="5" applyNumberFormat="1" applyFont="1" applyFill="1" applyBorder="1" applyAlignment="1">
      <alignment horizontal="center"/>
    </xf>
    <xf numFmtId="9" fontId="2" fillId="0" borderId="0" xfId="3" applyFont="1"/>
    <xf numFmtId="0" fontId="43" fillId="0" borderId="0" xfId="65" applyFont="1"/>
    <xf numFmtId="0" fontId="3" fillId="0" borderId="0" xfId="65" applyFont="1" applyAlignment="1">
      <alignment horizontal="center" vertical="top"/>
    </xf>
    <xf numFmtId="0" fontId="3" fillId="14" borderId="2" xfId="65" applyFont="1" applyFill="1" applyBorder="1" applyAlignment="1">
      <alignment horizontal="left" vertical="top"/>
    </xf>
    <xf numFmtId="3" fontId="3" fillId="14" borderId="2" xfId="65" applyNumberFormat="1" applyFont="1" applyFill="1" applyBorder="1" applyAlignment="1">
      <alignment vertical="top"/>
    </xf>
    <xf numFmtId="3" fontId="3" fillId="19" borderId="2" xfId="65" applyNumberFormat="1" applyFont="1" applyFill="1" applyBorder="1" applyAlignment="1">
      <alignment vertical="top"/>
    </xf>
    <xf numFmtId="0" fontId="3" fillId="0" borderId="0" xfId="65" applyFont="1" applyAlignment="1">
      <alignment vertical="top"/>
    </xf>
    <xf numFmtId="3" fontId="43" fillId="19" borderId="2" xfId="65" applyNumberFormat="1" applyFont="1" applyFill="1" applyBorder="1" applyAlignment="1">
      <alignment vertical="top"/>
    </xf>
    <xf numFmtId="2" fontId="6" fillId="0" borderId="0" xfId="0" applyNumberFormat="1" applyFont="1" applyAlignment="1">
      <alignment horizontal="center" vertical="center" wrapText="1"/>
    </xf>
    <xf numFmtId="167" fontId="8" fillId="14" borderId="2" xfId="0" applyNumberFormat="1" applyFont="1" applyFill="1" applyBorder="1" applyAlignment="1" applyProtection="1">
      <alignment horizontal="center"/>
      <protection locked="0"/>
    </xf>
    <xf numFmtId="166" fontId="8" fillId="14" borderId="2" xfId="0" applyNumberFormat="1" applyFont="1" applyFill="1" applyBorder="1" applyAlignment="1" applyProtection="1">
      <alignment horizontal="center"/>
      <protection locked="0"/>
    </xf>
    <xf numFmtId="2" fontId="7" fillId="0" borderId="0" xfId="0" applyNumberFormat="1" applyFont="1" applyAlignment="1">
      <alignment horizontal="center" vertical="center" wrapText="1"/>
    </xf>
    <xf numFmtId="0" fontId="8" fillId="14" borderId="0" xfId="0" applyFont="1" applyFill="1"/>
    <xf numFmtId="0" fontId="6" fillId="14" borderId="2" xfId="0" applyFont="1" applyFill="1" applyBorder="1" applyAlignment="1">
      <alignment vertical="center"/>
    </xf>
    <xf numFmtId="0" fontId="2" fillId="14" borderId="0" xfId="0" applyFont="1" applyFill="1" applyAlignment="1">
      <alignment vertical="center"/>
    </xf>
    <xf numFmtId="0" fontId="3" fillId="14" borderId="4" xfId="0" applyFont="1" applyFill="1" applyBorder="1" applyAlignment="1">
      <alignment vertical="center"/>
    </xf>
    <xf numFmtId="3" fontId="3" fillId="14" borderId="4" xfId="0" applyNumberFormat="1" applyFont="1" applyFill="1" applyBorder="1" applyAlignment="1">
      <alignment horizontal="center" vertical="center"/>
    </xf>
    <xf numFmtId="10" fontId="3" fillId="14" borderId="11" xfId="0" applyNumberFormat="1" applyFont="1" applyFill="1" applyBorder="1" applyAlignment="1">
      <alignment horizontal="center" vertical="center" wrapText="1"/>
    </xf>
    <xf numFmtId="9" fontId="3" fillId="14" borderId="11" xfId="0" applyNumberFormat="1" applyFont="1" applyFill="1" applyBorder="1" applyAlignment="1">
      <alignment horizontal="center" vertical="center" wrapText="1"/>
    </xf>
    <xf numFmtId="0" fontId="7" fillId="14" borderId="2" xfId="0" applyFont="1" applyFill="1" applyBorder="1" applyAlignment="1">
      <alignment vertical="center"/>
    </xf>
    <xf numFmtId="3" fontId="3" fillId="14" borderId="2" xfId="0" applyNumberFormat="1" applyFont="1" applyFill="1" applyBorder="1" applyAlignment="1">
      <alignment horizontal="center" vertical="center"/>
    </xf>
    <xf numFmtId="0" fontId="7" fillId="14" borderId="0" xfId="0" applyFont="1" applyFill="1" applyAlignment="1">
      <alignment vertical="center"/>
    </xf>
    <xf numFmtId="3" fontId="3" fillId="14" borderId="0" xfId="0" applyNumberFormat="1" applyFont="1" applyFill="1" applyAlignment="1">
      <alignment horizontal="center" vertical="center"/>
    </xf>
    <xf numFmtId="0" fontId="8" fillId="14" borderId="2" xfId="0" applyFont="1" applyFill="1" applyBorder="1" applyAlignment="1">
      <alignment horizontal="center" vertical="center"/>
    </xf>
    <xf numFmtId="0" fontId="2" fillId="14" borderId="0" xfId="0" applyFont="1" applyFill="1" applyAlignment="1">
      <alignment horizontal="center" vertical="center"/>
    </xf>
    <xf numFmtId="0" fontId="2" fillId="14" borderId="12" xfId="0" applyFont="1" applyFill="1" applyBorder="1" applyAlignment="1">
      <alignment vertical="center"/>
    </xf>
    <xf numFmtId="1" fontId="2" fillId="14" borderId="12" xfId="0" applyNumberFormat="1" applyFont="1" applyFill="1" applyBorder="1" applyAlignment="1">
      <alignment horizontal="center" vertical="center"/>
    </xf>
    <xf numFmtId="0" fontId="2" fillId="14" borderId="12" xfId="0" applyFont="1" applyFill="1" applyBorder="1" applyAlignment="1">
      <alignment horizontal="center" vertical="center"/>
    </xf>
    <xf numFmtId="0" fontId="2" fillId="14" borderId="4" xfId="0" applyFont="1" applyFill="1" applyBorder="1" applyAlignment="1">
      <alignment horizontal="center" vertical="center"/>
    </xf>
    <xf numFmtId="0" fontId="8" fillId="14" borderId="2" xfId="0" applyFont="1" applyFill="1" applyBorder="1" applyAlignment="1">
      <alignment vertical="center"/>
    </xf>
    <xf numFmtId="3" fontId="8" fillId="14" borderId="2" xfId="0" applyNumberFormat="1" applyFont="1" applyFill="1" applyBorder="1" applyAlignment="1">
      <alignment horizontal="center" vertical="center"/>
    </xf>
    <xf numFmtId="0" fontId="2" fillId="14" borderId="5" xfId="0" applyFont="1" applyFill="1" applyBorder="1" applyAlignment="1">
      <alignment horizontal="center" vertical="center"/>
    </xf>
    <xf numFmtId="3" fontId="2" fillId="14" borderId="5" xfId="0" applyNumberFormat="1" applyFont="1" applyFill="1" applyBorder="1" applyAlignment="1">
      <alignment horizontal="center" vertical="center"/>
    </xf>
    <xf numFmtId="0" fontId="8" fillId="14" borderId="4" xfId="0" applyFont="1" applyFill="1" applyBorder="1" applyAlignment="1">
      <alignment horizontal="center" vertical="center"/>
    </xf>
    <xf numFmtId="166" fontId="5" fillId="0" borderId="2" xfId="0" applyNumberFormat="1" applyFont="1" applyBorder="1" applyAlignment="1">
      <alignment horizontal="center" vertical="center"/>
    </xf>
    <xf numFmtId="0" fontId="8" fillId="0" borderId="0" xfId="0" applyFont="1"/>
    <xf numFmtId="0" fontId="3" fillId="0" borderId="2" xfId="0" applyFont="1" applyBorder="1" applyAlignment="1">
      <alignment vertical="center"/>
    </xf>
    <xf numFmtId="171" fontId="2" fillId="0" borderId="0" xfId="0" applyNumberFormat="1" applyFont="1"/>
    <xf numFmtId="166" fontId="59" fillId="0" borderId="2" xfId="0" applyNumberFormat="1" applyFont="1" applyBorder="1"/>
    <xf numFmtId="10" fontId="5" fillId="14" borderId="2" xfId="0" applyNumberFormat="1" applyFont="1" applyFill="1" applyBorder="1" applyAlignment="1">
      <alignment horizontal="center"/>
    </xf>
    <xf numFmtId="10" fontId="5" fillId="14" borderId="2" xfId="3" applyNumberFormat="1" applyFont="1" applyFill="1" applyBorder="1" applyAlignment="1">
      <alignment horizontal="center"/>
    </xf>
    <xf numFmtId="1" fontId="5" fillId="0" borderId="0" xfId="0" applyNumberFormat="1" applyFont="1" applyAlignment="1">
      <alignment horizontal="center"/>
    </xf>
    <xf numFmtId="9" fontId="3" fillId="14" borderId="2" xfId="0" applyNumberFormat="1" applyFont="1" applyFill="1" applyBorder="1" applyAlignment="1">
      <alignment vertical="center"/>
    </xf>
    <xf numFmtId="2" fontId="3" fillId="14" borderId="2" xfId="0" applyNumberFormat="1" applyFont="1" applyFill="1" applyBorder="1" applyAlignment="1">
      <alignment horizontal="center" vertical="center"/>
    </xf>
    <xf numFmtId="2" fontId="0" fillId="13" borderId="0" xfId="0" applyNumberFormat="1" applyFill="1"/>
    <xf numFmtId="1" fontId="0" fillId="13" borderId="0" xfId="0" applyNumberFormat="1" applyFill="1"/>
    <xf numFmtId="0" fontId="0" fillId="0" borderId="2" xfId="0" applyBorder="1" applyAlignment="1">
      <alignment horizontal="center" vertical="center" wrapText="1"/>
    </xf>
    <xf numFmtId="0" fontId="38" fillId="15" borderId="2" xfId="0" applyFont="1" applyFill="1" applyBorder="1" applyAlignment="1">
      <alignment horizontal="center"/>
    </xf>
    <xf numFmtId="0" fontId="40" fillId="16" borderId="2" xfId="0" applyFont="1" applyFill="1" applyBorder="1" applyAlignment="1">
      <alignment horizontal="center" wrapText="1"/>
    </xf>
    <xf numFmtId="0" fontId="40" fillId="16" borderId="2" xfId="0" applyFont="1" applyFill="1" applyBorder="1" applyAlignment="1">
      <alignment horizontal="center" vertical="center" wrapText="1"/>
    </xf>
    <xf numFmtId="0" fontId="4" fillId="15" borderId="2" xfId="0" applyFont="1" applyFill="1" applyBorder="1" applyAlignment="1">
      <alignment horizontal="center"/>
    </xf>
    <xf numFmtId="0" fontId="9" fillId="15" borderId="10" xfId="0" applyFont="1" applyFill="1" applyBorder="1" applyAlignment="1">
      <alignment horizontal="center" vertical="center"/>
    </xf>
    <xf numFmtId="0" fontId="9" fillId="15" borderId="1" xfId="0" applyFont="1" applyFill="1" applyBorder="1" applyAlignment="1">
      <alignment horizontal="center" vertical="center"/>
    </xf>
    <xf numFmtId="0" fontId="45" fillId="15" borderId="1" xfId="0" applyFont="1" applyFill="1" applyBorder="1" applyAlignment="1">
      <alignment horizontal="center"/>
    </xf>
    <xf numFmtId="0" fontId="45" fillId="15" borderId="2" xfId="0" applyFont="1" applyFill="1" applyBorder="1" applyAlignment="1">
      <alignment horizontal="center"/>
    </xf>
    <xf numFmtId="0" fontId="8" fillId="0" borderId="2" xfId="0" applyFont="1" applyBorder="1" applyAlignment="1">
      <alignment horizontal="center" vertical="center"/>
    </xf>
    <xf numFmtId="0" fontId="3" fillId="0" borderId="2" xfId="0" applyFont="1" applyBorder="1" applyAlignment="1">
      <alignment horizontal="center" vertical="center"/>
    </xf>
    <xf numFmtId="0" fontId="2" fillId="0" borderId="2" xfId="0" applyFont="1" applyBorder="1" applyAlignment="1">
      <alignment horizontal="center" vertical="center"/>
    </xf>
    <xf numFmtId="0" fontId="45" fillId="15" borderId="0" xfId="0" applyFont="1" applyFill="1" applyAlignment="1">
      <alignment horizontal="center" vertical="center"/>
    </xf>
    <xf numFmtId="0" fontId="3" fillId="0" borderId="3" xfId="0" applyFont="1" applyBorder="1" applyAlignment="1">
      <alignment horizontal="center"/>
    </xf>
    <xf numFmtId="0" fontId="3" fillId="0" borderId="13" xfId="0" applyFont="1" applyBorder="1" applyAlignment="1">
      <alignment horizontal="center"/>
    </xf>
    <xf numFmtId="0" fontId="3" fillId="0" borderId="6" xfId="0" applyFont="1" applyBorder="1" applyAlignment="1">
      <alignment horizontal="center"/>
    </xf>
    <xf numFmtId="0" fontId="7" fillId="13" borderId="0" xfId="0" applyFont="1" applyFill="1" applyAlignment="1">
      <alignment horizontal="left" vertical="top" wrapText="1"/>
    </xf>
    <xf numFmtId="0" fontId="9" fillId="15" borderId="2" xfId="0" applyFont="1" applyFill="1" applyBorder="1" applyAlignment="1">
      <alignment horizontal="center" vertical="center" wrapText="1"/>
    </xf>
    <xf numFmtId="0" fontId="9" fillId="15" borderId="2" xfId="0" applyFont="1" applyFill="1" applyBorder="1" applyAlignment="1">
      <alignment horizontal="center" wrapText="1"/>
    </xf>
    <xf numFmtId="0" fontId="58" fillId="14" borderId="2" xfId="0" applyFont="1" applyFill="1" applyBorder="1" applyAlignment="1">
      <alignment horizontal="center" vertical="center"/>
    </xf>
    <xf numFmtId="0" fontId="45" fillId="15" borderId="8" xfId="0" applyFont="1" applyFill="1" applyBorder="1" applyAlignment="1">
      <alignment horizontal="center"/>
    </xf>
    <xf numFmtId="0" fontId="9" fillId="15" borderId="1" xfId="41" applyFont="1" applyFill="1" applyBorder="1" applyAlignment="1">
      <alignment horizontal="left"/>
    </xf>
    <xf numFmtId="0" fontId="9" fillId="15" borderId="7" xfId="41" applyFont="1" applyFill="1" applyBorder="1" applyAlignment="1">
      <alignment horizontal="center" vertical="center" wrapText="1"/>
    </xf>
    <xf numFmtId="0" fontId="9" fillId="15" borderId="8" xfId="41" applyFont="1" applyFill="1" applyBorder="1" applyAlignment="1">
      <alignment horizontal="center" vertical="center" wrapText="1"/>
    </xf>
    <xf numFmtId="0" fontId="9" fillId="15" borderId="7" xfId="41" applyFont="1" applyFill="1" applyBorder="1" applyAlignment="1">
      <alignment horizontal="center" vertical="center"/>
    </xf>
    <xf numFmtId="0" fontId="9" fillId="15" borderId="8" xfId="41" applyFont="1" applyFill="1" applyBorder="1" applyAlignment="1">
      <alignment horizontal="center" vertical="center"/>
    </xf>
    <xf numFmtId="0" fontId="9" fillId="15" borderId="9" xfId="41" applyFont="1" applyFill="1" applyBorder="1" applyAlignment="1">
      <alignment horizontal="center" vertical="center"/>
    </xf>
    <xf numFmtId="0" fontId="8" fillId="0" borderId="7" xfId="0" applyFont="1" applyBorder="1" applyAlignment="1">
      <alignment horizontal="center" vertical="center"/>
    </xf>
    <xf numFmtId="0" fontId="8" fillId="0" borderId="25" xfId="0" applyFont="1" applyBorder="1" applyAlignment="1">
      <alignment horizontal="center" vertical="center"/>
    </xf>
    <xf numFmtId="0" fontId="8" fillId="0" borderId="10" xfId="0" applyFont="1" applyBorder="1" applyAlignment="1">
      <alignment horizontal="center" vertical="center"/>
    </xf>
    <xf numFmtId="0" fontId="39" fillId="15" borderId="7" xfId="0" applyFont="1" applyFill="1" applyBorder="1" applyAlignment="1">
      <alignment horizontal="center" vertical="center"/>
    </xf>
    <xf numFmtId="0" fontId="39" fillId="15" borderId="8" xfId="0" applyFont="1" applyFill="1" applyBorder="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3" fontId="3" fillId="0" borderId="25" xfId="41" applyNumberFormat="1" applyBorder="1" applyAlignment="1">
      <alignment horizontal="left" vertical="center" wrapText="1"/>
    </xf>
    <xf numFmtId="0" fontId="45" fillId="15" borderId="13" xfId="0" applyFont="1" applyFill="1" applyBorder="1" applyAlignment="1">
      <alignment horizontal="center" vertical="center"/>
    </xf>
    <xf numFmtId="0" fontId="9" fillId="15" borderId="3" xfId="0" applyFont="1" applyFill="1" applyBorder="1" applyAlignment="1">
      <alignment horizontal="center" vertical="center"/>
    </xf>
    <xf numFmtId="0" fontId="9" fillId="15" borderId="13" xfId="0" applyFont="1" applyFill="1" applyBorder="1" applyAlignment="1">
      <alignment horizontal="center" vertical="center"/>
    </xf>
    <xf numFmtId="0" fontId="9" fillId="15" borderId="6" xfId="0" applyFont="1" applyFill="1" applyBorder="1" applyAlignment="1">
      <alignment horizontal="center" vertical="center"/>
    </xf>
    <xf numFmtId="0" fontId="9" fillId="15" borderId="25" xfId="41" applyFont="1" applyFill="1" applyBorder="1" applyAlignment="1">
      <alignment horizontal="center" vertical="center"/>
    </xf>
    <xf numFmtId="0" fontId="9" fillId="15" borderId="0" xfId="41" applyFont="1" applyFill="1" applyAlignment="1">
      <alignment horizontal="center" vertical="center"/>
    </xf>
    <xf numFmtId="0" fontId="9" fillId="15" borderId="24" xfId="41" applyFont="1" applyFill="1" applyBorder="1" applyAlignment="1">
      <alignment horizontal="center" vertical="center"/>
    </xf>
    <xf numFmtId="0" fontId="36" fillId="0" borderId="25" xfId="41" applyFont="1" applyBorder="1" applyAlignment="1">
      <alignment horizontal="right" vertical="center"/>
    </xf>
    <xf numFmtId="0" fontId="36" fillId="0" borderId="0" xfId="41" applyFont="1" applyAlignment="1">
      <alignment horizontal="right" vertical="center"/>
    </xf>
    <xf numFmtId="0" fontId="36" fillId="0" borderId="24" xfId="41" applyFont="1" applyBorder="1" applyAlignment="1">
      <alignment horizontal="right" vertical="center"/>
    </xf>
    <xf numFmtId="0" fontId="9" fillId="15" borderId="7" xfId="43" applyFont="1" applyFill="1" applyBorder="1" applyAlignment="1">
      <alignment horizontal="center" vertical="center"/>
    </xf>
    <xf numFmtId="0" fontId="9" fillId="15" borderId="9" xfId="43" applyFont="1" applyFill="1" applyBorder="1" applyAlignment="1">
      <alignment horizontal="center" vertical="center"/>
    </xf>
    <xf numFmtId="0" fontId="36" fillId="0" borderId="25" xfId="43" applyFont="1" applyBorder="1" applyAlignment="1">
      <alignment horizontal="right" vertical="center"/>
    </xf>
    <xf numFmtId="0" fontId="36" fillId="0" borderId="24" xfId="43" applyFont="1" applyBorder="1" applyAlignment="1">
      <alignment horizontal="right" vertical="center"/>
    </xf>
    <xf numFmtId="0" fontId="9" fillId="15" borderId="5" xfId="0" applyFont="1" applyFill="1" applyBorder="1" applyAlignment="1">
      <alignment horizontal="center" vertical="center"/>
    </xf>
    <xf numFmtId="0" fontId="9" fillId="15" borderId="25" xfId="43" applyFont="1" applyFill="1" applyBorder="1" applyAlignment="1">
      <alignment horizontal="center" vertical="center"/>
    </xf>
    <xf numFmtId="0" fontId="9" fillId="15" borderId="0" xfId="43" applyFont="1" applyFill="1" applyAlignment="1">
      <alignment horizontal="center" vertical="center"/>
    </xf>
    <xf numFmtId="0" fontId="36" fillId="14" borderId="7" xfId="43" applyFont="1" applyFill="1" applyBorder="1" applyAlignment="1">
      <alignment horizontal="right" vertical="center"/>
    </xf>
    <xf numFmtId="0" fontId="36" fillId="14" borderId="8" xfId="43" applyFont="1" applyFill="1" applyBorder="1" applyAlignment="1">
      <alignment horizontal="right" vertical="center"/>
    </xf>
    <xf numFmtId="0" fontId="36" fillId="14" borderId="9" xfId="43" applyFont="1" applyFill="1" applyBorder="1" applyAlignment="1">
      <alignment horizontal="right" vertical="center"/>
    </xf>
    <xf numFmtId="0" fontId="3" fillId="0" borderId="25" xfId="41" applyBorder="1" applyAlignment="1">
      <alignment horizontal="center" vertical="center"/>
    </xf>
    <xf numFmtId="0" fontId="3" fillId="0" borderId="0" xfId="41" applyAlignment="1">
      <alignment horizontal="center" vertical="center"/>
    </xf>
    <xf numFmtId="0" fontId="3" fillId="0" borderId="24" xfId="41" applyBorder="1" applyAlignment="1">
      <alignment horizontal="center" vertical="center"/>
    </xf>
    <xf numFmtId="2" fontId="6" fillId="0" borderId="0" xfId="0" applyNumberFormat="1" applyFont="1" applyAlignment="1">
      <alignment horizontal="center" vertical="center" wrapText="1"/>
    </xf>
    <xf numFmtId="2" fontId="9" fillId="15" borderId="0" xfId="4" applyNumberFormat="1" applyFont="1" applyFill="1" applyBorder="1" applyAlignment="1">
      <alignment horizontal="center" vertical="center"/>
    </xf>
    <xf numFmtId="0" fontId="9" fillId="15" borderId="2" xfId="0" applyFont="1" applyFill="1" applyBorder="1" applyAlignment="1">
      <alignment horizontal="center" vertical="center"/>
    </xf>
    <xf numFmtId="0" fontId="8" fillId="0" borderId="2" xfId="4" applyFont="1" applyFill="1" applyBorder="1" applyAlignment="1">
      <alignment horizontal="center" vertical="center"/>
    </xf>
    <xf numFmtId="0" fontId="9" fillId="15" borderId="7" xfId="4" applyFont="1" applyFill="1" applyBorder="1" applyAlignment="1">
      <alignment horizontal="center" vertical="center"/>
    </xf>
    <xf numFmtId="0" fontId="9" fillId="15" borderId="8" xfId="4" applyFont="1" applyFill="1" applyBorder="1" applyAlignment="1">
      <alignment horizontal="center" vertical="center"/>
    </xf>
    <xf numFmtId="0" fontId="8" fillId="0" borderId="3" xfId="0" applyFont="1" applyBorder="1" applyAlignment="1">
      <alignment horizontal="center" vertical="center"/>
    </xf>
    <xf numFmtId="0" fontId="8" fillId="0" borderId="13" xfId="0" applyFont="1" applyBorder="1" applyAlignment="1">
      <alignment horizontal="center" vertical="center"/>
    </xf>
    <xf numFmtId="0" fontId="3" fillId="14" borderId="2" xfId="61" quotePrefix="1" applyFont="1" applyFill="1" applyBorder="1" applyAlignment="1">
      <alignment horizontal="center" vertical="top"/>
    </xf>
    <xf numFmtId="0" fontId="8" fillId="0" borderId="3" xfId="0" applyFont="1" applyBorder="1" applyAlignment="1">
      <alignment horizontal="center"/>
    </xf>
    <xf numFmtId="0" fontId="8" fillId="0" borderId="6" xfId="0" applyFont="1" applyBorder="1" applyAlignment="1">
      <alignment horizontal="center"/>
    </xf>
    <xf numFmtId="0" fontId="5" fillId="14" borderId="2" xfId="65" quotePrefix="1" applyFont="1" applyFill="1" applyBorder="1" applyAlignment="1">
      <alignment horizontal="center" vertical="top"/>
    </xf>
    <xf numFmtId="0" fontId="9" fillId="15" borderId="1" xfId="0" applyFont="1" applyFill="1" applyBorder="1" applyAlignment="1">
      <alignment horizontal="center"/>
    </xf>
    <xf numFmtId="0" fontId="58" fillId="0" borderId="2" xfId="0" applyFont="1" applyBorder="1" applyAlignment="1">
      <alignment horizontal="center" vertical="center"/>
    </xf>
    <xf numFmtId="0" fontId="60" fillId="0" borderId="2" xfId="0" applyFont="1" applyBorder="1" applyAlignment="1">
      <alignment horizontal="center"/>
    </xf>
    <xf numFmtId="166" fontId="2" fillId="13" borderId="0" xfId="0" applyNumberFormat="1" applyFont="1" applyFill="1"/>
  </cellXfs>
  <cellStyles count="71">
    <cellStyle name="Accent1" xfId="4" builtinId="29"/>
    <cellStyle name="Bad 2" xfId="8" xr:uid="{00000000-0005-0000-0000-000001000000}"/>
    <cellStyle name="Calculation 2" xfId="9" xr:uid="{00000000-0005-0000-0000-000002000000}"/>
    <cellStyle name="Check Cell 2" xfId="10" xr:uid="{00000000-0005-0000-0000-000003000000}"/>
    <cellStyle name="Comma" xfId="1" builtinId="3"/>
    <cellStyle name="Comma 2" xfId="5" xr:uid="{00000000-0005-0000-0000-000005000000}"/>
    <cellStyle name="Comma 2 2" xfId="11" xr:uid="{00000000-0005-0000-0000-000006000000}"/>
    <cellStyle name="Comma 2 3" xfId="42" xr:uid="{00000000-0005-0000-0000-000007000000}"/>
    <cellStyle name="Comma 3" xfId="54" xr:uid="{00000000-0005-0000-0000-000008000000}"/>
    <cellStyle name="Explanatory Text 2" xfId="12" xr:uid="{00000000-0005-0000-0000-000009000000}"/>
    <cellStyle name="Good 2" xfId="13" xr:uid="{00000000-0005-0000-0000-00000A000000}"/>
    <cellStyle name="Heading 1 2" xfId="14" xr:uid="{00000000-0005-0000-0000-00000B000000}"/>
    <cellStyle name="Heading 2 2" xfId="15" xr:uid="{00000000-0005-0000-0000-00000C000000}"/>
    <cellStyle name="Heading 3 2" xfId="16" xr:uid="{00000000-0005-0000-0000-00000D000000}"/>
    <cellStyle name="Heading 4 2" xfId="17" xr:uid="{00000000-0005-0000-0000-00000E000000}"/>
    <cellStyle name="Hyperlink 2" xfId="18" xr:uid="{00000000-0005-0000-0000-000010000000}"/>
    <cellStyle name="Input 2" xfId="19" xr:uid="{00000000-0005-0000-0000-000011000000}"/>
    <cellStyle name="Linked Cell 2" xfId="20" xr:uid="{00000000-0005-0000-0000-000012000000}"/>
    <cellStyle name="Neutral 2" xfId="21" xr:uid="{00000000-0005-0000-0000-000013000000}"/>
    <cellStyle name="Normal" xfId="0" builtinId="0"/>
    <cellStyle name="Normal 10" xfId="2" xr:uid="{00000000-0005-0000-0000-000015000000}"/>
    <cellStyle name="Normal 12" xfId="69" xr:uid="{00000000-0005-0000-0000-000016000000}"/>
    <cellStyle name="Normal 19" xfId="59" xr:uid="{00000000-0005-0000-0000-000017000000}"/>
    <cellStyle name="Normal 2" xfId="6" xr:uid="{00000000-0005-0000-0000-000018000000}"/>
    <cellStyle name="Normal 2 2" xfId="41" xr:uid="{00000000-0005-0000-0000-000019000000}"/>
    <cellStyle name="Normal 2 3" xfId="44" xr:uid="{00000000-0005-0000-0000-00001A000000}"/>
    <cellStyle name="Normal 2 4" xfId="47" xr:uid="{00000000-0005-0000-0000-00001B000000}"/>
    <cellStyle name="Normal 2 5" xfId="49" xr:uid="{00000000-0005-0000-0000-00001C000000}"/>
    <cellStyle name="Normal 21" xfId="60" xr:uid="{00000000-0005-0000-0000-00001D000000}"/>
    <cellStyle name="Normal 22" xfId="55" xr:uid="{00000000-0005-0000-0000-00001E000000}"/>
    <cellStyle name="Normal 23" xfId="61" xr:uid="{00000000-0005-0000-0000-00001F000000}"/>
    <cellStyle name="Normal 24" xfId="56" xr:uid="{00000000-0005-0000-0000-000020000000}"/>
    <cellStyle name="Normal 25" xfId="63" xr:uid="{00000000-0005-0000-0000-000021000000}"/>
    <cellStyle name="Normal 26" xfId="62" xr:uid="{00000000-0005-0000-0000-000022000000}"/>
    <cellStyle name="Normal 27" xfId="64" xr:uid="{00000000-0005-0000-0000-000023000000}"/>
    <cellStyle name="Normal 28" xfId="52" xr:uid="{00000000-0005-0000-0000-000024000000}"/>
    <cellStyle name="Normal 29" xfId="65" xr:uid="{00000000-0005-0000-0000-000025000000}"/>
    <cellStyle name="Normal 3" xfId="22" xr:uid="{00000000-0005-0000-0000-000026000000}"/>
    <cellStyle name="Normal 3 2" xfId="45" xr:uid="{00000000-0005-0000-0000-000027000000}"/>
    <cellStyle name="Normal 3 3" xfId="48" xr:uid="{00000000-0005-0000-0000-000028000000}"/>
    <cellStyle name="Normal 30" xfId="66" xr:uid="{00000000-0005-0000-0000-000029000000}"/>
    <cellStyle name="Normal 31" xfId="67" xr:uid="{00000000-0005-0000-0000-00002A000000}"/>
    <cellStyle name="Normal 32" xfId="53" xr:uid="{00000000-0005-0000-0000-00002B000000}"/>
    <cellStyle name="Normal 33" xfId="70" xr:uid="{00000000-0005-0000-0000-00002C000000}"/>
    <cellStyle name="Normal 34" xfId="58" xr:uid="{00000000-0005-0000-0000-00002D000000}"/>
    <cellStyle name="Normal 35" xfId="57" xr:uid="{00000000-0005-0000-0000-00002E000000}"/>
    <cellStyle name="Normal 4" xfId="7" xr:uid="{00000000-0005-0000-0000-00002F000000}"/>
    <cellStyle name="Normal 5 2" xfId="43" xr:uid="{00000000-0005-0000-0000-000030000000}"/>
    <cellStyle name="Normal 6 2" xfId="50" xr:uid="{00000000-0005-0000-0000-000031000000}"/>
    <cellStyle name="Note 2" xfId="23" xr:uid="{00000000-0005-0000-0000-000032000000}"/>
    <cellStyle name="Output 2" xfId="24" xr:uid="{00000000-0005-0000-0000-000033000000}"/>
    <cellStyle name="Percent" xfId="3" builtinId="5"/>
    <cellStyle name="Percent 13" xfId="68" xr:uid="{00000000-0005-0000-0000-000035000000}"/>
    <cellStyle name="Percent 2" xfId="26" xr:uid="{00000000-0005-0000-0000-000036000000}"/>
    <cellStyle name="Percent 2 2" xfId="46" xr:uid="{00000000-0005-0000-0000-000037000000}"/>
    <cellStyle name="Percent 3" xfId="25" xr:uid="{00000000-0005-0000-0000-000038000000}"/>
    <cellStyle name="Percent 4" xfId="51" xr:uid="{00000000-0005-0000-0000-000039000000}"/>
    <cellStyle name="Smart Bold" xfId="27" xr:uid="{00000000-0005-0000-0000-00003A000000}"/>
    <cellStyle name="Smart Forecast" xfId="28" xr:uid="{00000000-0005-0000-0000-00003B000000}"/>
    <cellStyle name="Smart General" xfId="29" xr:uid="{00000000-0005-0000-0000-00003C000000}"/>
    <cellStyle name="Smart Highlight" xfId="30" xr:uid="{00000000-0005-0000-0000-00003D000000}"/>
    <cellStyle name="Smart Percent" xfId="31" xr:uid="{00000000-0005-0000-0000-00003E000000}"/>
    <cellStyle name="Smart Source" xfId="32" xr:uid="{00000000-0005-0000-0000-00003F000000}"/>
    <cellStyle name="Smart Subtitle 1" xfId="33" xr:uid="{00000000-0005-0000-0000-000040000000}"/>
    <cellStyle name="Smart Subtitle 2" xfId="34" xr:uid="{00000000-0005-0000-0000-000041000000}"/>
    <cellStyle name="Smart Subtitle 3" xfId="35" xr:uid="{00000000-0005-0000-0000-000042000000}"/>
    <cellStyle name="Smart Subtotal" xfId="36" xr:uid="{00000000-0005-0000-0000-000043000000}"/>
    <cellStyle name="Smart Title" xfId="37" xr:uid="{00000000-0005-0000-0000-000044000000}"/>
    <cellStyle name="Smart Total" xfId="38" xr:uid="{00000000-0005-0000-0000-000045000000}"/>
    <cellStyle name="Title 2" xfId="39" xr:uid="{00000000-0005-0000-0000-000046000000}"/>
    <cellStyle name="Total 2" xfId="40" xr:uid="{00000000-0005-0000-0000-000047000000}"/>
  </cellStyles>
  <dxfs count="0"/>
  <tableStyles count="0" defaultTableStyle="TableStyleMedium2" defaultPivotStyle="PivotStyleLight16"/>
  <colors>
    <mruColors>
      <color rgb="FF136D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1</xdr:rowOff>
    </xdr:from>
    <xdr:to>
      <xdr:col>19</xdr:col>
      <xdr:colOff>518584</xdr:colOff>
      <xdr:row>31</xdr:row>
      <xdr:rowOff>0</xdr:rowOff>
    </xdr:to>
    <xdr:sp macro="" textlink="">
      <xdr:nvSpPr>
        <xdr:cNvPr id="2" name="TextBox 1">
          <a:extLst>
            <a:ext uri="{FF2B5EF4-FFF2-40B4-BE49-F238E27FC236}">
              <a16:creationId xmlns:a16="http://schemas.microsoft.com/office/drawing/2014/main" id="{BB8B303B-C405-2B29-A382-2AD0F29DF4A4}"/>
            </a:ext>
          </a:extLst>
        </xdr:cNvPr>
        <xdr:cNvSpPr txBox="1"/>
      </xdr:nvSpPr>
      <xdr:spPr>
        <a:xfrm>
          <a:off x="1" y="1"/>
          <a:ext cx="12181416" cy="5905499"/>
        </a:xfrm>
        <a:prstGeom prst="rect">
          <a:avLst/>
        </a:prstGeom>
        <a:solidFill>
          <a:sysClr val="window" lastClr="FFFFFF"/>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1">
              <a:solidFill>
                <a:schemeClr val="dk1"/>
              </a:solidFill>
              <a:effectLst/>
              <a:latin typeface="Arial" panose="020B0604020202020204" pitchFamily="34" charset="0"/>
              <a:ea typeface="+mn-ea"/>
              <a:cs typeface="Arial" panose="020B0604020202020204" pitchFamily="34" charset="0"/>
            </a:rPr>
            <a:t>Assumptions</a:t>
          </a:r>
          <a:r>
            <a:rPr lang="en-IN" sz="1000" i="1">
              <a:solidFill>
                <a:schemeClr val="dk1"/>
              </a:solidFill>
              <a:effectLst/>
              <a:latin typeface="Arial" panose="020B0604020202020204" pitchFamily="34" charset="0"/>
              <a:ea typeface="+mn-ea"/>
              <a:cs typeface="Arial" panose="020B0604020202020204" pitchFamily="34" charset="0"/>
            </a:rPr>
            <a:t>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Raw material consumption norms are taken same as provided by KBR.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Per unit consumption of utilities, prices of raw material per tonne, catchem, overhead cost per tonne have been considered in financial modelling.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Salaries &amp; wages calculations is based on the required number of employees needed in the operations of both the product. (Primary interviews)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The means of finance is taken as 25% equity share capital and 75% term loan.</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Working capital is used to fund operations and meet short-term obligations for the unit.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The total annual sales value is calculated by multiplying the price of each product (INR/Tonnes) by the 100% annual production of WNA and TAN.</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The total salaries &amp; wages are calculated by multiplying the number of employees by the annual CTC each employee is offered.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Means of finance represents the aid of financing the capital investment of the project.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For the calculation of total capital investment, equipment cost is derived through conducting various primary interviews with industry experts.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To calculate the total capital investment, the standard norms have been considered against the cost of basic plant and machinery. The below listed are the following norms-</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Auxiliary equipment and pollution control equipment at 5%</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Freight charges at 1%</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Insurance charges at 2%</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Erection and foundation at 10% of plant machinery</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Stores and spares at 2%</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Note- The total capital investment includes the equipment cost plus the above-listed parameters.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ISBL facility includes equipment required in the process to manufacture weak nitric acid and ammonium nitrate. OSBL facility includes wastewater treatment plants, effluent treatment plants, different types of wet scrubbers to mitigate GHG emissions.</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Operating cost is being calculated separately for weak nitric acid (WNA) and ammonium nitrate.</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Some of the parameters in calculating the operating cost will have the common values like Labour (Salary and Wages), Maintenance and repairs, Plant Overhead and Administrative Costs, therefore, to avoid double counting, those have been considered in the WNA operating cost.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For calculating some of the parameters, the following standard norms have been considered for total capital investment-</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Maintenance and repairs: 2% of Total Capital Investment</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Plant Overhead and Administrative Costs: 25% of</a:t>
          </a:r>
          <a:r>
            <a:rPr lang="en-IN" sz="1000" i="1" baseline="0">
              <a:solidFill>
                <a:schemeClr val="dk1"/>
              </a:solidFill>
              <a:effectLst/>
              <a:latin typeface="Arial" panose="020B0604020202020204" pitchFamily="34" charset="0"/>
              <a:ea typeface="+mn-ea"/>
              <a:cs typeface="Arial" panose="020B0604020202020204" pitchFamily="34" charset="0"/>
            </a:rPr>
            <a:t> Salaries and Wages</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Expenditure of capital investment will be in the following phase-</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40% of Total Capital Investment: 2023</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60% of Total Capital Investment: 2024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Operating Revenue is bifurcated between-</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7800 tons weak nitric acid merchant sale.</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100000 tons ammonium nitrate merchant sale.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Operating revenue for each year is calculated by multiplying the capacity utilization for respective year to the annual sales revenue @ 100 percent capacity utilization.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Operations will start in 2025.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Cash flow has been calculated for 15 years.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Total operating cost is calculated based on capacity utilization at that period.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Four following cases are taken into consideration for sensitivity analysis-</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Raw Material Price increases by 10%</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Project Cost decreases by 5%</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Selling Price increases by 10%	</a:t>
          </a:r>
          <a:endParaRPr lang="en-IN" sz="1000">
            <a:effectLst/>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39</xdr:row>
      <xdr:rowOff>0</xdr:rowOff>
    </xdr:from>
    <xdr:to>
      <xdr:col>0</xdr:col>
      <xdr:colOff>76200</xdr:colOff>
      <xdr:row>40</xdr:row>
      <xdr:rowOff>53462</xdr:rowOff>
    </xdr:to>
    <xdr:sp macro="" textlink="">
      <xdr:nvSpPr>
        <xdr:cNvPr id="2" name="Text Box 2">
          <a:extLst>
            <a:ext uri="{FF2B5EF4-FFF2-40B4-BE49-F238E27FC236}">
              <a16:creationId xmlns:a16="http://schemas.microsoft.com/office/drawing/2014/main" id="{E27556FF-E1B5-42B6-A868-0CCA5FDC4A25}"/>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3" name="Text Box 3">
          <a:extLst>
            <a:ext uri="{FF2B5EF4-FFF2-40B4-BE49-F238E27FC236}">
              <a16:creationId xmlns:a16="http://schemas.microsoft.com/office/drawing/2014/main" id="{BDD4C855-0DD4-44C7-B089-93F74FDE4448}"/>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4" name="Text Box 4">
          <a:extLst>
            <a:ext uri="{FF2B5EF4-FFF2-40B4-BE49-F238E27FC236}">
              <a16:creationId xmlns:a16="http://schemas.microsoft.com/office/drawing/2014/main" id="{8FFBCBCC-4F67-4AEF-AE42-62AB60E0A2E0}"/>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5" name="Text Box 5">
          <a:extLst>
            <a:ext uri="{FF2B5EF4-FFF2-40B4-BE49-F238E27FC236}">
              <a16:creationId xmlns:a16="http://schemas.microsoft.com/office/drawing/2014/main" id="{02E327DF-27DF-4928-B892-2B03E9D27CC4}"/>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6" name="Text Box 6">
          <a:extLst>
            <a:ext uri="{FF2B5EF4-FFF2-40B4-BE49-F238E27FC236}">
              <a16:creationId xmlns:a16="http://schemas.microsoft.com/office/drawing/2014/main" id="{4A11F03D-2531-498D-8E92-E1C22F716249}"/>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7" name="Text Box 7">
          <a:extLst>
            <a:ext uri="{FF2B5EF4-FFF2-40B4-BE49-F238E27FC236}">
              <a16:creationId xmlns:a16="http://schemas.microsoft.com/office/drawing/2014/main" id="{75BB197B-FDCA-4CA7-831B-C5DBAE85BB1A}"/>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8" name="Text Box 8">
          <a:extLst>
            <a:ext uri="{FF2B5EF4-FFF2-40B4-BE49-F238E27FC236}">
              <a16:creationId xmlns:a16="http://schemas.microsoft.com/office/drawing/2014/main" id="{50A1E45D-1794-4B80-8BAC-9FD47369D2AC}"/>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9" name="Text Box 9">
          <a:extLst>
            <a:ext uri="{FF2B5EF4-FFF2-40B4-BE49-F238E27FC236}">
              <a16:creationId xmlns:a16="http://schemas.microsoft.com/office/drawing/2014/main" id="{28BCDC55-0EE0-4CCC-A98F-5FC57FCA6A27}"/>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0" name="Text Box 10">
          <a:extLst>
            <a:ext uri="{FF2B5EF4-FFF2-40B4-BE49-F238E27FC236}">
              <a16:creationId xmlns:a16="http://schemas.microsoft.com/office/drawing/2014/main" id="{91956B02-0E8C-4CB6-99AC-CAA800D0E85E}"/>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1" name="Text Box 11">
          <a:extLst>
            <a:ext uri="{FF2B5EF4-FFF2-40B4-BE49-F238E27FC236}">
              <a16:creationId xmlns:a16="http://schemas.microsoft.com/office/drawing/2014/main" id="{926FF256-DA4F-4374-8F56-DB7471CAB4C6}"/>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2" name="Text Box 12">
          <a:extLst>
            <a:ext uri="{FF2B5EF4-FFF2-40B4-BE49-F238E27FC236}">
              <a16:creationId xmlns:a16="http://schemas.microsoft.com/office/drawing/2014/main" id="{53E2A5F4-3B0F-42AC-A2F6-9708E627145C}"/>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3" name="Text Box 13">
          <a:extLst>
            <a:ext uri="{FF2B5EF4-FFF2-40B4-BE49-F238E27FC236}">
              <a16:creationId xmlns:a16="http://schemas.microsoft.com/office/drawing/2014/main" id="{55745AB3-8EF5-4AC2-BFB6-D7C3C62EF9C6}"/>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4" name="Text Box 14">
          <a:extLst>
            <a:ext uri="{FF2B5EF4-FFF2-40B4-BE49-F238E27FC236}">
              <a16:creationId xmlns:a16="http://schemas.microsoft.com/office/drawing/2014/main" id="{2E53BB42-6817-423B-9F95-9256D04034D9}"/>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5" name="Text Box 15">
          <a:extLst>
            <a:ext uri="{FF2B5EF4-FFF2-40B4-BE49-F238E27FC236}">
              <a16:creationId xmlns:a16="http://schemas.microsoft.com/office/drawing/2014/main" id="{8E046B95-E483-4300-8E43-983C5C8F1F4A}"/>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6" name="Text Box 16">
          <a:extLst>
            <a:ext uri="{FF2B5EF4-FFF2-40B4-BE49-F238E27FC236}">
              <a16:creationId xmlns:a16="http://schemas.microsoft.com/office/drawing/2014/main" id="{629B7E3A-2F65-48C2-AC80-24EB7D50656B}"/>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7" name="Text Box 17">
          <a:extLst>
            <a:ext uri="{FF2B5EF4-FFF2-40B4-BE49-F238E27FC236}">
              <a16:creationId xmlns:a16="http://schemas.microsoft.com/office/drawing/2014/main" id="{E664C873-A8B5-4DC9-8F91-AE0E3ED2237D}"/>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8" name="Text Box 18">
          <a:extLst>
            <a:ext uri="{FF2B5EF4-FFF2-40B4-BE49-F238E27FC236}">
              <a16:creationId xmlns:a16="http://schemas.microsoft.com/office/drawing/2014/main" id="{2E5187FD-3B5D-4764-A777-BD90E78BAEE2}"/>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9" name="Text Box 19">
          <a:extLst>
            <a:ext uri="{FF2B5EF4-FFF2-40B4-BE49-F238E27FC236}">
              <a16:creationId xmlns:a16="http://schemas.microsoft.com/office/drawing/2014/main" id="{19621D90-AB99-4B51-89B0-7D809AEBD3C7}"/>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0" name="Text Box 20">
          <a:extLst>
            <a:ext uri="{FF2B5EF4-FFF2-40B4-BE49-F238E27FC236}">
              <a16:creationId xmlns:a16="http://schemas.microsoft.com/office/drawing/2014/main" id="{8A330429-0FFD-497A-B2ED-DB283DEF25D9}"/>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1" name="Text Box 21">
          <a:extLst>
            <a:ext uri="{FF2B5EF4-FFF2-40B4-BE49-F238E27FC236}">
              <a16:creationId xmlns:a16="http://schemas.microsoft.com/office/drawing/2014/main" id="{0E58073B-93D2-4BF7-BC71-E3DFF515481B}"/>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2" name="Text Box 22">
          <a:extLst>
            <a:ext uri="{FF2B5EF4-FFF2-40B4-BE49-F238E27FC236}">
              <a16:creationId xmlns:a16="http://schemas.microsoft.com/office/drawing/2014/main" id="{91FC5C5C-C383-4928-A443-A0643FB43CEA}"/>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3" name="Text Box 23">
          <a:extLst>
            <a:ext uri="{FF2B5EF4-FFF2-40B4-BE49-F238E27FC236}">
              <a16:creationId xmlns:a16="http://schemas.microsoft.com/office/drawing/2014/main" id="{BD125740-06F4-41E0-9BDD-AED313EB095C}"/>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4" name="Text Box 24">
          <a:extLst>
            <a:ext uri="{FF2B5EF4-FFF2-40B4-BE49-F238E27FC236}">
              <a16:creationId xmlns:a16="http://schemas.microsoft.com/office/drawing/2014/main" id="{8BB9229E-42C2-4C1C-89E7-062A989A6C20}"/>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5" name="Text Box 25">
          <a:extLst>
            <a:ext uri="{FF2B5EF4-FFF2-40B4-BE49-F238E27FC236}">
              <a16:creationId xmlns:a16="http://schemas.microsoft.com/office/drawing/2014/main" id="{55BF80CD-9BA4-4BF4-9092-855DD83BB477}"/>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6" name="Text Box 26">
          <a:extLst>
            <a:ext uri="{FF2B5EF4-FFF2-40B4-BE49-F238E27FC236}">
              <a16:creationId xmlns:a16="http://schemas.microsoft.com/office/drawing/2014/main" id="{186541F3-18EF-4B49-95AA-2F0347C34B6D}"/>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7" name="Text Box 27">
          <a:extLst>
            <a:ext uri="{FF2B5EF4-FFF2-40B4-BE49-F238E27FC236}">
              <a16:creationId xmlns:a16="http://schemas.microsoft.com/office/drawing/2014/main" id="{A308772B-2B41-4C95-807F-C0BA10314794}"/>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8" name="Text Box 28">
          <a:extLst>
            <a:ext uri="{FF2B5EF4-FFF2-40B4-BE49-F238E27FC236}">
              <a16:creationId xmlns:a16="http://schemas.microsoft.com/office/drawing/2014/main" id="{AED7B3D5-2CA0-49A6-A1F0-7B3456997BE5}"/>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9" name="Text Box 29">
          <a:extLst>
            <a:ext uri="{FF2B5EF4-FFF2-40B4-BE49-F238E27FC236}">
              <a16:creationId xmlns:a16="http://schemas.microsoft.com/office/drawing/2014/main" id="{D7D70BF8-9A6C-40BF-9BD7-8C69F786754F}"/>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30" name="Text Box 30">
          <a:extLst>
            <a:ext uri="{FF2B5EF4-FFF2-40B4-BE49-F238E27FC236}">
              <a16:creationId xmlns:a16="http://schemas.microsoft.com/office/drawing/2014/main" id="{80180E1B-3722-48C2-9843-DF78DB0AEBF9}"/>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0</xdr:col>
      <xdr:colOff>0</xdr:colOff>
      <xdr:row>39</xdr:row>
      <xdr:rowOff>0</xdr:rowOff>
    </xdr:from>
    <xdr:ext cx="76200" cy="257175"/>
    <xdr:sp macro="" textlink="">
      <xdr:nvSpPr>
        <xdr:cNvPr id="31" name="Text Box 2">
          <a:extLst>
            <a:ext uri="{FF2B5EF4-FFF2-40B4-BE49-F238E27FC236}">
              <a16:creationId xmlns:a16="http://schemas.microsoft.com/office/drawing/2014/main" id="{89C98622-A026-4674-AD24-683C85C80818}"/>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2" name="Text Box 3">
          <a:extLst>
            <a:ext uri="{FF2B5EF4-FFF2-40B4-BE49-F238E27FC236}">
              <a16:creationId xmlns:a16="http://schemas.microsoft.com/office/drawing/2014/main" id="{9290817D-AE64-48C2-84EA-166B1E2A8210}"/>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3" name="Text Box 4">
          <a:extLst>
            <a:ext uri="{FF2B5EF4-FFF2-40B4-BE49-F238E27FC236}">
              <a16:creationId xmlns:a16="http://schemas.microsoft.com/office/drawing/2014/main" id="{FB93B9F5-38F3-48A4-B6B5-70E4EAAFA572}"/>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4" name="Text Box 5">
          <a:extLst>
            <a:ext uri="{FF2B5EF4-FFF2-40B4-BE49-F238E27FC236}">
              <a16:creationId xmlns:a16="http://schemas.microsoft.com/office/drawing/2014/main" id="{758DA783-ACFC-4F21-A4BF-C5E1F4D03B99}"/>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5" name="Text Box 6">
          <a:extLst>
            <a:ext uri="{FF2B5EF4-FFF2-40B4-BE49-F238E27FC236}">
              <a16:creationId xmlns:a16="http://schemas.microsoft.com/office/drawing/2014/main" id="{68666C0A-3813-4622-B90F-C3B6A5377E56}"/>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6" name="Text Box 7">
          <a:extLst>
            <a:ext uri="{FF2B5EF4-FFF2-40B4-BE49-F238E27FC236}">
              <a16:creationId xmlns:a16="http://schemas.microsoft.com/office/drawing/2014/main" id="{3E1D4EF1-1379-4A38-9DB1-1B7A3A9058AE}"/>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7" name="Text Box 8">
          <a:extLst>
            <a:ext uri="{FF2B5EF4-FFF2-40B4-BE49-F238E27FC236}">
              <a16:creationId xmlns:a16="http://schemas.microsoft.com/office/drawing/2014/main" id="{F34AA5C7-7A96-435F-AFFE-BBF4560AF6E6}"/>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8" name="Text Box 9">
          <a:extLst>
            <a:ext uri="{FF2B5EF4-FFF2-40B4-BE49-F238E27FC236}">
              <a16:creationId xmlns:a16="http://schemas.microsoft.com/office/drawing/2014/main" id="{DFA9B4C1-6FED-49C4-8009-736C2CADB972}"/>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9" name="Text Box 10">
          <a:extLst>
            <a:ext uri="{FF2B5EF4-FFF2-40B4-BE49-F238E27FC236}">
              <a16:creationId xmlns:a16="http://schemas.microsoft.com/office/drawing/2014/main" id="{7E44DDB6-8D7C-447C-9282-C00AD3DBF06B}"/>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0" name="Text Box 11">
          <a:extLst>
            <a:ext uri="{FF2B5EF4-FFF2-40B4-BE49-F238E27FC236}">
              <a16:creationId xmlns:a16="http://schemas.microsoft.com/office/drawing/2014/main" id="{9EC0E2A2-DC5D-47AE-844E-EC49B06F70FB}"/>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1" name="Text Box 12">
          <a:extLst>
            <a:ext uri="{FF2B5EF4-FFF2-40B4-BE49-F238E27FC236}">
              <a16:creationId xmlns:a16="http://schemas.microsoft.com/office/drawing/2014/main" id="{11600A68-A6B9-4BA6-B23F-904FE98F7B7A}"/>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2" name="Text Box 13">
          <a:extLst>
            <a:ext uri="{FF2B5EF4-FFF2-40B4-BE49-F238E27FC236}">
              <a16:creationId xmlns:a16="http://schemas.microsoft.com/office/drawing/2014/main" id="{D95C8A5B-EBC1-43BE-8A36-1AE8A7E24261}"/>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3" name="Text Box 14">
          <a:extLst>
            <a:ext uri="{FF2B5EF4-FFF2-40B4-BE49-F238E27FC236}">
              <a16:creationId xmlns:a16="http://schemas.microsoft.com/office/drawing/2014/main" id="{82F18478-1FDF-4E2E-AF63-193D4804F2C0}"/>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4" name="Text Box 15">
          <a:extLst>
            <a:ext uri="{FF2B5EF4-FFF2-40B4-BE49-F238E27FC236}">
              <a16:creationId xmlns:a16="http://schemas.microsoft.com/office/drawing/2014/main" id="{B7023B34-B122-4AD1-AF47-A8F992C79F78}"/>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5" name="Text Box 16">
          <a:extLst>
            <a:ext uri="{FF2B5EF4-FFF2-40B4-BE49-F238E27FC236}">
              <a16:creationId xmlns:a16="http://schemas.microsoft.com/office/drawing/2014/main" id="{F62BFD53-3917-4CD3-A833-1BB7EA7F5E81}"/>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6" name="Text Box 17">
          <a:extLst>
            <a:ext uri="{FF2B5EF4-FFF2-40B4-BE49-F238E27FC236}">
              <a16:creationId xmlns:a16="http://schemas.microsoft.com/office/drawing/2014/main" id="{15706842-C746-4DE3-9CBA-BAD3B41D53BE}"/>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7" name="Text Box 18">
          <a:extLst>
            <a:ext uri="{FF2B5EF4-FFF2-40B4-BE49-F238E27FC236}">
              <a16:creationId xmlns:a16="http://schemas.microsoft.com/office/drawing/2014/main" id="{9C3DB1E2-FAF0-4C40-9389-5340F19AF88C}"/>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8" name="Text Box 19">
          <a:extLst>
            <a:ext uri="{FF2B5EF4-FFF2-40B4-BE49-F238E27FC236}">
              <a16:creationId xmlns:a16="http://schemas.microsoft.com/office/drawing/2014/main" id="{185A4A08-041B-4F80-89B0-D6FA153D56FD}"/>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9" name="Text Box 20">
          <a:extLst>
            <a:ext uri="{FF2B5EF4-FFF2-40B4-BE49-F238E27FC236}">
              <a16:creationId xmlns:a16="http://schemas.microsoft.com/office/drawing/2014/main" id="{0BBDB086-3237-4078-8E36-54271032C8E3}"/>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0" name="Text Box 21">
          <a:extLst>
            <a:ext uri="{FF2B5EF4-FFF2-40B4-BE49-F238E27FC236}">
              <a16:creationId xmlns:a16="http://schemas.microsoft.com/office/drawing/2014/main" id="{6399FA4F-1182-458D-A17C-1ABDD6A0E4A7}"/>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1" name="Text Box 22">
          <a:extLst>
            <a:ext uri="{FF2B5EF4-FFF2-40B4-BE49-F238E27FC236}">
              <a16:creationId xmlns:a16="http://schemas.microsoft.com/office/drawing/2014/main" id="{F22E6C54-3A1E-4315-8A80-D01D8A44BAF7}"/>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2" name="Text Box 23">
          <a:extLst>
            <a:ext uri="{FF2B5EF4-FFF2-40B4-BE49-F238E27FC236}">
              <a16:creationId xmlns:a16="http://schemas.microsoft.com/office/drawing/2014/main" id="{6E37EF44-448D-4C7B-9C70-9CBF6414A52B}"/>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3" name="Text Box 24">
          <a:extLst>
            <a:ext uri="{FF2B5EF4-FFF2-40B4-BE49-F238E27FC236}">
              <a16:creationId xmlns:a16="http://schemas.microsoft.com/office/drawing/2014/main" id="{C0B5C9EB-7AD2-42AB-A8E6-0E7B6A4F8C37}"/>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4" name="Text Box 25">
          <a:extLst>
            <a:ext uri="{FF2B5EF4-FFF2-40B4-BE49-F238E27FC236}">
              <a16:creationId xmlns:a16="http://schemas.microsoft.com/office/drawing/2014/main" id="{B993AE7A-509A-4D63-AA71-380CC6447485}"/>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5" name="Text Box 26">
          <a:extLst>
            <a:ext uri="{FF2B5EF4-FFF2-40B4-BE49-F238E27FC236}">
              <a16:creationId xmlns:a16="http://schemas.microsoft.com/office/drawing/2014/main" id="{29F0FADF-AEA4-460D-8123-599C152037E2}"/>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6" name="Text Box 27">
          <a:extLst>
            <a:ext uri="{FF2B5EF4-FFF2-40B4-BE49-F238E27FC236}">
              <a16:creationId xmlns:a16="http://schemas.microsoft.com/office/drawing/2014/main" id="{509239AF-1DBC-4CE9-8141-FC640111630C}"/>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7" name="Text Box 28">
          <a:extLst>
            <a:ext uri="{FF2B5EF4-FFF2-40B4-BE49-F238E27FC236}">
              <a16:creationId xmlns:a16="http://schemas.microsoft.com/office/drawing/2014/main" id="{D727D6DC-BBB6-40E3-97DA-406331815307}"/>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8" name="Text Box 29">
          <a:extLst>
            <a:ext uri="{FF2B5EF4-FFF2-40B4-BE49-F238E27FC236}">
              <a16:creationId xmlns:a16="http://schemas.microsoft.com/office/drawing/2014/main" id="{78081446-081B-48EF-8E3C-9DF1D91BD7EC}"/>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9" name="Text Box 30">
          <a:extLst>
            <a:ext uri="{FF2B5EF4-FFF2-40B4-BE49-F238E27FC236}">
              <a16:creationId xmlns:a16="http://schemas.microsoft.com/office/drawing/2014/main" id="{77B3E708-4252-497C-B6A9-E009FBDCE384}"/>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60</xdr:row>
      <xdr:rowOff>0</xdr:rowOff>
    </xdr:from>
    <xdr:to>
      <xdr:col>0</xdr:col>
      <xdr:colOff>76200</xdr:colOff>
      <xdr:row>61</xdr:row>
      <xdr:rowOff>78069</xdr:rowOff>
    </xdr:to>
    <xdr:sp macro="" textlink="">
      <xdr:nvSpPr>
        <xdr:cNvPr id="2" name="Text Box 2">
          <a:extLst>
            <a:ext uri="{FF2B5EF4-FFF2-40B4-BE49-F238E27FC236}">
              <a16:creationId xmlns:a16="http://schemas.microsoft.com/office/drawing/2014/main" id="{8E28EE3C-AD1B-4206-B59E-CA630515779B}"/>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3" name="Text Box 3">
          <a:extLst>
            <a:ext uri="{FF2B5EF4-FFF2-40B4-BE49-F238E27FC236}">
              <a16:creationId xmlns:a16="http://schemas.microsoft.com/office/drawing/2014/main" id="{0DCA7D58-E986-42B6-8EAE-0BBB27CF0342}"/>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4" name="Text Box 4">
          <a:extLst>
            <a:ext uri="{FF2B5EF4-FFF2-40B4-BE49-F238E27FC236}">
              <a16:creationId xmlns:a16="http://schemas.microsoft.com/office/drawing/2014/main" id="{14D7D354-D079-48A9-95E2-B61A3A62FC22}"/>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5" name="Text Box 5">
          <a:extLst>
            <a:ext uri="{FF2B5EF4-FFF2-40B4-BE49-F238E27FC236}">
              <a16:creationId xmlns:a16="http://schemas.microsoft.com/office/drawing/2014/main" id="{EDCE3B89-F749-41EA-B1A8-C6A76BDB72AF}"/>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6" name="Text Box 6">
          <a:extLst>
            <a:ext uri="{FF2B5EF4-FFF2-40B4-BE49-F238E27FC236}">
              <a16:creationId xmlns:a16="http://schemas.microsoft.com/office/drawing/2014/main" id="{4C800956-974B-4901-8592-9D12F613D8A6}"/>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7" name="Text Box 7">
          <a:extLst>
            <a:ext uri="{FF2B5EF4-FFF2-40B4-BE49-F238E27FC236}">
              <a16:creationId xmlns:a16="http://schemas.microsoft.com/office/drawing/2014/main" id="{A4C7AA96-359E-4F45-B16C-F851D059A3FE}"/>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8" name="Text Box 8">
          <a:extLst>
            <a:ext uri="{FF2B5EF4-FFF2-40B4-BE49-F238E27FC236}">
              <a16:creationId xmlns:a16="http://schemas.microsoft.com/office/drawing/2014/main" id="{8A2CA191-9B82-4B00-9712-FA1BB0A6EB85}"/>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9" name="Text Box 9">
          <a:extLst>
            <a:ext uri="{FF2B5EF4-FFF2-40B4-BE49-F238E27FC236}">
              <a16:creationId xmlns:a16="http://schemas.microsoft.com/office/drawing/2014/main" id="{0CC26D2E-53B0-4751-9179-CF07D859EA53}"/>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0" name="Text Box 10">
          <a:extLst>
            <a:ext uri="{FF2B5EF4-FFF2-40B4-BE49-F238E27FC236}">
              <a16:creationId xmlns:a16="http://schemas.microsoft.com/office/drawing/2014/main" id="{9D9DD710-82BB-44FB-8E31-D151680728C4}"/>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1" name="Text Box 11">
          <a:extLst>
            <a:ext uri="{FF2B5EF4-FFF2-40B4-BE49-F238E27FC236}">
              <a16:creationId xmlns:a16="http://schemas.microsoft.com/office/drawing/2014/main" id="{4FE6A711-F3F8-4488-BAFA-20F1F35F4B27}"/>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2" name="Text Box 12">
          <a:extLst>
            <a:ext uri="{FF2B5EF4-FFF2-40B4-BE49-F238E27FC236}">
              <a16:creationId xmlns:a16="http://schemas.microsoft.com/office/drawing/2014/main" id="{808CCF5F-3B6C-4561-93F7-A420330F1D50}"/>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3" name="Text Box 13">
          <a:extLst>
            <a:ext uri="{FF2B5EF4-FFF2-40B4-BE49-F238E27FC236}">
              <a16:creationId xmlns:a16="http://schemas.microsoft.com/office/drawing/2014/main" id="{83468F4B-9628-41AB-A27E-8E8E1C8289B8}"/>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4" name="Text Box 14">
          <a:extLst>
            <a:ext uri="{FF2B5EF4-FFF2-40B4-BE49-F238E27FC236}">
              <a16:creationId xmlns:a16="http://schemas.microsoft.com/office/drawing/2014/main" id="{8DF73723-E2AF-48E3-8E8C-EC97032AFB63}"/>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5" name="Text Box 15">
          <a:extLst>
            <a:ext uri="{FF2B5EF4-FFF2-40B4-BE49-F238E27FC236}">
              <a16:creationId xmlns:a16="http://schemas.microsoft.com/office/drawing/2014/main" id="{1B112AE8-3BE4-408B-A7DD-D6FFDD650B56}"/>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6" name="Text Box 16">
          <a:extLst>
            <a:ext uri="{FF2B5EF4-FFF2-40B4-BE49-F238E27FC236}">
              <a16:creationId xmlns:a16="http://schemas.microsoft.com/office/drawing/2014/main" id="{718BA569-7A37-4364-AEBA-B3166CB6B24D}"/>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7" name="Text Box 17">
          <a:extLst>
            <a:ext uri="{FF2B5EF4-FFF2-40B4-BE49-F238E27FC236}">
              <a16:creationId xmlns:a16="http://schemas.microsoft.com/office/drawing/2014/main" id="{0AFA0B10-61DE-415E-93A7-F3C1EC75E3E1}"/>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8" name="Text Box 18">
          <a:extLst>
            <a:ext uri="{FF2B5EF4-FFF2-40B4-BE49-F238E27FC236}">
              <a16:creationId xmlns:a16="http://schemas.microsoft.com/office/drawing/2014/main" id="{39DF6F78-3D9A-4DA5-9E9B-346F400EB5F8}"/>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9" name="Text Box 19">
          <a:extLst>
            <a:ext uri="{FF2B5EF4-FFF2-40B4-BE49-F238E27FC236}">
              <a16:creationId xmlns:a16="http://schemas.microsoft.com/office/drawing/2014/main" id="{00F3F63B-E14D-4F04-8BBF-435AEF2924D9}"/>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0" name="Text Box 20">
          <a:extLst>
            <a:ext uri="{FF2B5EF4-FFF2-40B4-BE49-F238E27FC236}">
              <a16:creationId xmlns:a16="http://schemas.microsoft.com/office/drawing/2014/main" id="{8F5BA92E-C459-49B4-9B03-FB876442ED96}"/>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1" name="Text Box 21">
          <a:extLst>
            <a:ext uri="{FF2B5EF4-FFF2-40B4-BE49-F238E27FC236}">
              <a16:creationId xmlns:a16="http://schemas.microsoft.com/office/drawing/2014/main" id="{4D63FD6A-A79F-4468-8868-D0D881E570A7}"/>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2" name="Text Box 22">
          <a:extLst>
            <a:ext uri="{FF2B5EF4-FFF2-40B4-BE49-F238E27FC236}">
              <a16:creationId xmlns:a16="http://schemas.microsoft.com/office/drawing/2014/main" id="{CB0FE2CC-56D8-471E-83A9-5893CF4613D8}"/>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3" name="Text Box 23">
          <a:extLst>
            <a:ext uri="{FF2B5EF4-FFF2-40B4-BE49-F238E27FC236}">
              <a16:creationId xmlns:a16="http://schemas.microsoft.com/office/drawing/2014/main" id="{0DD6E8EC-DBBE-4AD9-9404-7BDB7A604C96}"/>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4" name="Text Box 24">
          <a:extLst>
            <a:ext uri="{FF2B5EF4-FFF2-40B4-BE49-F238E27FC236}">
              <a16:creationId xmlns:a16="http://schemas.microsoft.com/office/drawing/2014/main" id="{452D7799-CEDD-4AF9-B90A-19A41EB2AB85}"/>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5" name="Text Box 25">
          <a:extLst>
            <a:ext uri="{FF2B5EF4-FFF2-40B4-BE49-F238E27FC236}">
              <a16:creationId xmlns:a16="http://schemas.microsoft.com/office/drawing/2014/main" id="{16B561A5-14BA-4B6F-ADF6-CD194979C010}"/>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6" name="Text Box 26">
          <a:extLst>
            <a:ext uri="{FF2B5EF4-FFF2-40B4-BE49-F238E27FC236}">
              <a16:creationId xmlns:a16="http://schemas.microsoft.com/office/drawing/2014/main" id="{CD99DEAA-72E4-4B9A-952C-DB7C0DE5FC72}"/>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7" name="Text Box 27">
          <a:extLst>
            <a:ext uri="{FF2B5EF4-FFF2-40B4-BE49-F238E27FC236}">
              <a16:creationId xmlns:a16="http://schemas.microsoft.com/office/drawing/2014/main" id="{EADD99AE-8F43-4497-8711-33B0A0D8CD6E}"/>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8" name="Text Box 28">
          <a:extLst>
            <a:ext uri="{FF2B5EF4-FFF2-40B4-BE49-F238E27FC236}">
              <a16:creationId xmlns:a16="http://schemas.microsoft.com/office/drawing/2014/main" id="{1C352C40-BBDB-4312-BA8E-936EE33A73DC}"/>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9" name="Text Box 29">
          <a:extLst>
            <a:ext uri="{FF2B5EF4-FFF2-40B4-BE49-F238E27FC236}">
              <a16:creationId xmlns:a16="http://schemas.microsoft.com/office/drawing/2014/main" id="{A165927A-7763-41B2-8BFE-5D1973F030DE}"/>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30" name="Text Box 30">
          <a:extLst>
            <a:ext uri="{FF2B5EF4-FFF2-40B4-BE49-F238E27FC236}">
              <a16:creationId xmlns:a16="http://schemas.microsoft.com/office/drawing/2014/main" id="{15118B5E-4142-477B-89AF-53B203B4F3DD}"/>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0</xdr:col>
      <xdr:colOff>0</xdr:colOff>
      <xdr:row>61</xdr:row>
      <xdr:rowOff>0</xdr:rowOff>
    </xdr:from>
    <xdr:ext cx="76200" cy="257175"/>
    <xdr:sp macro="" textlink="">
      <xdr:nvSpPr>
        <xdr:cNvPr id="31" name="Text Box 2">
          <a:extLst>
            <a:ext uri="{FF2B5EF4-FFF2-40B4-BE49-F238E27FC236}">
              <a16:creationId xmlns:a16="http://schemas.microsoft.com/office/drawing/2014/main" id="{B328E91D-C09D-4AAB-BEFF-A4CBA0E7995B}"/>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2" name="Text Box 3">
          <a:extLst>
            <a:ext uri="{FF2B5EF4-FFF2-40B4-BE49-F238E27FC236}">
              <a16:creationId xmlns:a16="http://schemas.microsoft.com/office/drawing/2014/main" id="{D890D65D-0BCC-4CC5-9A4A-4CADFE338173}"/>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3" name="Text Box 4">
          <a:extLst>
            <a:ext uri="{FF2B5EF4-FFF2-40B4-BE49-F238E27FC236}">
              <a16:creationId xmlns:a16="http://schemas.microsoft.com/office/drawing/2014/main" id="{F2A70468-8E7B-4D76-94B8-69916446233E}"/>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4" name="Text Box 5">
          <a:extLst>
            <a:ext uri="{FF2B5EF4-FFF2-40B4-BE49-F238E27FC236}">
              <a16:creationId xmlns:a16="http://schemas.microsoft.com/office/drawing/2014/main" id="{C998AAC4-55E5-4487-843A-71BBB50350E2}"/>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5" name="Text Box 6">
          <a:extLst>
            <a:ext uri="{FF2B5EF4-FFF2-40B4-BE49-F238E27FC236}">
              <a16:creationId xmlns:a16="http://schemas.microsoft.com/office/drawing/2014/main" id="{BA18FAB0-E033-4E1B-9C63-FB416BE1E153}"/>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6" name="Text Box 7">
          <a:extLst>
            <a:ext uri="{FF2B5EF4-FFF2-40B4-BE49-F238E27FC236}">
              <a16:creationId xmlns:a16="http://schemas.microsoft.com/office/drawing/2014/main" id="{A8583B92-F673-46FC-8643-5987A4C9CFE4}"/>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7" name="Text Box 8">
          <a:extLst>
            <a:ext uri="{FF2B5EF4-FFF2-40B4-BE49-F238E27FC236}">
              <a16:creationId xmlns:a16="http://schemas.microsoft.com/office/drawing/2014/main" id="{1A4605CD-A360-4156-ADED-11277AAAB5C1}"/>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8" name="Text Box 9">
          <a:extLst>
            <a:ext uri="{FF2B5EF4-FFF2-40B4-BE49-F238E27FC236}">
              <a16:creationId xmlns:a16="http://schemas.microsoft.com/office/drawing/2014/main" id="{525DDDB7-B92A-4728-A21D-BB0B2F27A9AF}"/>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9" name="Text Box 10">
          <a:extLst>
            <a:ext uri="{FF2B5EF4-FFF2-40B4-BE49-F238E27FC236}">
              <a16:creationId xmlns:a16="http://schemas.microsoft.com/office/drawing/2014/main" id="{3FCAACB0-D661-4422-82F7-9512185BA1C0}"/>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0" name="Text Box 11">
          <a:extLst>
            <a:ext uri="{FF2B5EF4-FFF2-40B4-BE49-F238E27FC236}">
              <a16:creationId xmlns:a16="http://schemas.microsoft.com/office/drawing/2014/main" id="{4B11AF24-D0D9-4CB6-88CA-09745CB41F8E}"/>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1" name="Text Box 12">
          <a:extLst>
            <a:ext uri="{FF2B5EF4-FFF2-40B4-BE49-F238E27FC236}">
              <a16:creationId xmlns:a16="http://schemas.microsoft.com/office/drawing/2014/main" id="{D451F3E9-F616-4DA5-89E1-9EDB72C12B5B}"/>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2" name="Text Box 13">
          <a:extLst>
            <a:ext uri="{FF2B5EF4-FFF2-40B4-BE49-F238E27FC236}">
              <a16:creationId xmlns:a16="http://schemas.microsoft.com/office/drawing/2014/main" id="{0517E111-F544-473E-ADF4-70E1B845AECC}"/>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3" name="Text Box 14">
          <a:extLst>
            <a:ext uri="{FF2B5EF4-FFF2-40B4-BE49-F238E27FC236}">
              <a16:creationId xmlns:a16="http://schemas.microsoft.com/office/drawing/2014/main" id="{921899AC-0907-416E-BB69-83CA8A4FACEB}"/>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4" name="Text Box 15">
          <a:extLst>
            <a:ext uri="{FF2B5EF4-FFF2-40B4-BE49-F238E27FC236}">
              <a16:creationId xmlns:a16="http://schemas.microsoft.com/office/drawing/2014/main" id="{80E91AD1-A3E4-4B03-AA42-AF16EF2E0527}"/>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5" name="Text Box 16">
          <a:extLst>
            <a:ext uri="{FF2B5EF4-FFF2-40B4-BE49-F238E27FC236}">
              <a16:creationId xmlns:a16="http://schemas.microsoft.com/office/drawing/2014/main" id="{F94C1F69-CDFE-4B37-946A-98ECF583E5A1}"/>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6" name="Text Box 17">
          <a:extLst>
            <a:ext uri="{FF2B5EF4-FFF2-40B4-BE49-F238E27FC236}">
              <a16:creationId xmlns:a16="http://schemas.microsoft.com/office/drawing/2014/main" id="{E7C08E95-106C-4DD0-A5FC-D3EC1630EB18}"/>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7" name="Text Box 18">
          <a:extLst>
            <a:ext uri="{FF2B5EF4-FFF2-40B4-BE49-F238E27FC236}">
              <a16:creationId xmlns:a16="http://schemas.microsoft.com/office/drawing/2014/main" id="{7887B90D-64CD-4867-960E-4C549ED0C1F1}"/>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8" name="Text Box 19">
          <a:extLst>
            <a:ext uri="{FF2B5EF4-FFF2-40B4-BE49-F238E27FC236}">
              <a16:creationId xmlns:a16="http://schemas.microsoft.com/office/drawing/2014/main" id="{7E86FC79-D2B7-443A-A574-E63C1F94C33D}"/>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9" name="Text Box 20">
          <a:extLst>
            <a:ext uri="{FF2B5EF4-FFF2-40B4-BE49-F238E27FC236}">
              <a16:creationId xmlns:a16="http://schemas.microsoft.com/office/drawing/2014/main" id="{C89ED6F5-D373-4B75-AE04-72C66A267D00}"/>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0" name="Text Box 21">
          <a:extLst>
            <a:ext uri="{FF2B5EF4-FFF2-40B4-BE49-F238E27FC236}">
              <a16:creationId xmlns:a16="http://schemas.microsoft.com/office/drawing/2014/main" id="{64D9B961-4D22-4A78-A052-50D41883E15F}"/>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1" name="Text Box 22">
          <a:extLst>
            <a:ext uri="{FF2B5EF4-FFF2-40B4-BE49-F238E27FC236}">
              <a16:creationId xmlns:a16="http://schemas.microsoft.com/office/drawing/2014/main" id="{E0FE6EFA-FD76-4C48-B8A8-F53165E278AB}"/>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2" name="Text Box 23">
          <a:extLst>
            <a:ext uri="{FF2B5EF4-FFF2-40B4-BE49-F238E27FC236}">
              <a16:creationId xmlns:a16="http://schemas.microsoft.com/office/drawing/2014/main" id="{723FDA09-3C9D-418A-AAAB-A10A472D5573}"/>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3" name="Text Box 24">
          <a:extLst>
            <a:ext uri="{FF2B5EF4-FFF2-40B4-BE49-F238E27FC236}">
              <a16:creationId xmlns:a16="http://schemas.microsoft.com/office/drawing/2014/main" id="{93AEB375-617C-4748-870F-BA3F06DDD629}"/>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4" name="Text Box 25">
          <a:extLst>
            <a:ext uri="{FF2B5EF4-FFF2-40B4-BE49-F238E27FC236}">
              <a16:creationId xmlns:a16="http://schemas.microsoft.com/office/drawing/2014/main" id="{582CDA13-53E2-46BE-8529-445025027B12}"/>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5" name="Text Box 26">
          <a:extLst>
            <a:ext uri="{FF2B5EF4-FFF2-40B4-BE49-F238E27FC236}">
              <a16:creationId xmlns:a16="http://schemas.microsoft.com/office/drawing/2014/main" id="{363BB95C-3A79-4FF6-8002-274EC3B7D27E}"/>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6" name="Text Box 27">
          <a:extLst>
            <a:ext uri="{FF2B5EF4-FFF2-40B4-BE49-F238E27FC236}">
              <a16:creationId xmlns:a16="http://schemas.microsoft.com/office/drawing/2014/main" id="{C2869D67-8075-46EB-BCBA-A95FA590174D}"/>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7" name="Text Box 28">
          <a:extLst>
            <a:ext uri="{FF2B5EF4-FFF2-40B4-BE49-F238E27FC236}">
              <a16:creationId xmlns:a16="http://schemas.microsoft.com/office/drawing/2014/main" id="{243F56D4-AA35-4DED-84A5-11D94AAA91F7}"/>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8" name="Text Box 29">
          <a:extLst>
            <a:ext uri="{FF2B5EF4-FFF2-40B4-BE49-F238E27FC236}">
              <a16:creationId xmlns:a16="http://schemas.microsoft.com/office/drawing/2014/main" id="{4E4991B1-788C-407E-B115-B6ED74D161E2}"/>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9" name="Text Box 30">
          <a:extLst>
            <a:ext uri="{FF2B5EF4-FFF2-40B4-BE49-F238E27FC236}">
              <a16:creationId xmlns:a16="http://schemas.microsoft.com/office/drawing/2014/main" id="{6D7A04F4-1EB3-4818-A1C6-29ED9F4E6D37}"/>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1.1.9\TechSci%20Research\Backup\D\Studies%20&amp;%20Reports\Chem%20Report%202002%20for%20Sabic\App%20V%20Case%20I%20F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1.1.9\TechSci%20Research\My%20Documents\EXCEL\03\BP\Data%20file%20BP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Report\Monthly\2020\11.%20November\Copy%20of%20CPP%20Repo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1.1.9\TechSci%20Research\Users\21065\Desktop\Excel\CPP%20Monitoring%20Shee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HP/Downloads/Model-KRIBHCO-3Feb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me"/>
      <sheetName val="Total Cash Flow (Unleveraged)"/>
      <sheetName val="Total cash flow"/>
      <sheetName val="Olefin cash flow"/>
      <sheetName val="LLDPE cash flow"/>
      <sheetName val="HDPE cash flow"/>
      <sheetName val="MEG cash flow"/>
      <sheetName val="Butene-1 cash flow"/>
      <sheetName val="Oxygen"/>
      <sheetName val="Pricing - Current"/>
      <sheetName val="Pricing - Const"/>
      <sheetName val="Netback"/>
      <sheetName val="Mass Balance"/>
      <sheetName val="Purchases &amp; Sales"/>
      <sheetName val="Capital Costs"/>
      <sheetName val="Financing"/>
      <sheetName val="Taxation"/>
      <sheetName val="Expats"/>
      <sheetName val="Factors"/>
      <sheetName val="Backup 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3">
          <cell r="A3" t="str">
            <v>Ethane</v>
          </cell>
          <cell r="B3" t="str">
            <v xml:space="preserve">1.25/MM btu for the first 10 years of commercial operations; escalation at 3% per year </v>
          </cell>
          <cell r="D3" t="str">
            <v>$/ton</v>
          </cell>
          <cell r="E3">
            <v>0</v>
          </cell>
          <cell r="F3">
            <v>61.108654999999999</v>
          </cell>
          <cell r="G3">
            <v>61.108654999999999</v>
          </cell>
          <cell r="H3">
            <v>61.108654999999999</v>
          </cell>
          <cell r="I3">
            <v>61.108654999999999</v>
          </cell>
          <cell r="J3">
            <v>61.108654999999999</v>
          </cell>
          <cell r="K3">
            <v>61.108654999999999</v>
          </cell>
          <cell r="L3">
            <v>61.108654999999999</v>
          </cell>
          <cell r="M3">
            <v>61.108654999999999</v>
          </cell>
          <cell r="N3">
            <v>61.108654999999999</v>
          </cell>
          <cell r="O3">
            <v>61.108654999999999</v>
          </cell>
          <cell r="P3">
            <v>61.108654999999999</v>
          </cell>
          <cell r="Q3">
            <v>61.108654999999999</v>
          </cell>
          <cell r="R3">
            <v>61.108654999999999</v>
          </cell>
          <cell r="S3">
            <v>61.108654999999999</v>
          </cell>
          <cell r="T3">
            <v>61.108654999999999</v>
          </cell>
          <cell r="U3">
            <v>62.941914650000001</v>
          </cell>
          <cell r="V3">
            <v>64.830172089499996</v>
          </cell>
          <cell r="W3">
            <v>66.775077252185</v>
          </cell>
          <cell r="X3">
            <v>68.778329569750554</v>
          </cell>
          <cell r="Y3">
            <v>70.841679456843067</v>
          </cell>
          <cell r="Z3">
            <v>72.96692984054836</v>
          </cell>
          <cell r="AA3">
            <v>75.155937735764809</v>
          </cell>
          <cell r="AB3">
            <v>77.410615867837748</v>
          </cell>
          <cell r="AC3">
            <v>79.732934343872884</v>
          </cell>
          <cell r="AD3">
            <v>82.124922374189069</v>
          </cell>
          <cell r="AE3">
            <v>84.588670045414744</v>
          </cell>
          <cell r="AF3">
            <v>87.126330146777192</v>
          </cell>
          <cell r="AG3">
            <v>89.740120051180511</v>
          </cell>
          <cell r="AH3">
            <v>92.432323652715922</v>
          </cell>
        </row>
        <row r="4">
          <cell r="A4" t="str">
            <v>Methane</v>
          </cell>
          <cell r="B4" t="str">
            <v>0.75/ MM btu for the first 10 years of project life; escalation at 3% per year</v>
          </cell>
          <cell r="D4" t="str">
            <v>$/ton</v>
          </cell>
          <cell r="E4">
            <v>0</v>
          </cell>
          <cell r="F4">
            <v>35.5426407</v>
          </cell>
          <cell r="G4">
            <v>35.5426407</v>
          </cell>
          <cell r="H4">
            <v>35.5426407</v>
          </cell>
          <cell r="I4">
            <v>35.5426407</v>
          </cell>
          <cell r="J4">
            <v>35.5426407</v>
          </cell>
          <cell r="K4">
            <v>35.5426407</v>
          </cell>
          <cell r="L4">
            <v>35.5426407</v>
          </cell>
          <cell r="M4">
            <v>35.5426407</v>
          </cell>
          <cell r="N4">
            <v>35.5426407</v>
          </cell>
          <cell r="O4">
            <v>35.5426407</v>
          </cell>
          <cell r="P4">
            <v>35.5426407</v>
          </cell>
          <cell r="Q4">
            <v>35.5426407</v>
          </cell>
          <cell r="R4">
            <v>36.608919921000002</v>
          </cell>
          <cell r="S4">
            <v>37.707187518630001</v>
          </cell>
          <cell r="T4">
            <v>38.838403144188902</v>
          </cell>
          <cell r="U4">
            <v>40.003555238514572</v>
          </cell>
          <cell r="V4">
            <v>41.20366189567001</v>
          </cell>
          <cell r="W4">
            <v>42.439771752540111</v>
          </cell>
          <cell r="X4">
            <v>43.712964905116316</v>
          </cell>
          <cell r="Y4">
            <v>45.024353852269805</v>
          </cell>
          <cell r="Z4">
            <v>46.375084467837901</v>
          </cell>
          <cell r="AA4">
            <v>47.76633700187304</v>
          </cell>
          <cell r="AB4">
            <v>49.199327111929236</v>
          </cell>
          <cell r="AC4">
            <v>50.675306925287117</v>
          </cell>
          <cell r="AD4">
            <v>52.19556613304573</v>
          </cell>
          <cell r="AE4">
            <v>53.7614331170371</v>
          </cell>
          <cell r="AF4">
            <v>55.374276110548216</v>
          </cell>
          <cell r="AG4">
            <v>57.035504393864663</v>
          </cell>
          <cell r="AH4">
            <v>58.746569525680606</v>
          </cell>
        </row>
        <row r="5">
          <cell r="A5" t="str">
            <v>Catalyst (Ethylene)</v>
          </cell>
          <cell r="B5" t="str">
            <v>2.75 in const 2001</v>
          </cell>
          <cell r="D5" t="str">
            <v>$/ton C2</v>
          </cell>
          <cell r="E5">
            <v>2.75</v>
          </cell>
          <cell r="F5">
            <v>2.8022499999999999</v>
          </cell>
          <cell r="G5">
            <v>2.8654999999999999</v>
          </cell>
          <cell r="H5">
            <v>2.9370000000000003</v>
          </cell>
          <cell r="I5">
            <v>3.01125</v>
          </cell>
          <cell r="J5">
            <v>3.0882499999999999</v>
          </cell>
          <cell r="K5">
            <v>3.1652499999999999</v>
          </cell>
          <cell r="L5">
            <v>3.2422500000000003</v>
          </cell>
          <cell r="M5">
            <v>3.3247500000000003</v>
          </cell>
          <cell r="N5">
            <v>3.4072500000000003</v>
          </cell>
          <cell r="O5">
            <v>3.4925000000000002</v>
          </cell>
          <cell r="P5">
            <v>3.5805000000000002</v>
          </cell>
          <cell r="Q5">
            <v>3.6685000000000003</v>
          </cell>
          <cell r="R5">
            <v>3.7620000000000005</v>
          </cell>
          <cell r="S5">
            <v>3.8554999999999997</v>
          </cell>
          <cell r="T5">
            <v>3.9517500000000001</v>
          </cell>
          <cell r="U5">
            <v>4.0507499999999999</v>
          </cell>
          <cell r="V5">
            <v>4.1524999999999999</v>
          </cell>
          <cell r="W5">
            <v>4.2569999999999997</v>
          </cell>
          <cell r="X5">
            <v>4.3615000000000004</v>
          </cell>
          <cell r="Y5">
            <v>4.4705374999999998</v>
          </cell>
          <cell r="Z5">
            <v>4.5823009375000003</v>
          </cell>
          <cell r="AA5">
            <v>4.6968584609374995</v>
          </cell>
          <cell r="AB5">
            <v>4.8142799224609361</v>
          </cell>
          <cell r="AC5">
            <v>4.9346369205224594</v>
          </cell>
          <cell r="AD5">
            <v>5.0580028435355198</v>
          </cell>
          <cell r="AE5">
            <v>5.1844529146239076</v>
          </cell>
          <cell r="AF5">
            <v>5.3140642374895046</v>
          </cell>
          <cell r="AG5">
            <v>5.4469158434267415</v>
          </cell>
          <cell r="AH5">
            <v>5.5830887395124105</v>
          </cell>
        </row>
        <row r="6">
          <cell r="A6" t="str">
            <v>Power</v>
          </cell>
          <cell r="B6" t="str">
            <v>$30/MWH fixed</v>
          </cell>
          <cell r="C6">
            <v>0.91576190190550455</v>
          </cell>
          <cell r="D6" t="str">
            <v>$/MWH</v>
          </cell>
          <cell r="E6">
            <v>30</v>
          </cell>
          <cell r="F6">
            <v>30</v>
          </cell>
          <cell r="G6">
            <v>30</v>
          </cell>
          <cell r="H6">
            <v>30</v>
          </cell>
          <cell r="I6">
            <v>30</v>
          </cell>
          <cell r="J6">
            <v>30</v>
          </cell>
          <cell r="K6">
            <v>30</v>
          </cell>
          <cell r="L6">
            <v>30</v>
          </cell>
          <cell r="M6">
            <v>30</v>
          </cell>
          <cell r="N6">
            <v>30</v>
          </cell>
          <cell r="O6">
            <v>30</v>
          </cell>
          <cell r="P6">
            <v>30</v>
          </cell>
          <cell r="Q6">
            <v>30</v>
          </cell>
          <cell r="R6">
            <v>30</v>
          </cell>
          <cell r="S6">
            <v>30</v>
          </cell>
          <cell r="T6">
            <v>30</v>
          </cell>
          <cell r="U6">
            <v>30</v>
          </cell>
          <cell r="V6">
            <v>30</v>
          </cell>
          <cell r="W6">
            <v>30</v>
          </cell>
          <cell r="X6">
            <v>30</v>
          </cell>
          <cell r="Y6">
            <v>30</v>
          </cell>
          <cell r="Z6">
            <v>30</v>
          </cell>
          <cell r="AA6">
            <v>30</v>
          </cell>
          <cell r="AB6">
            <v>30</v>
          </cell>
          <cell r="AC6">
            <v>30</v>
          </cell>
          <cell r="AD6">
            <v>30</v>
          </cell>
          <cell r="AE6">
            <v>30</v>
          </cell>
          <cell r="AF6">
            <v>30</v>
          </cell>
          <cell r="AG6">
            <v>30</v>
          </cell>
          <cell r="AH6">
            <v>30</v>
          </cell>
        </row>
        <row r="7">
          <cell r="A7" t="str">
            <v>Steam</v>
          </cell>
          <cell r="B7" t="str">
            <v>$4.5/ton fixed</v>
          </cell>
          <cell r="C7">
            <v>0</v>
          </cell>
          <cell r="D7" t="str">
            <v>$/ton</v>
          </cell>
          <cell r="E7">
            <v>4.5</v>
          </cell>
          <cell r="F7">
            <v>4.5</v>
          </cell>
          <cell r="G7">
            <v>4.5</v>
          </cell>
          <cell r="H7">
            <v>4.5</v>
          </cell>
          <cell r="I7">
            <v>4.5</v>
          </cell>
          <cell r="J7">
            <v>4.5</v>
          </cell>
          <cell r="K7">
            <v>4.5</v>
          </cell>
          <cell r="L7">
            <v>4.5</v>
          </cell>
          <cell r="M7">
            <v>4.5</v>
          </cell>
          <cell r="N7">
            <v>4.5</v>
          </cell>
          <cell r="O7">
            <v>4.5</v>
          </cell>
          <cell r="P7">
            <v>4.5</v>
          </cell>
          <cell r="Q7">
            <v>4.5</v>
          </cell>
          <cell r="R7">
            <v>4.5</v>
          </cell>
          <cell r="S7">
            <v>4.5</v>
          </cell>
          <cell r="T7">
            <v>4.5</v>
          </cell>
          <cell r="U7">
            <v>4.5</v>
          </cell>
          <cell r="V7">
            <v>4.5</v>
          </cell>
          <cell r="W7">
            <v>4.5</v>
          </cell>
          <cell r="X7">
            <v>4.5</v>
          </cell>
          <cell r="Y7">
            <v>4.5</v>
          </cell>
          <cell r="Z7">
            <v>4.5</v>
          </cell>
          <cell r="AA7">
            <v>4.5</v>
          </cell>
          <cell r="AB7">
            <v>4.5</v>
          </cell>
          <cell r="AC7">
            <v>4.5</v>
          </cell>
          <cell r="AD7">
            <v>4.5</v>
          </cell>
          <cell r="AE7">
            <v>4.5</v>
          </cell>
          <cell r="AF7">
            <v>4.5</v>
          </cell>
          <cell r="AG7">
            <v>4.5</v>
          </cell>
          <cell r="AH7">
            <v>4.5</v>
          </cell>
        </row>
        <row r="8">
          <cell r="A8" t="str">
            <v>Cooling Water</v>
          </cell>
          <cell r="B8" t="str">
            <v>$17/kton fixed</v>
          </cell>
          <cell r="C8">
            <v>0</v>
          </cell>
          <cell r="D8" t="str">
            <v>$/kton</v>
          </cell>
          <cell r="E8">
            <v>17</v>
          </cell>
          <cell r="F8">
            <v>17</v>
          </cell>
          <cell r="G8">
            <v>17</v>
          </cell>
          <cell r="H8">
            <v>17</v>
          </cell>
          <cell r="I8">
            <v>17</v>
          </cell>
          <cell r="J8">
            <v>17</v>
          </cell>
          <cell r="K8">
            <v>17</v>
          </cell>
          <cell r="L8">
            <v>17</v>
          </cell>
          <cell r="M8">
            <v>17</v>
          </cell>
          <cell r="N8">
            <v>17</v>
          </cell>
          <cell r="O8">
            <v>17</v>
          </cell>
          <cell r="P8">
            <v>17</v>
          </cell>
          <cell r="Q8">
            <v>17</v>
          </cell>
          <cell r="R8">
            <v>17</v>
          </cell>
          <cell r="S8">
            <v>17</v>
          </cell>
          <cell r="T8">
            <v>17</v>
          </cell>
          <cell r="U8">
            <v>17</v>
          </cell>
          <cell r="V8">
            <v>17</v>
          </cell>
          <cell r="W8">
            <v>17</v>
          </cell>
          <cell r="X8">
            <v>17</v>
          </cell>
          <cell r="Y8">
            <v>17</v>
          </cell>
          <cell r="Z8">
            <v>17</v>
          </cell>
          <cell r="AA8">
            <v>17</v>
          </cell>
          <cell r="AB8">
            <v>17</v>
          </cell>
          <cell r="AC8">
            <v>17</v>
          </cell>
          <cell r="AD8">
            <v>17</v>
          </cell>
          <cell r="AE8">
            <v>17</v>
          </cell>
          <cell r="AF8">
            <v>17</v>
          </cell>
          <cell r="AG8">
            <v>17</v>
          </cell>
          <cell r="AH8">
            <v>17</v>
          </cell>
        </row>
        <row r="9">
          <cell r="A9" t="str">
            <v>Nitrogen</v>
          </cell>
          <cell r="B9" t="str">
            <v>$0.05/std M3</v>
          </cell>
          <cell r="C9">
            <v>0</v>
          </cell>
          <cell r="D9" t="str">
            <v>std M3</v>
          </cell>
          <cell r="E9">
            <v>0.05</v>
          </cell>
          <cell r="F9">
            <v>0.05</v>
          </cell>
          <cell r="G9">
            <v>0.05</v>
          </cell>
          <cell r="H9">
            <v>0.05</v>
          </cell>
          <cell r="I9">
            <v>0.05</v>
          </cell>
          <cell r="J9">
            <v>0.05</v>
          </cell>
          <cell r="K9">
            <v>0.05</v>
          </cell>
          <cell r="L9">
            <v>0.05</v>
          </cell>
          <cell r="M9">
            <v>0.05</v>
          </cell>
          <cell r="N9">
            <v>0.05</v>
          </cell>
          <cell r="O9">
            <v>0.05</v>
          </cell>
          <cell r="P9">
            <v>0.05</v>
          </cell>
          <cell r="Q9">
            <v>0.05</v>
          </cell>
          <cell r="R9">
            <v>0.05</v>
          </cell>
          <cell r="S9">
            <v>0.05</v>
          </cell>
          <cell r="T9">
            <v>0.05</v>
          </cell>
          <cell r="U9">
            <v>0.05</v>
          </cell>
          <cell r="V9">
            <v>0.05</v>
          </cell>
          <cell r="W9">
            <v>0.05</v>
          </cell>
          <cell r="X9">
            <v>0.05</v>
          </cell>
          <cell r="Y9">
            <v>0.05</v>
          </cell>
          <cell r="Z9">
            <v>0.05</v>
          </cell>
          <cell r="AA9">
            <v>0.05</v>
          </cell>
          <cell r="AB9">
            <v>0.05</v>
          </cell>
          <cell r="AC9">
            <v>0.05</v>
          </cell>
          <cell r="AD9">
            <v>0.05</v>
          </cell>
          <cell r="AE9">
            <v>0.05</v>
          </cell>
          <cell r="AF9">
            <v>0.05</v>
          </cell>
          <cell r="AG9">
            <v>0.05</v>
          </cell>
          <cell r="AH9">
            <v>0.05</v>
          </cell>
        </row>
        <row r="10">
          <cell r="A10" t="str">
            <v>Worker</v>
          </cell>
          <cell r="B10" t="str">
            <v>$13000 average, to be escalated by 2.5% per year</v>
          </cell>
          <cell r="C10">
            <v>0</v>
          </cell>
          <cell r="D10" t="str">
            <v>$/yr</v>
          </cell>
          <cell r="E10">
            <v>0</v>
          </cell>
          <cell r="F10">
            <v>0</v>
          </cell>
          <cell r="G10">
            <v>13546</v>
          </cell>
          <cell r="H10">
            <v>14231.099999999999</v>
          </cell>
          <cell r="I10">
            <v>14955.646874999995</v>
          </cell>
          <cell r="J10">
            <v>15721.526234374995</v>
          </cell>
          <cell r="K10">
            <v>16516.352282421867</v>
          </cell>
          <cell r="L10">
            <v>17341.093678974601</v>
          </cell>
          <cell r="M10">
            <v>18226.901454051989</v>
          </cell>
          <cell r="N10">
            <v>19146.161434333892</v>
          </cell>
          <cell r="O10">
            <v>20115.831837888731</v>
          </cell>
          <cell r="P10">
            <v>21138.254629334177</v>
          </cell>
          <cell r="Q10">
            <v>22199.226165453212</v>
          </cell>
          <cell r="R10">
            <v>23334.149122337702</v>
          </cell>
          <cell r="S10">
            <v>24511.943710713003</v>
          </cell>
          <cell r="T10">
            <v>25751.964828888697</v>
          </cell>
          <cell r="U10">
            <v>27057.035697826632</v>
          </cell>
          <cell r="V10">
            <v>28430.093008357882</v>
          </cell>
          <cell r="W10">
            <v>29874.191110173146</v>
          </cell>
          <cell r="X10">
            <v>31372.72530894895</v>
          </cell>
          <cell r="Y10">
            <v>32960.969527714486</v>
          </cell>
          <cell r="Z10">
            <v>34629.618610055033</v>
          </cell>
          <cell r="AA10">
            <v>36382.743052189056</v>
          </cell>
          <cell r="AB10">
            <v>38224.619419206123</v>
          </cell>
          <cell r="AC10">
            <v>40159.740777303421</v>
          </cell>
          <cell r="AD10">
            <v>42192.827654154389</v>
          </cell>
          <cell r="AE10">
            <v>44328.839554145954</v>
          </cell>
          <cell r="AF10">
            <v>46572.987056574588</v>
          </cell>
          <cell r="AG10">
            <v>48930.744526313669</v>
          </cell>
          <cell r="AH10">
            <v>51407.86346795829</v>
          </cell>
        </row>
        <row r="11">
          <cell r="A11" t="str">
            <v>Hydrogen - Reformer</v>
          </cell>
          <cell r="B11" t="str">
            <v>fixed at ratio to methane</v>
          </cell>
          <cell r="C11">
            <v>0</v>
          </cell>
          <cell r="D11" t="str">
            <v>Nm3</v>
          </cell>
          <cell r="E11">
            <v>0</v>
          </cell>
          <cell r="G11">
            <v>0.63846274691357874</v>
          </cell>
          <cell r="H11">
            <v>0.63846274691357874</v>
          </cell>
          <cell r="I11">
            <v>0.63846274691357874</v>
          </cell>
          <cell r="J11">
            <v>0.63846274691357874</v>
          </cell>
          <cell r="K11">
            <v>0.63846274691357874</v>
          </cell>
          <cell r="L11">
            <v>0.63846274691357874</v>
          </cell>
          <cell r="M11">
            <v>0.63846274691357874</v>
          </cell>
          <cell r="N11">
            <v>0.63846274691357874</v>
          </cell>
          <cell r="O11">
            <v>0.63846274691357874</v>
          </cell>
          <cell r="P11">
            <v>0.63846274691357874</v>
          </cell>
          <cell r="Q11">
            <v>0.63846274691357874</v>
          </cell>
          <cell r="R11">
            <v>0.65761662932098619</v>
          </cell>
          <cell r="S11">
            <v>0.67734512820061576</v>
          </cell>
          <cell r="T11">
            <v>0.69766548204663426</v>
          </cell>
          <cell r="U11">
            <v>0.71859544650803331</v>
          </cell>
          <cell r="V11">
            <v>0.74015330990327433</v>
          </cell>
          <cell r="W11">
            <v>0.76235790920037261</v>
          </cell>
          <cell r="X11">
            <v>0.7852286464763838</v>
          </cell>
          <cell r="Y11">
            <v>0.80878550587067533</v>
          </cell>
          <cell r="Z11">
            <v>0.8330490710467956</v>
          </cell>
          <cell r="AA11">
            <v>0.85804054317819944</v>
          </cell>
          <cell r="AB11">
            <v>0.88378175947354554</v>
          </cell>
          <cell r="AC11">
            <v>0.91029521225775201</v>
          </cell>
          <cell r="AD11">
            <v>0.93760406862548451</v>
          </cell>
          <cell r="AE11">
            <v>0.96573219068424909</v>
          </cell>
          <cell r="AF11">
            <v>0.99470415640477661</v>
          </cell>
          <cell r="AG11">
            <v>1.0245452810969198</v>
          </cell>
          <cell r="AH11">
            <v>1.0552816395298275</v>
          </cell>
        </row>
        <row r="12">
          <cell r="A12" t="str">
            <v>Propylene</v>
          </cell>
          <cell r="B12" t="str">
            <v>methane * 0.9157</v>
          </cell>
          <cell r="C12">
            <v>0</v>
          </cell>
          <cell r="D12" t="str">
            <v>$/ton</v>
          </cell>
          <cell r="E12">
            <v>0</v>
          </cell>
          <cell r="F12">
            <v>32.548596246176011</v>
          </cell>
          <cell r="G12">
            <v>32.548596246176011</v>
          </cell>
          <cell r="H12">
            <v>32.548596246176011</v>
          </cell>
          <cell r="I12">
            <v>32.548596246176011</v>
          </cell>
          <cell r="J12">
            <v>32.548596246176011</v>
          </cell>
          <cell r="K12">
            <v>32.548596246176011</v>
          </cell>
          <cell r="L12">
            <v>32.548596246176011</v>
          </cell>
          <cell r="M12">
            <v>32.548596246176011</v>
          </cell>
          <cell r="N12">
            <v>32.548596246176011</v>
          </cell>
          <cell r="O12">
            <v>32.548596246176011</v>
          </cell>
          <cell r="P12">
            <v>32.548596246176011</v>
          </cell>
          <cell r="Q12">
            <v>32.548596246176011</v>
          </cell>
          <cell r="R12">
            <v>33.525054133561291</v>
          </cell>
          <cell r="S12">
            <v>34.530805757568132</v>
          </cell>
          <cell r="T12">
            <v>35.566729930295175</v>
          </cell>
          <cell r="U12">
            <v>36.633731828204034</v>
          </cell>
          <cell r="V12">
            <v>37.732743783050154</v>
          </cell>
          <cell r="W12">
            <v>38.864726096541659</v>
          </cell>
          <cell r="X12">
            <v>40.030667879437907</v>
          </cell>
          <cell r="Y12">
            <v>41.231587915821045</v>
          </cell>
          <cell r="Z12">
            <v>42.468535553295681</v>
          </cell>
          <cell r="AA12">
            <v>43.742591619894554</v>
          </cell>
          <cell r="AB12">
            <v>45.054869368491396</v>
          </cell>
          <cell r="AC12">
            <v>46.406515449546141</v>
          </cell>
          <cell r="AD12">
            <v>47.798710913032522</v>
          </cell>
          <cell r="AE12">
            <v>49.232672240423497</v>
          </cell>
          <cell r="AF12">
            <v>50.709652407636206</v>
          </cell>
          <cell r="AG12">
            <v>52.230941979865293</v>
          </cell>
          <cell r="AH12">
            <v>53.79787023926125</v>
          </cell>
        </row>
        <row r="13">
          <cell r="A13" t="str">
            <v>Catalyst (LLDPE)</v>
          </cell>
          <cell r="B13">
            <v>0</v>
          </cell>
          <cell r="C13">
            <v>0</v>
          </cell>
          <cell r="D13" t="str">
            <v>$/ton LLDPE</v>
          </cell>
          <cell r="E13">
            <v>19.013865573983026</v>
          </cell>
          <cell r="F13">
            <v>19.3751290198887</v>
          </cell>
          <cell r="G13">
            <v>19.812447928090315</v>
          </cell>
          <cell r="H13">
            <v>20.306808433013874</v>
          </cell>
          <cell r="I13">
            <v>20.820182803511411</v>
          </cell>
          <cell r="J13">
            <v>21.352571039582937</v>
          </cell>
          <cell r="K13">
            <v>21.884959275654463</v>
          </cell>
          <cell r="L13">
            <v>22.417347511725989</v>
          </cell>
          <cell r="M13">
            <v>22.987763478945478</v>
          </cell>
          <cell r="N13">
            <v>23.558179446164971</v>
          </cell>
          <cell r="O13">
            <v>24.147609278958441</v>
          </cell>
          <cell r="P13">
            <v>24.756052977325901</v>
          </cell>
          <cell r="Q13">
            <v>25.364496675693356</v>
          </cell>
          <cell r="R13">
            <v>26.010968105208782</v>
          </cell>
          <cell r="S13">
            <v>26.657439534724201</v>
          </cell>
          <cell r="T13">
            <v>27.322924829813608</v>
          </cell>
          <cell r="U13">
            <v>28.007423990476997</v>
          </cell>
          <cell r="V13">
            <v>28.710937016714368</v>
          </cell>
          <cell r="W13">
            <v>29.433463908525724</v>
          </cell>
          <cell r="X13">
            <v>30.155990800337079</v>
          </cell>
          <cell r="Y13">
            <v>30.909890570345507</v>
          </cell>
          <cell r="Z13">
            <v>31.682637834604144</v>
          </cell>
          <cell r="AA13">
            <v>32.474703780469241</v>
          </cell>
          <cell r="AB13">
            <v>33.286571374980966</v>
          </cell>
          <cell r="AC13">
            <v>34.118735659355487</v>
          </cell>
          <cell r="AD13">
            <v>34.971704050839371</v>
          </cell>
          <cell r="AE13">
            <v>35.845996652110351</v>
          </cell>
          <cell r="AF13">
            <v>36.742146568413105</v>
          </cell>
          <cell r="AG13">
            <v>37.660700232623434</v>
          </cell>
          <cell r="AH13">
            <v>38.602217738439016</v>
          </cell>
        </row>
        <row r="14">
          <cell r="A14" t="str">
            <v>Ethylene (Transfer)</v>
          </cell>
          <cell r="B14">
            <v>0</v>
          </cell>
          <cell r="C14">
            <v>0</v>
          </cell>
          <cell r="D14" t="str">
            <v>$/ton</v>
          </cell>
          <cell r="E14">
            <v>0</v>
          </cell>
          <cell r="F14">
            <v>0</v>
          </cell>
          <cell r="G14">
            <v>0</v>
          </cell>
          <cell r="H14">
            <v>0</v>
          </cell>
          <cell r="I14">
            <v>0</v>
          </cell>
          <cell r="J14">
            <v>329.38502610927588</v>
          </cell>
          <cell r="K14">
            <v>331.98766118099729</v>
          </cell>
          <cell r="L14">
            <v>333.97305245152791</v>
          </cell>
          <cell r="M14">
            <v>336.67711703416199</v>
          </cell>
          <cell r="N14">
            <v>339.24092101481102</v>
          </cell>
          <cell r="O14">
            <v>345.2097862522661</v>
          </cell>
          <cell r="P14">
            <v>350.41465571815678</v>
          </cell>
          <cell r="Q14">
            <v>355.82306669261396</v>
          </cell>
          <cell r="R14">
            <v>361.4449983878863</v>
          </cell>
          <cell r="S14">
            <v>366.26042526646603</v>
          </cell>
          <cell r="T14">
            <v>372.2487955777944</v>
          </cell>
          <cell r="U14">
            <v>378.21541400097635</v>
          </cell>
          <cell r="V14">
            <v>384.45712027367603</v>
          </cell>
          <cell r="W14">
            <v>390.85150621425839</v>
          </cell>
          <cell r="X14">
            <v>397.14533435843288</v>
          </cell>
          <cell r="Y14">
            <v>403.69073189653864</v>
          </cell>
          <cell r="Z14">
            <v>410.3151834775756</v>
          </cell>
          <cell r="AA14">
            <v>417.01855093022908</v>
          </cell>
          <cell r="AB14">
            <v>423.80063976584171</v>
          </cell>
          <cell r="AC14">
            <v>430.66119644890358</v>
          </cell>
          <cell r="AD14">
            <v>437.59990556626491</v>
          </cell>
          <cell r="AE14">
            <v>444.61638689171377</v>
          </cell>
          <cell r="AF14">
            <v>451.71019234245614</v>
          </cell>
          <cell r="AG14">
            <v>458.88080282392832</v>
          </cell>
          <cell r="AH14">
            <v>466.12762495926012</v>
          </cell>
        </row>
        <row r="15">
          <cell r="A15" t="str">
            <v>Ethylene (Market)</v>
          </cell>
          <cell r="B15">
            <v>0</v>
          </cell>
          <cell r="C15">
            <v>0</v>
          </cell>
          <cell r="D15" t="str">
            <v>$/ton</v>
          </cell>
          <cell r="E15">
            <v>398.51430960387404</v>
          </cell>
          <cell r="F15">
            <v>341.31615941915805</v>
          </cell>
          <cell r="G15">
            <v>323.48703635073281</v>
          </cell>
          <cell r="H15">
            <v>328.45511575313981</v>
          </cell>
          <cell r="I15">
            <v>324.99663286028039</v>
          </cell>
          <cell r="J15">
            <v>328.8320182764931</v>
          </cell>
          <cell r="K15">
            <v>333.1038628266981</v>
          </cell>
          <cell r="L15">
            <v>336.94363671606953</v>
          </cell>
          <cell r="M15">
            <v>341.46148192391337</v>
          </cell>
          <cell r="N15">
            <v>345.88114471036766</v>
          </cell>
          <cell r="O15">
            <v>352.77185037658626</v>
          </cell>
          <cell r="P15">
            <v>359.21525900270967</v>
          </cell>
          <cell r="Q15">
            <v>365.8011466848298</v>
          </cell>
          <cell r="R15">
            <v>372.7114988715204</v>
          </cell>
          <cell r="S15">
            <v>379.05729768652617</v>
          </cell>
          <cell r="T15">
            <v>386.31165690445602</v>
          </cell>
          <cell r="U15">
            <v>393.63828980068342</v>
          </cell>
          <cell r="V15">
            <v>401.24498419157317</v>
          </cell>
          <cell r="W15">
            <v>409.04605434998081</v>
          </cell>
          <cell r="X15">
            <v>416.77673405090297</v>
          </cell>
          <cell r="Y15">
            <v>424.82788732757706</v>
          </cell>
          <cell r="Z15">
            <v>433.02111280930291</v>
          </cell>
          <cell r="AA15">
            <v>441.35848213553533</v>
          </cell>
          <cell r="AB15">
            <v>449.84208173257349</v>
          </cell>
          <cell r="AC15">
            <v>458.47401225812894</v>
          </cell>
          <cell r="AD15">
            <v>467.25638800887924</v>
          </cell>
          <cell r="AE15">
            <v>476.19133628950573</v>
          </cell>
          <cell r="AF15">
            <v>485.28099674165804</v>
          </cell>
          <cell r="AG15">
            <v>494.52752063123705</v>
          </cell>
          <cell r="AH15">
            <v>503.93307009233149</v>
          </cell>
        </row>
        <row r="16">
          <cell r="A16" t="str">
            <v>Ethylene (NWE)</v>
          </cell>
          <cell r="B16">
            <v>0</v>
          </cell>
          <cell r="C16">
            <v>0</v>
          </cell>
          <cell r="D16" t="str">
            <v>$/ton</v>
          </cell>
          <cell r="E16">
            <v>569.30615657696296</v>
          </cell>
          <cell r="F16">
            <v>487.5945134559401</v>
          </cell>
          <cell r="G16">
            <v>462.12433764390397</v>
          </cell>
          <cell r="H16">
            <v>469.22159393305691</v>
          </cell>
          <cell r="I16">
            <v>464.2809040861149</v>
          </cell>
          <cell r="J16">
            <v>469.76002610927588</v>
          </cell>
          <cell r="K16">
            <v>475.86266118099729</v>
          </cell>
          <cell r="L16">
            <v>481.34805245152791</v>
          </cell>
          <cell r="M16">
            <v>487.80211703416199</v>
          </cell>
          <cell r="N16">
            <v>494.11592101481102</v>
          </cell>
          <cell r="O16">
            <v>503.9597862522661</v>
          </cell>
          <cell r="P16">
            <v>513.16465571815672</v>
          </cell>
          <cell r="Q16">
            <v>522.57306669261402</v>
          </cell>
          <cell r="R16">
            <v>532.44499838788636</v>
          </cell>
          <cell r="S16">
            <v>541.51042526646597</v>
          </cell>
          <cell r="T16">
            <v>551.87379557779445</v>
          </cell>
          <cell r="U16">
            <v>562.34041400097635</v>
          </cell>
          <cell r="V16">
            <v>573.20712027367597</v>
          </cell>
          <cell r="W16">
            <v>584.35150621425839</v>
          </cell>
          <cell r="X16">
            <v>595.39533435843293</v>
          </cell>
          <cell r="Y16">
            <v>606.89698189653859</v>
          </cell>
          <cell r="Z16">
            <v>618.60158972757563</v>
          </cell>
          <cell r="AA16">
            <v>630.51211733647904</v>
          </cell>
          <cell r="AB16">
            <v>642.63154533224792</v>
          </cell>
          <cell r="AC16">
            <v>654.96287465446994</v>
          </cell>
          <cell r="AD16">
            <v>667.50912572697041</v>
          </cell>
          <cell r="AE16">
            <v>680.27333755643679</v>
          </cell>
          <cell r="AF16">
            <v>693.25856677379727</v>
          </cell>
          <cell r="AG16">
            <v>706.46788661605297</v>
          </cell>
          <cell r="AH16">
            <v>719.90438584618789</v>
          </cell>
        </row>
        <row r="17">
          <cell r="A17" t="str">
            <v>Butene-1 (Transfer)</v>
          </cell>
          <cell r="B17">
            <v>1</v>
          </cell>
          <cell r="C17" t="str">
            <v>* NWE</v>
          </cell>
          <cell r="D17" t="str">
            <v>$/ton</v>
          </cell>
          <cell r="E17">
            <v>850</v>
          </cell>
          <cell r="F17">
            <v>790.74399999999991</v>
          </cell>
          <cell r="G17">
            <v>762.74400000000003</v>
          </cell>
          <cell r="H17">
            <v>774.30000000000007</v>
          </cell>
          <cell r="I17">
            <v>771.97500000000002</v>
          </cell>
          <cell r="J17">
            <v>781.60799999999995</v>
          </cell>
          <cell r="K17">
            <v>791.88800000000003</v>
          </cell>
          <cell r="L17">
            <v>801.72</v>
          </cell>
          <cell r="M17">
            <v>813.65700000000004</v>
          </cell>
          <cell r="N17">
            <v>825.17400000000009</v>
          </cell>
          <cell r="O17">
            <v>840.74</v>
          </cell>
          <cell r="P17">
            <v>855.41399999999999</v>
          </cell>
          <cell r="Q17">
            <v>869.76800000000003</v>
          </cell>
          <cell r="R17">
            <v>886.46400000000006</v>
          </cell>
          <cell r="S17">
            <v>901.48599999999999</v>
          </cell>
          <cell r="T17">
            <v>918.24300000000005</v>
          </cell>
          <cell r="U17">
            <v>933.88200000000006</v>
          </cell>
          <cell r="V17">
            <v>952.81000000000006</v>
          </cell>
          <cell r="W17">
            <v>970.596</v>
          </cell>
          <cell r="X17">
            <v>988.07800000000009</v>
          </cell>
          <cell r="Y17">
            <v>1006.2773500000001</v>
          </cell>
          <cell r="Z17">
            <v>1024.76911875</v>
          </cell>
          <cell r="AA17">
            <v>1043.55655259375</v>
          </cell>
          <cell r="AB17">
            <v>1062.6428774304684</v>
          </cell>
          <cell r="AC17">
            <v>1082.0312956636519</v>
          </cell>
          <cell r="AD17">
            <v>1101.7249830101005</v>
          </cell>
          <cell r="AE17">
            <v>1121.7270851640817</v>
          </cell>
          <cell r="AF17">
            <v>1142.0407143113807</v>
          </cell>
          <cell r="AG17">
            <v>1162.6689454878172</v>
          </cell>
          <cell r="AH17">
            <v>1183.614812776631</v>
          </cell>
        </row>
        <row r="18">
          <cell r="A18" t="str">
            <v>Butene-1 (Market)</v>
          </cell>
          <cell r="B18">
            <v>1</v>
          </cell>
          <cell r="C18" t="str">
            <v>* NWE</v>
          </cell>
          <cell r="D18" t="str">
            <v>$/ton</v>
          </cell>
          <cell r="E18">
            <v>730</v>
          </cell>
          <cell r="F18">
            <v>668.46399999999994</v>
          </cell>
          <cell r="G18">
            <v>637.70400000000006</v>
          </cell>
          <cell r="H18">
            <v>646.14</v>
          </cell>
          <cell r="I18">
            <v>640.57499999999993</v>
          </cell>
          <cell r="J18">
            <v>646.84799999999996</v>
          </cell>
          <cell r="K18">
            <v>653.76800000000003</v>
          </cell>
          <cell r="L18">
            <v>660.24</v>
          </cell>
          <cell r="M18">
            <v>668.577</v>
          </cell>
          <cell r="N18">
            <v>676.49400000000003</v>
          </cell>
          <cell r="O18">
            <v>688.34</v>
          </cell>
          <cell r="P18">
            <v>699.17399999999998</v>
          </cell>
          <cell r="Q18">
            <v>709.68799999999999</v>
          </cell>
          <cell r="R18">
            <v>722.30400000000009</v>
          </cell>
          <cell r="S18">
            <v>733.24599999999998</v>
          </cell>
          <cell r="T18">
            <v>745.803</v>
          </cell>
          <cell r="U18">
            <v>757.12200000000007</v>
          </cell>
          <cell r="V18">
            <v>771.61</v>
          </cell>
          <cell r="W18">
            <v>784.83600000000001</v>
          </cell>
          <cell r="X18">
            <v>797.75800000000004</v>
          </cell>
          <cell r="Y18">
            <v>811.19934999999998</v>
          </cell>
          <cell r="Z18">
            <v>824.81416875000002</v>
          </cell>
          <cell r="AA18">
            <v>838.6027288437499</v>
          </cell>
          <cell r="AB18">
            <v>852.56520808671848</v>
          </cell>
          <cell r="AC18">
            <v>866.70168458630826</v>
          </cell>
          <cell r="AD18">
            <v>881.01213165582328</v>
          </cell>
          <cell r="AE18">
            <v>895.49641252594768</v>
          </cell>
          <cell r="AF18">
            <v>910.15427485729333</v>
          </cell>
          <cell r="AG18">
            <v>924.98534504737756</v>
          </cell>
          <cell r="AH18">
            <v>939.98912232518035</v>
          </cell>
        </row>
        <row r="19">
          <cell r="A19" t="str">
            <v>Butene-1 (NWE)</v>
          </cell>
          <cell r="B19">
            <v>0</v>
          </cell>
          <cell r="C19">
            <v>0</v>
          </cell>
          <cell r="D19" t="str">
            <v>$/ton</v>
          </cell>
          <cell r="E19">
            <v>730</v>
          </cell>
          <cell r="F19">
            <v>668.46399999999994</v>
          </cell>
          <cell r="G19">
            <v>637.70400000000006</v>
          </cell>
          <cell r="H19">
            <v>646.14</v>
          </cell>
          <cell r="I19">
            <v>640.57499999999993</v>
          </cell>
          <cell r="J19">
            <v>646.84799999999996</v>
          </cell>
          <cell r="K19">
            <v>653.76800000000003</v>
          </cell>
          <cell r="L19">
            <v>660.24</v>
          </cell>
          <cell r="M19">
            <v>668.577</v>
          </cell>
          <cell r="N19">
            <v>676.49400000000003</v>
          </cell>
          <cell r="O19">
            <v>688.34</v>
          </cell>
          <cell r="P19">
            <v>699.17399999999998</v>
          </cell>
          <cell r="Q19">
            <v>709.68799999999999</v>
          </cell>
          <cell r="R19">
            <v>722.30400000000009</v>
          </cell>
          <cell r="S19">
            <v>733.24599999999998</v>
          </cell>
          <cell r="T19">
            <v>745.803</v>
          </cell>
          <cell r="U19">
            <v>757.12200000000007</v>
          </cell>
          <cell r="V19">
            <v>771.61</v>
          </cell>
          <cell r="W19">
            <v>784.83600000000001</v>
          </cell>
          <cell r="X19">
            <v>797.75800000000004</v>
          </cell>
          <cell r="Y19">
            <v>811.19934999999998</v>
          </cell>
          <cell r="Z19">
            <v>824.81416875000002</v>
          </cell>
          <cell r="AA19">
            <v>838.6027288437499</v>
          </cell>
          <cell r="AB19">
            <v>852.56520808671848</v>
          </cell>
          <cell r="AC19">
            <v>866.70168458630826</v>
          </cell>
          <cell r="AD19">
            <v>881.01213165582328</v>
          </cell>
          <cell r="AE19">
            <v>895.49641252594768</v>
          </cell>
          <cell r="AF19">
            <v>910.15427485729333</v>
          </cell>
          <cell r="AG19">
            <v>924.98534504737756</v>
          </cell>
          <cell r="AH19">
            <v>939.98912232518035</v>
          </cell>
        </row>
        <row r="20">
          <cell r="A20" t="str">
            <v>Catalyst (HDPE)</v>
          </cell>
          <cell r="B20">
            <v>0</v>
          </cell>
          <cell r="C20">
            <v>0</v>
          </cell>
          <cell r="D20" t="str">
            <v>$/ton HDPE</v>
          </cell>
          <cell r="E20">
            <v>19.013865573983026</v>
          </cell>
          <cell r="F20">
            <v>19.3751290198887</v>
          </cell>
          <cell r="G20">
            <v>19.812447928090315</v>
          </cell>
          <cell r="H20">
            <v>20.306808433013874</v>
          </cell>
          <cell r="I20">
            <v>20.820182803511411</v>
          </cell>
          <cell r="J20">
            <v>21.352571039582937</v>
          </cell>
          <cell r="K20">
            <v>21.884959275654463</v>
          </cell>
          <cell r="L20">
            <v>22.417347511725989</v>
          </cell>
          <cell r="M20">
            <v>22.987763478945478</v>
          </cell>
          <cell r="N20">
            <v>23.558179446164971</v>
          </cell>
          <cell r="O20">
            <v>24.147609278958441</v>
          </cell>
          <cell r="P20">
            <v>24.756052977325901</v>
          </cell>
          <cell r="Q20">
            <v>25.364496675693356</v>
          </cell>
          <cell r="R20">
            <v>26.010968105208782</v>
          </cell>
          <cell r="S20">
            <v>26.657439534724201</v>
          </cell>
          <cell r="T20">
            <v>27.322924829813608</v>
          </cell>
          <cell r="U20">
            <v>28.007423990476997</v>
          </cell>
          <cell r="V20">
            <v>28.710937016714368</v>
          </cell>
          <cell r="W20">
            <v>29.433463908525724</v>
          </cell>
          <cell r="X20">
            <v>30.155990800337079</v>
          </cell>
          <cell r="Y20">
            <v>30.909890570345507</v>
          </cell>
          <cell r="Z20">
            <v>31.682637834604144</v>
          </cell>
          <cell r="AA20">
            <v>32.474703780469241</v>
          </cell>
          <cell r="AB20">
            <v>33.286571374980966</v>
          </cell>
          <cell r="AC20">
            <v>34.118735659355487</v>
          </cell>
          <cell r="AD20">
            <v>34.971704050839371</v>
          </cell>
          <cell r="AE20">
            <v>35.845996652110351</v>
          </cell>
          <cell r="AF20">
            <v>36.742146568413105</v>
          </cell>
          <cell r="AG20">
            <v>37.660700232623434</v>
          </cell>
          <cell r="AH20">
            <v>38.602217738439016</v>
          </cell>
        </row>
        <row r="21">
          <cell r="A21" t="str">
            <v>Catalyst (MEG)</v>
          </cell>
          <cell r="B21">
            <v>0</v>
          </cell>
          <cell r="C21">
            <v>0</v>
          </cell>
          <cell r="D21" t="str">
            <v>$/ton MEG</v>
          </cell>
          <cell r="E21">
            <v>11.863442766503693</v>
          </cell>
          <cell r="F21">
            <v>12.088848179067263</v>
          </cell>
          <cell r="G21">
            <v>12.361707362696849</v>
          </cell>
          <cell r="H21">
            <v>12.670156874625945</v>
          </cell>
          <cell r="I21">
            <v>12.990469829321544</v>
          </cell>
          <cell r="J21">
            <v>13.322646226783649</v>
          </cell>
          <cell r="K21">
            <v>13.654822624245751</v>
          </cell>
          <cell r="L21">
            <v>13.986999021707856</v>
          </cell>
          <cell r="M21">
            <v>14.342902304702966</v>
          </cell>
          <cell r="N21">
            <v>14.698805587698077</v>
          </cell>
          <cell r="O21">
            <v>15.066572313459691</v>
          </cell>
          <cell r="P21">
            <v>15.446202481987809</v>
          </cell>
          <cell r="Q21">
            <v>15.825832650515927</v>
          </cell>
          <cell r="R21">
            <v>16.229189704577053</v>
          </cell>
          <cell r="S21">
            <v>16.632546758638178</v>
          </cell>
          <cell r="T21">
            <v>17.047767255465807</v>
          </cell>
          <cell r="U21">
            <v>17.474851195059941</v>
          </cell>
          <cell r="V21">
            <v>17.913798577420579</v>
          </cell>
          <cell r="W21">
            <v>18.364609402547718</v>
          </cell>
          <cell r="X21">
            <v>18.81542022767486</v>
          </cell>
          <cell r="Y21">
            <v>19.285805733366729</v>
          </cell>
          <cell r="Z21">
            <v>19.767950876700898</v>
          </cell>
          <cell r="AA21">
            <v>20.262149648618418</v>
          </cell>
          <cell r="AB21">
            <v>20.768703389833874</v>
          </cell>
          <cell r="AC21">
            <v>21.28792097457972</v>
          </cell>
          <cell r="AD21">
            <v>21.82011899894421</v>
          </cell>
          <cell r="AE21">
            <v>22.365621973917811</v>
          </cell>
          <cell r="AF21">
            <v>22.924762523265755</v>
          </cell>
          <cell r="AG21">
            <v>23.497881586347397</v>
          </cell>
          <cell r="AH21">
            <v>24.085328626006081</v>
          </cell>
        </row>
        <row r="22">
          <cell r="A22" t="str">
            <v>Oxygen</v>
          </cell>
          <cell r="B22">
            <v>0</v>
          </cell>
          <cell r="C22">
            <v>0</v>
          </cell>
          <cell r="D22" t="str">
            <v>$/ton</v>
          </cell>
          <cell r="E22">
            <v>57.534934556052903</v>
          </cell>
          <cell r="F22">
            <v>58.628098312617901</v>
          </cell>
          <cell r="G22">
            <v>59.95140180740713</v>
          </cell>
          <cell r="H22">
            <v>61.447310105864503</v>
          </cell>
          <cell r="I22">
            <v>63.000753338877928</v>
          </cell>
          <cell r="J22">
            <v>64.611731506447413</v>
          </cell>
          <cell r="K22">
            <v>66.222709674016897</v>
          </cell>
          <cell r="L22">
            <v>67.833687841586382</v>
          </cell>
          <cell r="M22">
            <v>69.559735878267958</v>
          </cell>
          <cell r="N22">
            <v>71.285783914949548</v>
          </cell>
          <cell r="O22">
            <v>73.069366886187183</v>
          </cell>
          <cell r="P22">
            <v>74.910484791980878</v>
          </cell>
          <cell r="Q22">
            <v>76.751602697774572</v>
          </cell>
          <cell r="R22">
            <v>78.707790472680372</v>
          </cell>
          <cell r="S22">
            <v>80.663978247586172</v>
          </cell>
          <cell r="T22">
            <v>82.677700957048032</v>
          </cell>
          <cell r="U22">
            <v>84.748958601065937</v>
          </cell>
          <cell r="V22">
            <v>86.877751179639887</v>
          </cell>
          <cell r="W22">
            <v>89.064078692769897</v>
          </cell>
          <cell r="X22">
            <v>91.250406205899907</v>
          </cell>
          <cell r="Y22">
            <v>93.5316663610474</v>
          </cell>
          <cell r="Z22">
            <v>95.869958020073582</v>
          </cell>
          <cell r="AA22">
            <v>98.266706970575413</v>
          </cell>
          <cell r="AB22">
            <v>100.72337464483978</v>
          </cell>
          <cell r="AC22">
            <v>103.24145901096077</v>
          </cell>
          <cell r="AD22">
            <v>105.82249548623477</v>
          </cell>
          <cell r="AE22">
            <v>108.46805787339063</v>
          </cell>
          <cell r="AF22">
            <v>111.17975932022539</v>
          </cell>
          <cell r="AG22">
            <v>113.95925330323101</v>
          </cell>
          <cell r="AH22">
            <v>116.80823463581179</v>
          </cell>
        </row>
        <row r="23">
          <cell r="A23" t="str">
            <v>DEG (Export)</v>
          </cell>
          <cell r="B23">
            <v>0</v>
          </cell>
          <cell r="C23">
            <v>0</v>
          </cell>
          <cell r="D23" t="str">
            <v>$/ton</v>
          </cell>
          <cell r="E23">
            <v>504.83590781180197</v>
          </cell>
          <cell r="F23">
            <v>525.26493238830369</v>
          </cell>
          <cell r="G23">
            <v>511.1429950318842</v>
          </cell>
          <cell r="H23">
            <v>519.5322865147424</v>
          </cell>
          <cell r="I23">
            <v>519.45336652409947</v>
          </cell>
          <cell r="J23">
            <v>527.48423267330827</v>
          </cell>
          <cell r="K23">
            <v>535.81937067579418</v>
          </cell>
          <cell r="L23">
            <v>543.76656194907991</v>
          </cell>
          <cell r="M23">
            <v>552.63609839389346</v>
          </cell>
          <cell r="N23">
            <v>561.39422867079998</v>
          </cell>
          <cell r="O23">
            <v>572.62852509793129</v>
          </cell>
          <cell r="P23">
            <v>583.66178099870785</v>
          </cell>
          <cell r="Q23">
            <v>594.76568403862029</v>
          </cell>
          <cell r="R23">
            <v>606.5259976347561</v>
          </cell>
          <cell r="S23">
            <v>617.76665198466219</v>
          </cell>
          <cell r="T23">
            <v>629.93009282937396</v>
          </cell>
          <cell r="U23">
            <v>642.31830778980031</v>
          </cell>
          <cell r="V23">
            <v>655.10274662130405</v>
          </cell>
          <cell r="W23">
            <v>668.21055789510513</v>
          </cell>
          <cell r="X23">
            <v>681.20914660611277</v>
          </cell>
          <cell r="Y23">
            <v>694.7671031579639</v>
          </cell>
          <cell r="Z23">
            <v>708.59490075170015</v>
          </cell>
          <cell r="AA23">
            <v>722.69790997451935</v>
          </cell>
          <cell r="AB23">
            <v>737.08160830324073</v>
          </cell>
          <cell r="AC23">
            <v>751.75158223170615</v>
          </cell>
          <cell r="AD23">
            <v>766.7135294405216</v>
          </cell>
          <cell r="AE23">
            <v>781.97326100998271</v>
          </cell>
          <cell r="AF23">
            <v>797.53670367704513</v>
          </cell>
          <cell r="AG23">
            <v>813.40990213721238</v>
          </cell>
          <cell r="AH23">
            <v>829.59902139223982</v>
          </cell>
        </row>
        <row r="24">
          <cell r="A24" t="str">
            <v>TEG (Export)</v>
          </cell>
          <cell r="B24">
            <v>0</v>
          </cell>
          <cell r="C24">
            <v>0</v>
          </cell>
          <cell r="D24" t="str">
            <v>$/ton</v>
          </cell>
          <cell r="E24">
            <v>504.83590781180197</v>
          </cell>
          <cell r="F24">
            <v>525.26493238830369</v>
          </cell>
          <cell r="G24">
            <v>511.1429950318842</v>
          </cell>
          <cell r="H24">
            <v>519.5322865147424</v>
          </cell>
          <cell r="I24">
            <v>519.45336652409947</v>
          </cell>
          <cell r="J24">
            <v>527.48423267330827</v>
          </cell>
          <cell r="K24">
            <v>535.81937067579418</v>
          </cell>
          <cell r="L24">
            <v>543.76656194907991</v>
          </cell>
          <cell r="M24">
            <v>552.63609839389346</v>
          </cell>
          <cell r="N24">
            <v>561.39422867079998</v>
          </cell>
          <cell r="O24">
            <v>572.62852509793129</v>
          </cell>
          <cell r="P24">
            <v>583.66178099870785</v>
          </cell>
          <cell r="Q24">
            <v>594.76568403862029</v>
          </cell>
          <cell r="R24">
            <v>606.5259976347561</v>
          </cell>
          <cell r="S24">
            <v>617.76665198466219</v>
          </cell>
          <cell r="T24">
            <v>629.93009282937396</v>
          </cell>
          <cell r="U24">
            <v>642.31830778980031</v>
          </cell>
          <cell r="V24">
            <v>655.10274662130405</v>
          </cell>
          <cell r="W24">
            <v>668.21055789510513</v>
          </cell>
          <cell r="X24">
            <v>681.20914660611277</v>
          </cell>
          <cell r="Y24">
            <v>694.7671031579639</v>
          </cell>
          <cell r="Z24">
            <v>708.59490075170015</v>
          </cell>
          <cell r="AA24">
            <v>722.69790997451935</v>
          </cell>
          <cell r="AB24">
            <v>737.08160830324073</v>
          </cell>
          <cell r="AC24">
            <v>751.75158223170615</v>
          </cell>
          <cell r="AD24">
            <v>766.7135294405216</v>
          </cell>
          <cell r="AE24">
            <v>781.97326100998271</v>
          </cell>
          <cell r="AF24">
            <v>797.53670367704513</v>
          </cell>
          <cell r="AG24">
            <v>813.40990213721238</v>
          </cell>
          <cell r="AH24">
            <v>829.59902139223982</v>
          </cell>
        </row>
        <row r="25">
          <cell r="A25" t="str">
            <v>Oxygen (Internal)</v>
          </cell>
          <cell r="B25" t="str">
            <v>Direct into Current</v>
          </cell>
          <cell r="C25">
            <v>2</v>
          </cell>
          <cell r="D25" t="str">
            <v>$/ton</v>
          </cell>
          <cell r="E25">
            <v>0</v>
          </cell>
          <cell r="F25">
            <v>0</v>
          </cell>
          <cell r="G25">
            <v>0</v>
          </cell>
          <cell r="H25">
            <v>0</v>
          </cell>
          <cell r="I25">
            <v>0</v>
          </cell>
          <cell r="J25">
            <v>36.370543003982917</v>
          </cell>
          <cell r="K25">
            <v>35.647920332226917</v>
          </cell>
          <cell r="L25">
            <v>35.495409347815233</v>
          </cell>
          <cell r="M25">
            <v>35.709374301776421</v>
          </cell>
          <cell r="N25">
            <v>35.926926300713419</v>
          </cell>
          <cell r="O25">
            <v>36.153849780370187</v>
          </cell>
          <cell r="P25">
            <v>36.390395867163186</v>
          </cell>
          <cell r="Q25">
            <v>36.631075495528677</v>
          </cell>
          <cell r="R25">
            <v>36.887616904910523</v>
          </cell>
          <cell r="S25">
            <v>37.148755394496895</v>
          </cell>
          <cell r="T25">
            <v>37.420532393547298</v>
          </cell>
          <cell r="U25">
            <v>37.703250633092615</v>
          </cell>
          <cell r="V25">
            <v>37.997225011419118</v>
          </cell>
          <cell r="W25">
            <v>38.302783043249534</v>
          </cell>
          <cell r="X25">
            <v>38.614178200821314</v>
          </cell>
          <cell r="Y25">
            <v>38.941736809206958</v>
          </cell>
          <cell r="Z25">
            <v>39.28184846806635</v>
          </cell>
          <cell r="AA25">
            <v>39.635047935477829</v>
          </cell>
          <cell r="AB25">
            <v>40.001894523144891</v>
          </cell>
          <cell r="AC25">
            <v>40.382973276460952</v>
          </cell>
          <cell r="AD25">
            <v>40.77889621274069</v>
          </cell>
          <cell r="AE25">
            <v>41.190303620523558</v>
          </cell>
          <cell r="AF25">
            <v>41.617865423000751</v>
          </cell>
          <cell r="AG25">
            <v>42.062282608770559</v>
          </cell>
          <cell r="AH25">
            <v>43.914204537430805</v>
          </cell>
        </row>
        <row r="26">
          <cell r="A26" t="str">
            <v>Catalyst (Butene-1)</v>
          </cell>
          <cell r="B26" t="str">
            <v>0.0056$/lb in 1998</v>
          </cell>
          <cell r="C26">
            <v>0</v>
          </cell>
          <cell r="D26" t="str">
            <v>$/ton Butene-1</v>
          </cell>
          <cell r="E26">
            <v>12.104867121951218</v>
          </cell>
          <cell r="F26">
            <v>12.33485959726829</v>
          </cell>
          <cell r="G26">
            <v>12.61327154107317</v>
          </cell>
          <cell r="H26">
            <v>12.927998086243901</v>
          </cell>
          <cell r="I26">
            <v>13.254829498536584</v>
          </cell>
          <cell r="J26">
            <v>13.593765777951218</v>
          </cell>
          <cell r="K26">
            <v>13.932702057365852</v>
          </cell>
          <cell r="L26">
            <v>14.271638336780486</v>
          </cell>
          <cell r="M26">
            <v>14.634784350439023</v>
          </cell>
          <cell r="N26">
            <v>14.997930364097559</v>
          </cell>
          <cell r="O26">
            <v>15.373181244878047</v>
          </cell>
          <cell r="P26">
            <v>15.760536992780485</v>
          </cell>
          <cell r="Q26">
            <v>16.147892740682924</v>
          </cell>
          <cell r="R26">
            <v>16.559458222829267</v>
          </cell>
          <cell r="S26">
            <v>16.971023704975607</v>
          </cell>
          <cell r="T26">
            <v>17.394694054243899</v>
          </cell>
          <cell r="U26">
            <v>17.830469270634143</v>
          </cell>
          <cell r="V26">
            <v>18.278349354146339</v>
          </cell>
          <cell r="W26">
            <v>18.738334304780487</v>
          </cell>
          <cell r="X26">
            <v>19.198319255414631</v>
          </cell>
          <cell r="Y26">
            <v>19.678277236799996</v>
          </cell>
          <cell r="Z26">
            <v>20.170234167719997</v>
          </cell>
          <cell r="AA26">
            <v>20.674490021912995</v>
          </cell>
          <cell r="AB26">
            <v>21.191352272460815</v>
          </cell>
          <cell r="AC26">
            <v>21.721136079272334</v>
          </cell>
          <cell r="AD26">
            <v>22.264164481254138</v>
          </cell>
          <cell r="AE26">
            <v>22.820768593285489</v>
          </cell>
          <cell r="AF26">
            <v>23.391287808117625</v>
          </cell>
          <cell r="AG26">
            <v>23.976070003320565</v>
          </cell>
          <cell r="AH26">
            <v>24.57547175340358</v>
          </cell>
        </row>
        <row r="27">
          <cell r="A27" t="str">
            <v>Ethylene/Propylene Mix</v>
          </cell>
          <cell r="B27" t="str">
            <v>50% of C2 price</v>
          </cell>
          <cell r="C27">
            <v>0</v>
          </cell>
          <cell r="D27" t="str">
            <v>$/ton</v>
          </cell>
          <cell r="E27">
            <v>199.25715480193702</v>
          </cell>
          <cell r="F27">
            <v>170.65807970957903</v>
          </cell>
          <cell r="G27">
            <v>161.7435181753664</v>
          </cell>
          <cell r="H27">
            <v>164.2275578765699</v>
          </cell>
          <cell r="I27">
            <v>162.49831643014019</v>
          </cell>
          <cell r="J27">
            <v>164.41600913824655</v>
          </cell>
          <cell r="K27">
            <v>166.55193141334905</v>
          </cell>
          <cell r="L27">
            <v>168.47181835803477</v>
          </cell>
          <cell r="M27">
            <v>170.73074096195668</v>
          </cell>
          <cell r="N27">
            <v>172.94057235518383</v>
          </cell>
          <cell r="O27">
            <v>176.38592518829313</v>
          </cell>
          <cell r="P27">
            <v>179.60762950135484</v>
          </cell>
          <cell r="Q27">
            <v>182.9005733424149</v>
          </cell>
          <cell r="R27">
            <v>186.3557494357602</v>
          </cell>
          <cell r="S27">
            <v>189.52864884326308</v>
          </cell>
          <cell r="T27">
            <v>193.15582845222801</v>
          </cell>
          <cell r="U27">
            <v>196.81914490034171</v>
          </cell>
          <cell r="V27">
            <v>200.62249209578658</v>
          </cell>
          <cell r="W27">
            <v>204.5230271749904</v>
          </cell>
          <cell r="X27">
            <v>208.38836702545149</v>
          </cell>
          <cell r="Y27">
            <v>212.41394366378853</v>
          </cell>
          <cell r="Z27">
            <v>216.51055640465145</v>
          </cell>
          <cell r="AA27">
            <v>220.67924106776766</v>
          </cell>
          <cell r="AB27">
            <v>224.92104086628675</v>
          </cell>
          <cell r="AC27">
            <v>229.23700612906447</v>
          </cell>
          <cell r="AD27">
            <v>233.62819400443962</v>
          </cell>
          <cell r="AE27">
            <v>238.09566814475286</v>
          </cell>
          <cell r="AF27">
            <v>242.64049837082902</v>
          </cell>
          <cell r="AG27">
            <v>247.26376031561853</v>
          </cell>
          <cell r="AH27">
            <v>251.96653504616575</v>
          </cell>
        </row>
        <row r="28">
          <cell r="A28" t="str">
            <v>C4 Mix</v>
          </cell>
          <cell r="B28" t="str">
            <v>45% of C2 price</v>
          </cell>
          <cell r="C28">
            <v>0</v>
          </cell>
          <cell r="D28" t="str">
            <v>$/ton</v>
          </cell>
          <cell r="E28">
            <v>179.33143932174332</v>
          </cell>
          <cell r="F28">
            <v>153.59227173862112</v>
          </cell>
          <cell r="G28">
            <v>145.56916635782977</v>
          </cell>
          <cell r="H28">
            <v>147.80480208891291</v>
          </cell>
          <cell r="I28">
            <v>146.24848478712619</v>
          </cell>
          <cell r="J28">
            <v>147.97440822442189</v>
          </cell>
          <cell r="K28">
            <v>149.89673827201415</v>
          </cell>
          <cell r="L28">
            <v>151.62463652223127</v>
          </cell>
          <cell r="M28">
            <v>153.65766686576103</v>
          </cell>
          <cell r="N28">
            <v>155.64651511966548</v>
          </cell>
          <cell r="O28">
            <v>158.74733266946382</v>
          </cell>
          <cell r="P28">
            <v>161.64686655121938</v>
          </cell>
          <cell r="Q28">
            <v>164.61051600817342</v>
          </cell>
          <cell r="R28">
            <v>167.72017449218421</v>
          </cell>
          <cell r="S28">
            <v>170.5757839589368</v>
          </cell>
          <cell r="T28">
            <v>173.84024560700522</v>
          </cell>
          <cell r="U28">
            <v>177.13723041030755</v>
          </cell>
          <cell r="V28">
            <v>180.56024288620793</v>
          </cell>
          <cell r="W28">
            <v>184.07072445749139</v>
          </cell>
          <cell r="X28">
            <v>187.54953032290635</v>
          </cell>
          <cell r="Y28">
            <v>191.17254929740966</v>
          </cell>
          <cell r="Z28">
            <v>194.85950076418632</v>
          </cell>
          <cell r="AA28">
            <v>198.61131696099088</v>
          </cell>
          <cell r="AB28">
            <v>202.42893677965807</v>
          </cell>
          <cell r="AC28">
            <v>206.31330551615801</v>
          </cell>
          <cell r="AD28">
            <v>210.26537460399564</v>
          </cell>
          <cell r="AE28">
            <v>214.28610133027757</v>
          </cell>
          <cell r="AF28">
            <v>218.37644853374613</v>
          </cell>
          <cell r="AG28">
            <v>222.53738428405666</v>
          </cell>
          <cell r="AH28">
            <v>226.76988154154918</v>
          </cell>
        </row>
        <row r="29">
          <cell r="A29" t="str">
            <v>C5+ LAO's</v>
          </cell>
          <cell r="B29" t="str">
            <v>150% of C2 price</v>
          </cell>
          <cell r="C29">
            <v>0</v>
          </cell>
          <cell r="D29" t="str">
            <v>$/ton</v>
          </cell>
          <cell r="E29">
            <v>597.771464405811</v>
          </cell>
          <cell r="F29">
            <v>511.97423912873705</v>
          </cell>
          <cell r="G29">
            <v>485.23055452609918</v>
          </cell>
          <cell r="H29">
            <v>492.68267362970971</v>
          </cell>
          <cell r="I29">
            <v>487.49494929042055</v>
          </cell>
          <cell r="J29">
            <v>493.24802741473968</v>
          </cell>
          <cell r="K29">
            <v>499.6557942400471</v>
          </cell>
          <cell r="L29">
            <v>505.41545507410433</v>
          </cell>
          <cell r="M29">
            <v>512.19222288587002</v>
          </cell>
          <cell r="N29">
            <v>518.82171706555152</v>
          </cell>
          <cell r="O29">
            <v>529.15777556487944</v>
          </cell>
          <cell r="P29">
            <v>538.82288850406451</v>
          </cell>
          <cell r="Q29">
            <v>548.70172002724473</v>
          </cell>
          <cell r="R29">
            <v>559.06724830728069</v>
          </cell>
          <cell r="S29">
            <v>568.58594652978923</v>
          </cell>
          <cell r="T29">
            <v>579.46748535668405</v>
          </cell>
          <cell r="U29">
            <v>590.45743470102514</v>
          </cell>
          <cell r="V29">
            <v>601.86747628735975</v>
          </cell>
          <cell r="W29">
            <v>613.56908152497124</v>
          </cell>
          <cell r="X29">
            <v>625.16510107635452</v>
          </cell>
          <cell r="Y29">
            <v>637.24183099136553</v>
          </cell>
          <cell r="Z29">
            <v>649.53166921395439</v>
          </cell>
          <cell r="AA29">
            <v>662.0377232033029</v>
          </cell>
          <cell r="AB29">
            <v>674.76312259886026</v>
          </cell>
          <cell r="AC29">
            <v>687.71101838719346</v>
          </cell>
          <cell r="AD29">
            <v>700.88458201331889</v>
          </cell>
          <cell r="AE29">
            <v>714.28700443425862</v>
          </cell>
          <cell r="AF29">
            <v>727.92149511248704</v>
          </cell>
          <cell r="AG29">
            <v>741.79128094685564</v>
          </cell>
          <cell r="AH29">
            <v>755.89960513849724</v>
          </cell>
        </row>
        <row r="30">
          <cell r="A30" t="str">
            <v>Purge Gas</v>
          </cell>
          <cell r="B30" t="str">
            <v>Methane equivalent</v>
          </cell>
          <cell r="C30">
            <v>0</v>
          </cell>
          <cell r="D30" t="str">
            <v>$/ton</v>
          </cell>
          <cell r="E30">
            <v>0</v>
          </cell>
          <cell r="F30">
            <v>32.679611640000005</v>
          </cell>
          <cell r="G30">
            <v>32.679611640000005</v>
          </cell>
          <cell r="H30">
            <v>32.679611640000005</v>
          </cell>
          <cell r="I30">
            <v>32.679611640000005</v>
          </cell>
          <cell r="J30">
            <v>32.679611640000005</v>
          </cell>
          <cell r="K30">
            <v>32.679611640000005</v>
          </cell>
          <cell r="L30">
            <v>32.679611640000005</v>
          </cell>
          <cell r="M30">
            <v>32.679611640000005</v>
          </cell>
          <cell r="N30">
            <v>32.679611640000005</v>
          </cell>
          <cell r="O30">
            <v>32.679611640000005</v>
          </cell>
          <cell r="P30">
            <v>32.679611640000005</v>
          </cell>
          <cell r="Q30">
            <v>32.679611640000005</v>
          </cell>
          <cell r="R30">
            <v>32.679611640000005</v>
          </cell>
          <cell r="S30">
            <v>32.679611640000005</v>
          </cell>
          <cell r="T30">
            <v>32.679611640000005</v>
          </cell>
          <cell r="U30">
            <v>32.679611640000005</v>
          </cell>
          <cell r="V30">
            <v>32.679611640000005</v>
          </cell>
          <cell r="W30">
            <v>32.679611640000005</v>
          </cell>
          <cell r="X30">
            <v>32.679611640000005</v>
          </cell>
          <cell r="Y30">
            <v>32.679611640000005</v>
          </cell>
          <cell r="Z30">
            <v>32.679611640000005</v>
          </cell>
          <cell r="AA30">
            <v>32.679611640000005</v>
          </cell>
          <cell r="AB30">
            <v>32.679611640000005</v>
          </cell>
          <cell r="AC30">
            <v>32.679611640000005</v>
          </cell>
          <cell r="AD30">
            <v>32.679611640000005</v>
          </cell>
          <cell r="AE30">
            <v>32.679611640000005</v>
          </cell>
          <cell r="AF30">
            <v>32.679611640000005</v>
          </cell>
          <cell r="AG30">
            <v>32.679611640000005</v>
          </cell>
          <cell r="AH30">
            <v>32.679611640000005</v>
          </cell>
        </row>
        <row r="31">
          <cell r="A31" t="str">
            <v>Polymer Freight (Western Europe)</v>
          </cell>
          <cell r="B31">
            <v>0</v>
          </cell>
          <cell r="C31">
            <v>0</v>
          </cell>
          <cell r="D31" t="str">
            <v>$/ton</v>
          </cell>
          <cell r="E31">
            <v>60</v>
          </cell>
          <cell r="F31">
            <v>61.139999999999993</v>
          </cell>
          <cell r="G31">
            <v>62.52</v>
          </cell>
          <cell r="H31">
            <v>64.08</v>
          </cell>
          <cell r="I31">
            <v>65.7</v>
          </cell>
          <cell r="J31">
            <v>67.38</v>
          </cell>
          <cell r="K31">
            <v>69.06</v>
          </cell>
          <cell r="L31">
            <v>70.740000000000009</v>
          </cell>
          <cell r="M31">
            <v>72.540000000000006</v>
          </cell>
          <cell r="N31">
            <v>74.34</v>
          </cell>
          <cell r="O31">
            <v>76.2</v>
          </cell>
          <cell r="P31">
            <v>78.12</v>
          </cell>
          <cell r="Q31">
            <v>80.040000000000006</v>
          </cell>
          <cell r="R31">
            <v>82.080000000000013</v>
          </cell>
          <cell r="S31">
            <v>84.11999999999999</v>
          </cell>
          <cell r="T31">
            <v>86.22</v>
          </cell>
          <cell r="U31">
            <v>88.38000000000001</v>
          </cell>
          <cell r="V31">
            <v>90.6</v>
          </cell>
          <cell r="W31">
            <v>92.88</v>
          </cell>
          <cell r="X31">
            <v>95.160000000000011</v>
          </cell>
          <cell r="Y31">
            <v>97.539000000000001</v>
          </cell>
          <cell r="Z31">
            <v>99.977474999999998</v>
          </cell>
          <cell r="AA31">
            <v>102.47691187499998</v>
          </cell>
          <cell r="AB31">
            <v>105.03883467187497</v>
          </cell>
          <cell r="AC31">
            <v>107.66480553867183</v>
          </cell>
          <cell r="AD31">
            <v>110.35642567713862</v>
          </cell>
          <cell r="AE31">
            <v>113.11533631906707</v>
          </cell>
          <cell r="AF31">
            <v>115.94321972704374</v>
          </cell>
          <cell r="AG31">
            <v>118.84180022021982</v>
          </cell>
          <cell r="AH31">
            <v>121.81284522572531</v>
          </cell>
        </row>
        <row r="32">
          <cell r="A32" t="str">
            <v>Polymer Freight (East Asia)</v>
          </cell>
          <cell r="B32">
            <v>0</v>
          </cell>
          <cell r="C32">
            <v>0</v>
          </cell>
          <cell r="D32" t="str">
            <v>$/ton</v>
          </cell>
          <cell r="E32">
            <v>56</v>
          </cell>
          <cell r="F32">
            <v>57.063999999999993</v>
          </cell>
          <cell r="G32">
            <v>58.352000000000004</v>
          </cell>
          <cell r="H32">
            <v>59.808000000000007</v>
          </cell>
          <cell r="I32">
            <v>61.32</v>
          </cell>
          <cell r="J32">
            <v>62.887999999999998</v>
          </cell>
          <cell r="K32">
            <v>64.456000000000003</v>
          </cell>
          <cell r="L32">
            <v>66.024000000000001</v>
          </cell>
          <cell r="M32">
            <v>67.704000000000008</v>
          </cell>
          <cell r="N32">
            <v>69.384</v>
          </cell>
          <cell r="O32">
            <v>71.12</v>
          </cell>
          <cell r="P32">
            <v>72.912000000000006</v>
          </cell>
          <cell r="Q32">
            <v>74.704000000000008</v>
          </cell>
          <cell r="R32">
            <v>76.608000000000004</v>
          </cell>
          <cell r="S32">
            <v>78.512</v>
          </cell>
          <cell r="T32">
            <v>80.472000000000008</v>
          </cell>
          <cell r="U32">
            <v>82.488</v>
          </cell>
          <cell r="V32">
            <v>84.56</v>
          </cell>
          <cell r="W32">
            <v>86.688000000000002</v>
          </cell>
          <cell r="X32">
            <v>88.816000000000003</v>
          </cell>
          <cell r="Y32">
            <v>91.0364</v>
          </cell>
          <cell r="Z32">
            <v>93.312309999999997</v>
          </cell>
          <cell r="AA32">
            <v>95.645117749999983</v>
          </cell>
          <cell r="AB32">
            <v>98.036245693749976</v>
          </cell>
          <cell r="AC32">
            <v>100.48715183609372</v>
          </cell>
          <cell r="AD32">
            <v>102.99933063199605</v>
          </cell>
          <cell r="AE32">
            <v>105.57431389779593</v>
          </cell>
          <cell r="AF32">
            <v>108.21367174524082</v>
          </cell>
          <cell r="AG32">
            <v>110.91901353887184</v>
          </cell>
          <cell r="AH32">
            <v>113.69198887734363</v>
          </cell>
        </row>
        <row r="33">
          <cell r="A33" t="str">
            <v>Polymer Freight (West Asia)</v>
          </cell>
          <cell r="B33">
            <v>0</v>
          </cell>
          <cell r="C33">
            <v>0</v>
          </cell>
          <cell r="D33" t="str">
            <v>$/ton</v>
          </cell>
          <cell r="E33">
            <v>40</v>
          </cell>
          <cell r="F33">
            <v>40.76</v>
          </cell>
          <cell r="G33">
            <v>41.68</v>
          </cell>
          <cell r="H33">
            <v>42.72</v>
          </cell>
          <cell r="I33">
            <v>43.8</v>
          </cell>
          <cell r="J33">
            <v>44.92</v>
          </cell>
          <cell r="K33">
            <v>46.04</v>
          </cell>
          <cell r="L33">
            <v>47.160000000000004</v>
          </cell>
          <cell r="M33">
            <v>48.36</v>
          </cell>
          <cell r="N33">
            <v>49.56</v>
          </cell>
          <cell r="O33">
            <v>50.8</v>
          </cell>
          <cell r="P33">
            <v>52.08</v>
          </cell>
          <cell r="Q33">
            <v>53.36</v>
          </cell>
          <cell r="R33">
            <v>54.720000000000006</v>
          </cell>
          <cell r="S33">
            <v>56.08</v>
          </cell>
          <cell r="T33">
            <v>57.480000000000004</v>
          </cell>
          <cell r="U33">
            <v>58.92</v>
          </cell>
          <cell r="V33">
            <v>60.4</v>
          </cell>
          <cell r="W33">
            <v>61.92</v>
          </cell>
          <cell r="X33">
            <v>63.440000000000005</v>
          </cell>
          <cell r="Y33">
            <v>65.025999999999996</v>
          </cell>
          <cell r="Z33">
            <v>66.651650000000004</v>
          </cell>
          <cell r="AA33">
            <v>68.31794124999999</v>
          </cell>
          <cell r="AB33">
            <v>70.025889781249987</v>
          </cell>
          <cell r="AC33">
            <v>71.776537025781224</v>
          </cell>
          <cell r="AD33">
            <v>73.570950451425745</v>
          </cell>
          <cell r="AE33">
            <v>75.410224212711384</v>
          </cell>
          <cell r="AF33">
            <v>77.29547981802915</v>
          </cell>
          <cell r="AG33">
            <v>79.227866813479878</v>
          </cell>
          <cell r="AH33">
            <v>81.208563483816874</v>
          </cell>
        </row>
        <row r="34">
          <cell r="A34" t="str">
            <v>Polymer Freight (Iran)</v>
          </cell>
          <cell r="B34">
            <v>0</v>
          </cell>
          <cell r="C34">
            <v>0</v>
          </cell>
          <cell r="D34" t="str">
            <v>$/ton</v>
          </cell>
          <cell r="E34">
            <v>20</v>
          </cell>
          <cell r="F34">
            <v>20.38</v>
          </cell>
          <cell r="G34">
            <v>20.84</v>
          </cell>
          <cell r="H34">
            <v>21.36</v>
          </cell>
          <cell r="I34">
            <v>21.9</v>
          </cell>
          <cell r="J34">
            <v>22.46</v>
          </cell>
          <cell r="K34">
            <v>23.02</v>
          </cell>
          <cell r="L34">
            <v>23.580000000000002</v>
          </cell>
          <cell r="M34">
            <v>24.18</v>
          </cell>
          <cell r="N34">
            <v>24.78</v>
          </cell>
          <cell r="O34">
            <v>25.4</v>
          </cell>
          <cell r="P34">
            <v>26.04</v>
          </cell>
          <cell r="Q34">
            <v>26.68</v>
          </cell>
          <cell r="R34">
            <v>27.360000000000003</v>
          </cell>
          <cell r="S34">
            <v>28.04</v>
          </cell>
          <cell r="T34">
            <v>28.740000000000002</v>
          </cell>
          <cell r="U34">
            <v>29.46</v>
          </cell>
          <cell r="V34">
            <v>30.2</v>
          </cell>
          <cell r="W34">
            <v>30.96</v>
          </cell>
          <cell r="X34">
            <v>31.720000000000002</v>
          </cell>
          <cell r="Y34">
            <v>32.512999999999998</v>
          </cell>
          <cell r="Z34">
            <v>33.325825000000002</v>
          </cell>
          <cell r="AA34">
            <v>34.158970624999995</v>
          </cell>
          <cell r="AB34">
            <v>35.012944890624993</v>
          </cell>
          <cell r="AC34">
            <v>35.888268512890612</v>
          </cell>
          <cell r="AD34">
            <v>36.785475225712872</v>
          </cell>
          <cell r="AE34">
            <v>37.705112106355692</v>
          </cell>
          <cell r="AF34">
            <v>38.647739909014575</v>
          </cell>
          <cell r="AG34">
            <v>39.613933406739939</v>
          </cell>
          <cell r="AH34">
            <v>40.604281741908437</v>
          </cell>
        </row>
        <row r="35">
          <cell r="A35" t="str">
            <v>MEG Freight (Western Europe)</v>
          </cell>
          <cell r="B35">
            <v>0</v>
          </cell>
          <cell r="C35">
            <v>0</v>
          </cell>
          <cell r="D35" t="str">
            <v>$/ton</v>
          </cell>
          <cell r="E35">
            <v>67</v>
          </cell>
          <cell r="F35">
            <v>68.272999999999996</v>
          </cell>
          <cell r="G35">
            <v>69.814000000000007</v>
          </cell>
          <cell r="H35">
            <v>71.555999999999997</v>
          </cell>
          <cell r="I35">
            <v>73.364999999999995</v>
          </cell>
          <cell r="J35">
            <v>75.241</v>
          </cell>
          <cell r="K35">
            <v>77.117000000000004</v>
          </cell>
          <cell r="L35">
            <v>78.993000000000009</v>
          </cell>
          <cell r="M35">
            <v>81.003</v>
          </cell>
          <cell r="N35">
            <v>83.013000000000005</v>
          </cell>
          <cell r="O35">
            <v>85.09</v>
          </cell>
          <cell r="P35">
            <v>87.234000000000009</v>
          </cell>
          <cell r="Q35">
            <v>89.378</v>
          </cell>
          <cell r="R35">
            <v>91.656000000000006</v>
          </cell>
          <cell r="S35">
            <v>93.933999999999997</v>
          </cell>
          <cell r="T35">
            <v>96.279000000000011</v>
          </cell>
          <cell r="U35">
            <v>98.691000000000003</v>
          </cell>
          <cell r="V35">
            <v>101.17</v>
          </cell>
          <cell r="W35">
            <v>103.71600000000001</v>
          </cell>
          <cell r="X35">
            <v>106.262</v>
          </cell>
          <cell r="Y35">
            <v>108.91855</v>
          </cell>
          <cell r="Z35">
            <v>111.64151375</v>
          </cell>
          <cell r="AA35">
            <v>114.43255159374999</v>
          </cell>
          <cell r="AB35">
            <v>117.29336538359372</v>
          </cell>
          <cell r="AC35">
            <v>120.22569951818355</v>
          </cell>
          <cell r="AD35">
            <v>123.23134200613812</v>
          </cell>
          <cell r="AE35">
            <v>126.31212555629156</v>
          </cell>
          <cell r="AF35">
            <v>129.46992869519883</v>
          </cell>
          <cell r="AG35">
            <v>132.70667691257881</v>
          </cell>
          <cell r="AH35">
            <v>136.02434383539327</v>
          </cell>
        </row>
        <row r="36">
          <cell r="A36" t="str">
            <v>MEG Freight (East Asia)</v>
          </cell>
          <cell r="B36">
            <v>0</v>
          </cell>
          <cell r="C36">
            <v>0</v>
          </cell>
          <cell r="D36" t="str">
            <v>$/ton</v>
          </cell>
          <cell r="E36">
            <v>45</v>
          </cell>
          <cell r="F36">
            <v>45.854999999999997</v>
          </cell>
          <cell r="G36">
            <v>46.89</v>
          </cell>
          <cell r="H36">
            <v>48.06</v>
          </cell>
          <cell r="I36">
            <v>49.274999999999999</v>
          </cell>
          <cell r="J36">
            <v>50.534999999999997</v>
          </cell>
          <cell r="K36">
            <v>51.795000000000002</v>
          </cell>
          <cell r="L36">
            <v>53.055</v>
          </cell>
          <cell r="M36">
            <v>54.405000000000001</v>
          </cell>
          <cell r="N36">
            <v>55.755000000000003</v>
          </cell>
          <cell r="O36">
            <v>57.15</v>
          </cell>
          <cell r="P36">
            <v>58.59</v>
          </cell>
          <cell r="Q36">
            <v>60.03</v>
          </cell>
          <cell r="R36">
            <v>61.56</v>
          </cell>
          <cell r="S36">
            <v>63.089999999999996</v>
          </cell>
          <cell r="T36">
            <v>64.665000000000006</v>
          </cell>
          <cell r="U36">
            <v>66.285000000000011</v>
          </cell>
          <cell r="V36">
            <v>67.95</v>
          </cell>
          <cell r="W36">
            <v>69.66</v>
          </cell>
          <cell r="X36">
            <v>71.37</v>
          </cell>
          <cell r="Y36">
            <v>73.154250000000005</v>
          </cell>
          <cell r="Z36">
            <v>74.983106250000006</v>
          </cell>
          <cell r="AA36">
            <v>76.857683906249989</v>
          </cell>
          <cell r="AB36">
            <v>78.779126003906228</v>
          </cell>
          <cell r="AC36">
            <v>80.748604154003871</v>
          </cell>
          <cell r="AD36">
            <v>82.767319257853956</v>
          </cell>
          <cell r="AE36">
            <v>84.836502239300302</v>
          </cell>
          <cell r="AF36">
            <v>86.957414795282801</v>
          </cell>
          <cell r="AG36">
            <v>89.131350165164861</v>
          </cell>
          <cell r="AH36">
            <v>91.359633919293984</v>
          </cell>
        </row>
        <row r="37">
          <cell r="A37" t="str">
            <v>MEG Freight (West Asia)</v>
          </cell>
          <cell r="B37">
            <v>0</v>
          </cell>
          <cell r="C37">
            <v>0</v>
          </cell>
          <cell r="D37" t="str">
            <v>$/ton</v>
          </cell>
          <cell r="E37">
            <v>40</v>
          </cell>
          <cell r="F37">
            <v>40.76</v>
          </cell>
          <cell r="G37">
            <v>41.68</v>
          </cell>
          <cell r="H37">
            <v>42.72</v>
          </cell>
          <cell r="I37">
            <v>43.8</v>
          </cell>
          <cell r="J37">
            <v>44.92</v>
          </cell>
          <cell r="K37">
            <v>46.04</v>
          </cell>
          <cell r="L37">
            <v>47.160000000000004</v>
          </cell>
          <cell r="M37">
            <v>48.36</v>
          </cell>
          <cell r="N37">
            <v>49.56</v>
          </cell>
          <cell r="O37">
            <v>50.8</v>
          </cell>
          <cell r="P37">
            <v>52.08</v>
          </cell>
          <cell r="Q37">
            <v>53.36</v>
          </cell>
          <cell r="R37">
            <v>54.720000000000006</v>
          </cell>
          <cell r="S37">
            <v>56.08</v>
          </cell>
          <cell r="T37">
            <v>57.480000000000004</v>
          </cell>
          <cell r="U37">
            <v>58.92</v>
          </cell>
          <cell r="V37">
            <v>60.4</v>
          </cell>
          <cell r="W37">
            <v>61.92</v>
          </cell>
          <cell r="X37">
            <v>63.440000000000005</v>
          </cell>
          <cell r="Y37">
            <v>65.025999999999996</v>
          </cell>
          <cell r="Z37">
            <v>66.651650000000004</v>
          </cell>
          <cell r="AA37">
            <v>68.31794124999999</v>
          </cell>
          <cell r="AB37">
            <v>70.025889781249987</v>
          </cell>
          <cell r="AC37">
            <v>71.776537025781224</v>
          </cell>
          <cell r="AD37">
            <v>73.570950451425745</v>
          </cell>
          <cell r="AE37">
            <v>75.410224212711384</v>
          </cell>
          <cell r="AF37">
            <v>77.29547981802915</v>
          </cell>
          <cell r="AG37">
            <v>79.227866813479878</v>
          </cell>
          <cell r="AH37">
            <v>81.208563483816874</v>
          </cell>
        </row>
        <row r="38">
          <cell r="A38" t="str">
            <v>MEG Freight (Iran)</v>
          </cell>
          <cell r="B38">
            <v>0</v>
          </cell>
          <cell r="C38">
            <v>0</v>
          </cell>
          <cell r="D38" t="str">
            <v>$/ton</v>
          </cell>
          <cell r="E38">
            <v>20</v>
          </cell>
          <cell r="F38">
            <v>20.38</v>
          </cell>
          <cell r="G38">
            <v>20.84</v>
          </cell>
          <cell r="H38">
            <v>21.36</v>
          </cell>
          <cell r="I38">
            <v>21.9</v>
          </cell>
          <cell r="J38">
            <v>22.46</v>
          </cell>
          <cell r="K38">
            <v>23.02</v>
          </cell>
          <cell r="L38">
            <v>23.580000000000002</v>
          </cell>
          <cell r="M38">
            <v>24.18</v>
          </cell>
          <cell r="N38">
            <v>24.78</v>
          </cell>
          <cell r="O38">
            <v>25.4</v>
          </cell>
          <cell r="P38">
            <v>26.04</v>
          </cell>
          <cell r="Q38">
            <v>26.68</v>
          </cell>
          <cell r="R38">
            <v>27.360000000000003</v>
          </cell>
          <cell r="S38">
            <v>28.04</v>
          </cell>
          <cell r="T38">
            <v>28.740000000000002</v>
          </cell>
          <cell r="U38">
            <v>29.46</v>
          </cell>
          <cell r="V38">
            <v>30.2</v>
          </cell>
          <cell r="W38">
            <v>30.96</v>
          </cell>
          <cell r="X38">
            <v>31.720000000000002</v>
          </cell>
          <cell r="Y38">
            <v>32.512999999999998</v>
          </cell>
          <cell r="Z38">
            <v>33.325825000000002</v>
          </cell>
          <cell r="AA38">
            <v>34.158970624999995</v>
          </cell>
          <cell r="AB38">
            <v>35.012944890624993</v>
          </cell>
          <cell r="AC38">
            <v>35.888268512890612</v>
          </cell>
          <cell r="AD38">
            <v>36.785475225712872</v>
          </cell>
          <cell r="AE38">
            <v>37.705112106355692</v>
          </cell>
          <cell r="AF38">
            <v>38.647739909014575</v>
          </cell>
          <cell r="AG38">
            <v>39.613933406739939</v>
          </cell>
          <cell r="AH38">
            <v>40.604281741908437</v>
          </cell>
        </row>
        <row r="39">
          <cell r="A39" t="str">
            <v>Styrene Freight (Western Europe)</v>
          </cell>
          <cell r="B39">
            <v>0</v>
          </cell>
          <cell r="C39">
            <v>0</v>
          </cell>
          <cell r="D39" t="str">
            <v>$/ton</v>
          </cell>
          <cell r="E39">
            <v>70</v>
          </cell>
          <cell r="F39">
            <v>71.33</v>
          </cell>
          <cell r="G39">
            <v>72.94</v>
          </cell>
          <cell r="H39">
            <v>74.760000000000005</v>
          </cell>
          <cell r="I39">
            <v>76.649999999999991</v>
          </cell>
          <cell r="J39">
            <v>78.61</v>
          </cell>
          <cell r="K39">
            <v>80.570000000000007</v>
          </cell>
          <cell r="L39">
            <v>82.53</v>
          </cell>
          <cell r="M39">
            <v>84.63000000000001</v>
          </cell>
          <cell r="N39">
            <v>86.73</v>
          </cell>
          <cell r="O39">
            <v>88.9</v>
          </cell>
          <cell r="P39">
            <v>91.14</v>
          </cell>
          <cell r="Q39">
            <v>93.38000000000001</v>
          </cell>
          <cell r="R39">
            <v>95.76</v>
          </cell>
          <cell r="S39">
            <v>98.14</v>
          </cell>
          <cell r="T39">
            <v>100.59</v>
          </cell>
          <cell r="U39">
            <v>103.11</v>
          </cell>
          <cell r="V39">
            <v>105.7</v>
          </cell>
          <cell r="W39">
            <v>108.36</v>
          </cell>
          <cell r="X39">
            <v>111.02000000000001</v>
          </cell>
          <cell r="Y39">
            <v>113.7955</v>
          </cell>
          <cell r="Z39">
            <v>116.6403875</v>
          </cell>
          <cell r="AA39">
            <v>119.55639718749998</v>
          </cell>
          <cell r="AB39">
            <v>122.54530711718746</v>
          </cell>
          <cell r="AC39">
            <v>125.60893979511714</v>
          </cell>
          <cell r="AD39">
            <v>128.74916328999504</v>
          </cell>
          <cell r="AE39">
            <v>131.9678923722449</v>
          </cell>
          <cell r="AF39">
            <v>135.26708968155103</v>
          </cell>
          <cell r="AG39">
            <v>138.64876692358979</v>
          </cell>
          <cell r="AH39">
            <v>142.11498609667953</v>
          </cell>
        </row>
        <row r="40">
          <cell r="A40" t="str">
            <v>Styrene Freight (East Asia)</v>
          </cell>
          <cell r="B40">
            <v>0</v>
          </cell>
          <cell r="C40">
            <v>0</v>
          </cell>
          <cell r="D40" t="str">
            <v>$/ton</v>
          </cell>
          <cell r="E40">
            <v>47</v>
          </cell>
          <cell r="F40">
            <v>47.892999999999994</v>
          </cell>
          <cell r="G40">
            <v>48.974000000000004</v>
          </cell>
          <cell r="H40">
            <v>50.196000000000005</v>
          </cell>
          <cell r="I40">
            <v>51.464999999999996</v>
          </cell>
          <cell r="J40">
            <v>52.780999999999999</v>
          </cell>
          <cell r="K40">
            <v>54.097000000000001</v>
          </cell>
          <cell r="L40">
            <v>55.413000000000004</v>
          </cell>
          <cell r="M40">
            <v>56.823</v>
          </cell>
          <cell r="N40">
            <v>58.233000000000004</v>
          </cell>
          <cell r="O40">
            <v>59.69</v>
          </cell>
          <cell r="P40">
            <v>61.194000000000003</v>
          </cell>
          <cell r="Q40">
            <v>62.698</v>
          </cell>
          <cell r="R40">
            <v>64.296000000000006</v>
          </cell>
          <cell r="S40">
            <v>65.893999999999991</v>
          </cell>
          <cell r="T40">
            <v>67.539000000000001</v>
          </cell>
          <cell r="U40">
            <v>69.231000000000009</v>
          </cell>
          <cell r="V40">
            <v>70.97</v>
          </cell>
          <cell r="W40">
            <v>72.756</v>
          </cell>
          <cell r="X40">
            <v>74.542000000000002</v>
          </cell>
          <cell r="Y40">
            <v>76.405550000000005</v>
          </cell>
          <cell r="Z40">
            <v>78.315688750000007</v>
          </cell>
          <cell r="AA40">
            <v>80.273580968749997</v>
          </cell>
          <cell r="AB40">
            <v>82.28042049296873</v>
          </cell>
          <cell r="AC40">
            <v>84.337431005292942</v>
          </cell>
          <cell r="AD40">
            <v>86.445866780425249</v>
          </cell>
          <cell r="AE40">
            <v>88.607013449935863</v>
          </cell>
          <cell r="AF40">
            <v>90.822188786184256</v>
          </cell>
          <cell r="AG40">
            <v>93.092743505838854</v>
          </cell>
          <cell r="AH40">
            <v>95.42006209348483</v>
          </cell>
        </row>
        <row r="41">
          <cell r="A41" t="str">
            <v>Styrene Freight (West Asia)</v>
          </cell>
          <cell r="B41">
            <v>0</v>
          </cell>
          <cell r="C41">
            <v>0</v>
          </cell>
          <cell r="D41" t="str">
            <v>$/ton</v>
          </cell>
          <cell r="E41">
            <v>42</v>
          </cell>
          <cell r="F41">
            <v>42.797999999999995</v>
          </cell>
          <cell r="G41">
            <v>43.764000000000003</v>
          </cell>
          <cell r="H41">
            <v>44.856000000000002</v>
          </cell>
          <cell r="I41">
            <v>45.99</v>
          </cell>
          <cell r="J41">
            <v>47.165999999999997</v>
          </cell>
          <cell r="K41">
            <v>48.341999999999999</v>
          </cell>
          <cell r="L41">
            <v>49.518000000000001</v>
          </cell>
          <cell r="M41">
            <v>50.778000000000006</v>
          </cell>
          <cell r="N41">
            <v>52.038000000000004</v>
          </cell>
          <cell r="O41">
            <v>53.34</v>
          </cell>
          <cell r="P41">
            <v>54.684000000000005</v>
          </cell>
          <cell r="Q41">
            <v>56.028000000000006</v>
          </cell>
          <cell r="R41">
            <v>57.456000000000003</v>
          </cell>
          <cell r="S41">
            <v>58.883999999999993</v>
          </cell>
          <cell r="T41">
            <v>60.353999999999999</v>
          </cell>
          <cell r="U41">
            <v>61.866000000000007</v>
          </cell>
          <cell r="V41">
            <v>63.42</v>
          </cell>
          <cell r="W41">
            <v>65.016000000000005</v>
          </cell>
          <cell r="X41">
            <v>66.612000000000009</v>
          </cell>
          <cell r="Y41">
            <v>68.277299999999997</v>
          </cell>
          <cell r="Z41">
            <v>69.984232500000005</v>
          </cell>
          <cell r="AA41">
            <v>71.733838312499998</v>
          </cell>
          <cell r="AB41">
            <v>73.527184270312475</v>
          </cell>
          <cell r="AC41">
            <v>75.36536387707028</v>
          </cell>
          <cell r="AD41">
            <v>77.249497973997023</v>
          </cell>
          <cell r="AE41">
            <v>79.180735423346945</v>
          </cell>
          <cell r="AF41">
            <v>81.160253808930619</v>
          </cell>
          <cell r="AG41">
            <v>83.189260154153871</v>
          </cell>
          <cell r="AH41">
            <v>85.268991658007721</v>
          </cell>
        </row>
        <row r="42">
          <cell r="A42" t="str">
            <v>Styrene Freight (Iran)</v>
          </cell>
          <cell r="B42">
            <v>0</v>
          </cell>
          <cell r="C42">
            <v>0</v>
          </cell>
          <cell r="D42" t="str">
            <v>$/ton</v>
          </cell>
          <cell r="E42">
            <v>21.5</v>
          </cell>
          <cell r="F42">
            <v>21.908499999999997</v>
          </cell>
          <cell r="G42">
            <v>22.403000000000002</v>
          </cell>
          <cell r="H42">
            <v>22.962</v>
          </cell>
          <cell r="I42">
            <v>23.5425</v>
          </cell>
          <cell r="J42">
            <v>24.144500000000001</v>
          </cell>
          <cell r="K42">
            <v>24.746500000000001</v>
          </cell>
          <cell r="L42">
            <v>25.348500000000001</v>
          </cell>
          <cell r="M42">
            <v>25.993500000000001</v>
          </cell>
          <cell r="N42">
            <v>26.638500000000001</v>
          </cell>
          <cell r="O42">
            <v>27.305</v>
          </cell>
          <cell r="P42">
            <v>27.993000000000002</v>
          </cell>
          <cell r="Q42">
            <v>28.681000000000001</v>
          </cell>
          <cell r="R42">
            <v>29.412000000000003</v>
          </cell>
          <cell r="S42">
            <v>30.142999999999997</v>
          </cell>
          <cell r="T42">
            <v>30.895500000000002</v>
          </cell>
          <cell r="U42">
            <v>31.669500000000003</v>
          </cell>
          <cell r="V42">
            <v>32.465000000000003</v>
          </cell>
          <cell r="W42">
            <v>33.282000000000004</v>
          </cell>
          <cell r="X42">
            <v>34.099000000000004</v>
          </cell>
          <cell r="Y42">
            <v>34.951475000000002</v>
          </cell>
          <cell r="Z42">
            <v>35.825261875000002</v>
          </cell>
          <cell r="AA42">
            <v>36.720893421874997</v>
          </cell>
          <cell r="AB42">
            <v>37.638915757421863</v>
          </cell>
          <cell r="AC42">
            <v>38.579888651357408</v>
          </cell>
          <cell r="AD42">
            <v>39.544385867641338</v>
          </cell>
          <cell r="AE42">
            <v>40.532995514332363</v>
          </cell>
          <cell r="AF42">
            <v>41.546320402190673</v>
          </cell>
          <cell r="AG42">
            <v>42.584978412245434</v>
          </cell>
          <cell r="AH42">
            <v>43.649602872551569</v>
          </cell>
        </row>
        <row r="43">
          <cell r="A43" t="str">
            <v>Packaging</v>
          </cell>
          <cell r="B43">
            <v>0</v>
          </cell>
          <cell r="C43">
            <v>0</v>
          </cell>
          <cell r="D43" t="str">
            <v>$/ton</v>
          </cell>
          <cell r="E43">
            <v>15</v>
          </cell>
          <cell r="F43">
            <v>15.284999999999998</v>
          </cell>
          <cell r="G43">
            <v>15.63</v>
          </cell>
          <cell r="H43">
            <v>16.02</v>
          </cell>
          <cell r="I43">
            <v>16.425000000000001</v>
          </cell>
          <cell r="J43">
            <v>16.844999999999999</v>
          </cell>
          <cell r="K43">
            <v>17.265000000000001</v>
          </cell>
          <cell r="L43">
            <v>17.685000000000002</v>
          </cell>
          <cell r="M43">
            <v>18.135000000000002</v>
          </cell>
          <cell r="N43">
            <v>18.585000000000001</v>
          </cell>
          <cell r="O43">
            <v>19.05</v>
          </cell>
          <cell r="P43">
            <v>19.53</v>
          </cell>
          <cell r="Q43">
            <v>20.010000000000002</v>
          </cell>
          <cell r="R43">
            <v>20.520000000000003</v>
          </cell>
          <cell r="S43">
            <v>21.029999999999998</v>
          </cell>
          <cell r="T43">
            <v>21.555</v>
          </cell>
          <cell r="U43">
            <v>22.095000000000002</v>
          </cell>
          <cell r="V43">
            <v>22.65</v>
          </cell>
          <cell r="W43">
            <v>23.22</v>
          </cell>
          <cell r="X43">
            <v>23.790000000000003</v>
          </cell>
          <cell r="Y43">
            <v>24.38475</v>
          </cell>
          <cell r="Z43">
            <v>24.99436875</v>
          </cell>
          <cell r="AA43">
            <v>25.619227968749996</v>
          </cell>
          <cell r="AB43">
            <v>26.259708667968741</v>
          </cell>
          <cell r="AC43">
            <v>26.916201384667957</v>
          </cell>
          <cell r="AD43">
            <v>27.589106419284654</v>
          </cell>
          <cell r="AE43">
            <v>28.278834079766767</v>
          </cell>
          <cell r="AF43">
            <v>28.985804931760935</v>
          </cell>
          <cell r="AG43">
            <v>29.710450055054956</v>
          </cell>
          <cell r="AH43">
            <v>30.453211306431328</v>
          </cell>
        </row>
        <row r="44">
          <cell r="A44" t="str">
            <v>Sales Support (LLDPE)</v>
          </cell>
          <cell r="B44">
            <v>0</v>
          </cell>
          <cell r="C44">
            <v>0</v>
          </cell>
          <cell r="D44" t="str">
            <v>$/ton</v>
          </cell>
          <cell r="E44">
            <v>28.337500000000002</v>
          </cell>
          <cell r="F44">
            <v>27.054449999999999</v>
          </cell>
          <cell r="G44">
            <v>32.823</v>
          </cell>
          <cell r="H44">
            <v>33.588600000000007</v>
          </cell>
          <cell r="I44">
            <v>34.4925</v>
          </cell>
          <cell r="J44">
            <v>34.9253</v>
          </cell>
          <cell r="K44">
            <v>35.335700000000003</v>
          </cell>
          <cell r="L44">
            <v>35.782650000000004</v>
          </cell>
          <cell r="M44">
            <v>36.209550000000007</v>
          </cell>
          <cell r="N44">
            <v>36.612450000000003</v>
          </cell>
          <cell r="O44">
            <v>37.147500000000001</v>
          </cell>
          <cell r="P44">
            <v>37.758000000000003</v>
          </cell>
          <cell r="Q44">
            <v>38.352499999999999</v>
          </cell>
          <cell r="R44">
            <v>38.988</v>
          </cell>
          <cell r="S44">
            <v>39.606499999999997</v>
          </cell>
          <cell r="T44">
            <v>40.236000000000004</v>
          </cell>
          <cell r="U44">
            <v>40.949400000000004</v>
          </cell>
          <cell r="V44">
            <v>41.600500000000004</v>
          </cell>
          <cell r="W44">
            <v>42.260400000000004</v>
          </cell>
          <cell r="X44">
            <v>42.901300000000006</v>
          </cell>
          <cell r="Y44">
            <v>43.571141726190483</v>
          </cell>
          <cell r="Z44">
            <v>44.251442061750502</v>
          </cell>
          <cell r="AA44">
            <v>44.942364302732962</v>
          </cell>
          <cell r="AB44">
            <v>45.644074294822332</v>
          </cell>
          <cell r="AC44">
            <v>46.356740473143482</v>
          </cell>
          <cell r="AD44">
            <v>47.080533902692096</v>
          </cell>
          <cell r="AE44">
            <v>47.815628319396204</v>
          </cell>
          <cell r="AF44">
            <v>48.562200171818994</v>
          </cell>
          <cell r="AG44">
            <v>49.320428663512679</v>
          </cell>
          <cell r="AH44">
            <v>50.090495796033636</v>
          </cell>
        </row>
        <row r="45">
          <cell r="A45" t="str">
            <v>Sales Support (HDPE)</v>
          </cell>
          <cell r="B45">
            <v>0</v>
          </cell>
          <cell r="C45">
            <v>0</v>
          </cell>
          <cell r="D45" t="str">
            <v>$/ton</v>
          </cell>
          <cell r="E45">
            <v>28.911500000000004</v>
          </cell>
          <cell r="F45">
            <v>25.627849999999999</v>
          </cell>
          <cell r="G45">
            <v>31.364200000000004</v>
          </cell>
          <cell r="H45">
            <v>32.146800000000006</v>
          </cell>
          <cell r="I45">
            <v>33.014250000000004</v>
          </cell>
          <cell r="J45">
            <v>33.40925</v>
          </cell>
          <cell r="K45">
            <v>33.781850000000006</v>
          </cell>
          <cell r="L45">
            <v>34.249950000000005</v>
          </cell>
          <cell r="M45">
            <v>34.577400000000004</v>
          </cell>
          <cell r="N45">
            <v>34.939800000000005</v>
          </cell>
          <cell r="O45">
            <v>35.496500000000005</v>
          </cell>
          <cell r="P45">
            <v>36.000300000000003</v>
          </cell>
          <cell r="Q45">
            <v>36.618300000000005</v>
          </cell>
          <cell r="R45">
            <v>37.141200000000005</v>
          </cell>
          <cell r="S45">
            <v>37.713799999999999</v>
          </cell>
          <cell r="T45">
            <v>38.296050000000001</v>
          </cell>
          <cell r="U45">
            <v>38.960850000000008</v>
          </cell>
          <cell r="V45">
            <v>39.562000000000005</v>
          </cell>
          <cell r="W45">
            <v>40.170600000000007</v>
          </cell>
          <cell r="X45">
            <v>40.760200000000005</v>
          </cell>
          <cell r="Y45">
            <v>41.37670784200386</v>
          </cell>
          <cell r="Z45">
            <v>42.002540513602568</v>
          </cell>
          <cell r="AA45">
            <v>42.637839055089621</v>
          </cell>
          <cell r="AB45">
            <v>43.2827466400269</v>
          </cell>
          <cell r="AC45">
            <v>43.937408607510925</v>
          </cell>
          <cell r="AD45">
            <v>44.601972494927026</v>
          </cell>
          <cell r="AE45">
            <v>45.276588071199029</v>
          </cell>
          <cell r="AF45">
            <v>45.961407370541821</v>
          </cell>
          <cell r="AG45">
            <v>46.656584726724383</v>
          </cell>
          <cell r="AH45">
            <v>47.362276807851131</v>
          </cell>
        </row>
        <row r="46">
          <cell r="A46" t="str">
            <v>Sales Support (MEG)</v>
          </cell>
          <cell r="B46">
            <v>0</v>
          </cell>
          <cell r="C46">
            <v>0</v>
          </cell>
          <cell r="D46" t="str">
            <v>$/ton</v>
          </cell>
          <cell r="E46">
            <v>12.949374899999999</v>
          </cell>
          <cell r="F46">
            <v>12.289139999999998</v>
          </cell>
          <cell r="G46">
            <v>14.25456</v>
          </cell>
          <cell r="H46">
            <v>13.200480000000001</v>
          </cell>
          <cell r="I46">
            <v>13.567049999999998</v>
          </cell>
          <cell r="J46">
            <v>13.711829999999999</v>
          </cell>
          <cell r="K46">
            <v>13.84653</v>
          </cell>
          <cell r="L46">
            <v>14.00652</v>
          </cell>
          <cell r="M46">
            <v>14.181570000000001</v>
          </cell>
          <cell r="N46">
            <v>14.310449999999999</v>
          </cell>
          <cell r="O46">
            <v>14.5161</v>
          </cell>
          <cell r="P46">
            <v>14.725619999999999</v>
          </cell>
          <cell r="Q46">
            <v>14.96748</v>
          </cell>
          <cell r="R46">
            <v>15.184800000000001</v>
          </cell>
          <cell r="S46">
            <v>15.478079999999999</v>
          </cell>
          <cell r="T46">
            <v>15.69204</v>
          </cell>
          <cell r="U46">
            <v>15.952590000000001</v>
          </cell>
          <cell r="V46">
            <v>16.217400000000001</v>
          </cell>
          <cell r="W46">
            <v>16.4862</v>
          </cell>
          <cell r="X46">
            <v>16.700579999999999</v>
          </cell>
          <cell r="Y46">
            <v>16.925214561971831</v>
          </cell>
          <cell r="Z46">
            <v>17.152870616995536</v>
          </cell>
          <cell r="AA46">
            <v>17.383588806280478</v>
          </cell>
          <cell r="AB46">
            <v>17.617410317688893</v>
          </cell>
          <cell r="AC46">
            <v>17.854376893088794</v>
          </cell>
          <cell r="AD46">
            <v>18.784209224817129</v>
          </cell>
          <cell r="AE46">
            <v>19.15461403590524</v>
          </cell>
          <cell r="AF46">
            <v>19.531798956782254</v>
          </cell>
          <cell r="AG46">
            <v>19.915871489930669</v>
          </cell>
          <cell r="AH46">
            <v>20.306940275388524</v>
          </cell>
        </row>
        <row r="47">
          <cell r="A47" t="str">
            <v>Sales Support (Styrene)</v>
          </cell>
          <cell r="B47">
            <v>0</v>
          </cell>
          <cell r="C47">
            <v>0</v>
          </cell>
          <cell r="D47" t="str">
            <v>$/ton</v>
          </cell>
          <cell r="E47">
            <v>14.783849999999999</v>
          </cell>
          <cell r="F47">
            <v>12.319709999999999</v>
          </cell>
          <cell r="G47">
            <v>17.161739999999998</v>
          </cell>
          <cell r="H47">
            <v>17.39772</v>
          </cell>
          <cell r="I47">
            <v>17.640449999999998</v>
          </cell>
          <cell r="J47">
            <v>17.788319999999999</v>
          </cell>
          <cell r="K47">
            <v>18.024660000000001</v>
          </cell>
          <cell r="L47">
            <v>18.286290000000001</v>
          </cell>
          <cell r="M47">
            <v>18.53397</v>
          </cell>
          <cell r="N47">
            <v>18.808020000000003</v>
          </cell>
          <cell r="O47">
            <v>19.126199999999997</v>
          </cell>
          <cell r="P47">
            <v>19.451879999999999</v>
          </cell>
          <cell r="Q47">
            <v>19.809899999999999</v>
          </cell>
          <cell r="R47">
            <v>20.191680000000002</v>
          </cell>
          <cell r="S47">
            <v>20.525279999999999</v>
          </cell>
          <cell r="T47">
            <v>20.908349999999999</v>
          </cell>
          <cell r="U47">
            <v>21.299579999999999</v>
          </cell>
          <cell r="V47">
            <v>21.698699999999999</v>
          </cell>
          <cell r="W47">
            <v>22.105439999999998</v>
          </cell>
          <cell r="X47">
            <v>22.50534</v>
          </cell>
          <cell r="Y47">
            <v>22.922587112394957</v>
          </cell>
          <cell r="Z47">
            <v>23.347569951190934</v>
          </cell>
          <cell r="AA47">
            <v>23.780431936105341</v>
          </cell>
          <cell r="AB47">
            <v>24.221319145845101</v>
          </cell>
          <cell r="AC47">
            <v>24.670380367404093</v>
          </cell>
          <cell r="AD47">
            <v>25.117452178491529</v>
          </cell>
          <cell r="AE47">
            <v>25.567342989755481</v>
          </cell>
          <cell r="AF47">
            <v>26.025292012521998</v>
          </cell>
          <cell r="AG47">
            <v>26.491443581307347</v>
          </cell>
          <cell r="AH47">
            <v>26.965944615873006</v>
          </cell>
        </row>
        <row r="48">
          <cell r="A48" t="str">
            <v>LLDPE price (Western Europe)</v>
          </cell>
          <cell r="B48">
            <v>0</v>
          </cell>
          <cell r="C48">
            <v>0</v>
          </cell>
          <cell r="D48" t="str">
            <v>$/ton</v>
          </cell>
          <cell r="E48">
            <v>623.77266671155905</v>
          </cell>
          <cell r="F48">
            <v>640.02978399268511</v>
          </cell>
          <cell r="G48">
            <v>627.34633444320423</v>
          </cell>
          <cell r="H48">
            <v>635.86551514896905</v>
          </cell>
          <cell r="I48">
            <v>633.51709875493214</v>
          </cell>
          <cell r="J48">
            <v>641.18641724338329</v>
          </cell>
          <cell r="K48">
            <v>649.86760728656941</v>
          </cell>
          <cell r="L48">
            <v>657.87986305880293</v>
          </cell>
          <cell r="M48">
            <v>687.70567510775834</v>
          </cell>
          <cell r="N48">
            <v>696.95216420479846</v>
          </cell>
          <cell r="O48">
            <v>709.64221079593221</v>
          </cell>
          <cell r="P48">
            <v>721.791848865926</v>
          </cell>
          <cell r="Q48">
            <v>734.0430353444757</v>
          </cell>
          <cell r="R48">
            <v>746.98656513890705</v>
          </cell>
          <cell r="S48">
            <v>759.04804488098137</v>
          </cell>
          <cell r="T48">
            <v>772.43386986249266</v>
          </cell>
          <cell r="U48">
            <v>785.98212635551852</v>
          </cell>
          <cell r="V48">
            <v>799.97670010011939</v>
          </cell>
          <cell r="W48">
            <v>814.29517281285587</v>
          </cell>
          <cell r="X48">
            <v>828.40877348461947</v>
          </cell>
          <cell r="Y48">
            <v>843.12916054936306</v>
          </cell>
          <cell r="Z48">
            <v>858.10104172724584</v>
          </cell>
          <cell r="AA48">
            <v>873.32841939239927</v>
          </cell>
          <cell r="AB48">
            <v>888.8153507186795</v>
          </cell>
          <cell r="AC48">
            <v>904.5659481423636</v>
          </cell>
          <cell r="AD48">
            <v>920.58437981796931</v>
          </cell>
          <cell r="AE48">
            <v>936.87487006664117</v>
          </cell>
          <cell r="AF48">
            <v>953.44169981653147</v>
          </cell>
          <cell r="AG48">
            <v>970.28920703457686</v>
          </cell>
          <cell r="AH48">
            <v>987.42178714904992</v>
          </cell>
        </row>
        <row r="49">
          <cell r="A49" t="str">
            <v>LLDPE price (East Asia)</v>
          </cell>
          <cell r="B49">
            <v>0</v>
          </cell>
          <cell r="C49">
            <v>0</v>
          </cell>
          <cell r="D49" t="str">
            <v>$/ton</v>
          </cell>
          <cell r="E49">
            <v>549.74749999999995</v>
          </cell>
          <cell r="F49">
            <v>524.85632999999996</v>
          </cell>
          <cell r="G49">
            <v>636.76620000000003</v>
          </cell>
          <cell r="H49">
            <v>651.61883999999998</v>
          </cell>
          <cell r="I49">
            <v>669.15449999999998</v>
          </cell>
          <cell r="J49">
            <v>677.55081999999993</v>
          </cell>
          <cell r="K49">
            <v>685.51258000000007</v>
          </cell>
          <cell r="L49">
            <v>694.18340999999998</v>
          </cell>
          <cell r="M49">
            <v>724.19100000000003</v>
          </cell>
          <cell r="N49">
            <v>732.24900000000002</v>
          </cell>
          <cell r="O49">
            <v>742.95</v>
          </cell>
          <cell r="P49">
            <v>755.16000000000008</v>
          </cell>
          <cell r="Q49">
            <v>767.05000000000007</v>
          </cell>
          <cell r="R49">
            <v>779.7600000000001</v>
          </cell>
          <cell r="S49">
            <v>792.13</v>
          </cell>
          <cell r="T49">
            <v>804.72</v>
          </cell>
          <cell r="U49">
            <v>818.98800000000006</v>
          </cell>
          <cell r="V49">
            <v>832.01</v>
          </cell>
          <cell r="W49">
            <v>845.20799999999997</v>
          </cell>
          <cell r="X49">
            <v>858.02600000000007</v>
          </cell>
          <cell r="Y49">
            <v>871.42283452380957</v>
          </cell>
          <cell r="Z49">
            <v>885.02884123500996</v>
          </cell>
          <cell r="AA49">
            <v>898.84728605465909</v>
          </cell>
          <cell r="AB49">
            <v>912.88148589644652</v>
          </cell>
          <cell r="AC49">
            <v>927.13480946286973</v>
          </cell>
          <cell r="AD49">
            <v>941.61067805384187</v>
          </cell>
          <cell r="AE49">
            <v>956.31256638792399</v>
          </cell>
          <cell r="AF49">
            <v>971.2440034363799</v>
          </cell>
          <cell r="AG49">
            <v>986.40857327025356</v>
          </cell>
          <cell r="AH49">
            <v>1001.8099159206726</v>
          </cell>
        </row>
        <row r="50">
          <cell r="A50" t="str">
            <v>LLDPE price (West Asia)</v>
          </cell>
          <cell r="B50">
            <v>0</v>
          </cell>
          <cell r="C50">
            <v>0</v>
          </cell>
          <cell r="D50" t="str">
            <v>$/ton</v>
          </cell>
          <cell r="E50">
            <v>549.74749999999995</v>
          </cell>
          <cell r="F50">
            <v>524.85632999999996</v>
          </cell>
          <cell r="G50">
            <v>636.76620000000003</v>
          </cell>
          <cell r="H50">
            <v>651.61883999999998</v>
          </cell>
          <cell r="I50">
            <v>669.15449999999998</v>
          </cell>
          <cell r="J50">
            <v>677.55081999999993</v>
          </cell>
          <cell r="K50">
            <v>685.51258000000007</v>
          </cell>
          <cell r="L50">
            <v>694.18340999999998</v>
          </cell>
          <cell r="M50">
            <v>724.19100000000003</v>
          </cell>
          <cell r="N50">
            <v>732.24900000000002</v>
          </cell>
          <cell r="O50">
            <v>742.95</v>
          </cell>
          <cell r="P50">
            <v>755.16000000000008</v>
          </cell>
          <cell r="Q50">
            <v>767.05000000000007</v>
          </cell>
          <cell r="R50">
            <v>779.7600000000001</v>
          </cell>
          <cell r="S50">
            <v>792.13</v>
          </cell>
          <cell r="T50">
            <v>804.72</v>
          </cell>
          <cell r="U50">
            <v>818.98800000000006</v>
          </cell>
          <cell r="V50">
            <v>832.01</v>
          </cell>
          <cell r="W50">
            <v>845.20799999999997</v>
          </cell>
          <cell r="X50">
            <v>858.02600000000007</v>
          </cell>
          <cell r="Y50">
            <v>871.42283452380957</v>
          </cell>
          <cell r="Z50">
            <v>885.02884123500996</v>
          </cell>
          <cell r="AA50">
            <v>898.84728605465909</v>
          </cell>
          <cell r="AB50">
            <v>912.88148589644652</v>
          </cell>
          <cell r="AC50">
            <v>927.13480946286973</v>
          </cell>
          <cell r="AD50">
            <v>941.61067805384187</v>
          </cell>
          <cell r="AE50">
            <v>956.31256638792399</v>
          </cell>
          <cell r="AF50">
            <v>971.2440034363799</v>
          </cell>
          <cell r="AG50">
            <v>986.40857327025356</v>
          </cell>
          <cell r="AH50">
            <v>1001.8099159206726</v>
          </cell>
        </row>
        <row r="51">
          <cell r="A51" t="str">
            <v>LLDPE price (Iran)</v>
          </cell>
          <cell r="B51">
            <v>0</v>
          </cell>
          <cell r="C51">
            <v>0</v>
          </cell>
          <cell r="D51" t="str">
            <v>$/ton</v>
          </cell>
          <cell r="E51">
            <v>549.74749999999995</v>
          </cell>
          <cell r="F51">
            <v>524.85632999999996</v>
          </cell>
          <cell r="G51">
            <v>636.76620000000003</v>
          </cell>
          <cell r="H51">
            <v>651.61883999999998</v>
          </cell>
          <cell r="I51">
            <v>669.15449999999998</v>
          </cell>
          <cell r="J51">
            <v>677.55081999999993</v>
          </cell>
          <cell r="K51">
            <v>685.51258000000007</v>
          </cell>
          <cell r="L51">
            <v>694.18340999999998</v>
          </cell>
          <cell r="M51">
            <v>724.19100000000003</v>
          </cell>
          <cell r="N51">
            <v>732.24900000000002</v>
          </cell>
          <cell r="O51">
            <v>742.95</v>
          </cell>
          <cell r="P51">
            <v>755.16000000000008</v>
          </cell>
          <cell r="Q51">
            <v>767.05000000000007</v>
          </cell>
          <cell r="R51">
            <v>779.7600000000001</v>
          </cell>
          <cell r="S51">
            <v>792.13</v>
          </cell>
          <cell r="T51">
            <v>804.72</v>
          </cell>
          <cell r="U51">
            <v>818.98800000000006</v>
          </cell>
          <cell r="V51">
            <v>832.01</v>
          </cell>
          <cell r="W51">
            <v>845.20799999999997</v>
          </cell>
          <cell r="X51">
            <v>858.02600000000007</v>
          </cell>
          <cell r="Y51">
            <v>871.42283452380957</v>
          </cell>
          <cell r="Z51">
            <v>885.02884123500996</v>
          </cell>
          <cell r="AA51">
            <v>898.84728605465909</v>
          </cell>
          <cell r="AB51">
            <v>912.88148589644652</v>
          </cell>
          <cell r="AC51">
            <v>927.13480946286973</v>
          </cell>
          <cell r="AD51">
            <v>941.61067805384187</v>
          </cell>
          <cell r="AE51">
            <v>956.31256638792399</v>
          </cell>
          <cell r="AF51">
            <v>971.2440034363799</v>
          </cell>
          <cell r="AG51">
            <v>986.40857327025356</v>
          </cell>
          <cell r="AH51">
            <v>1001.8099159206726</v>
          </cell>
        </row>
        <row r="52">
          <cell r="A52" t="str">
            <v>HDPE price (Western Europe)</v>
          </cell>
          <cell r="B52">
            <v>0</v>
          </cell>
          <cell r="C52">
            <v>0</v>
          </cell>
          <cell r="D52" t="str">
            <v>$/ton</v>
          </cell>
          <cell r="E52">
            <v>710.47582374822866</v>
          </cell>
          <cell r="F52">
            <v>646.76540813299584</v>
          </cell>
          <cell r="G52">
            <v>633.96608778763573</v>
          </cell>
          <cell r="H52">
            <v>642.58258064594872</v>
          </cell>
          <cell r="I52">
            <v>640.22330870601218</v>
          </cell>
          <cell r="J52">
            <v>647.9824670444159</v>
          </cell>
          <cell r="K52">
            <v>656.763798109915</v>
          </cell>
          <cell r="L52">
            <v>664.86968801856585</v>
          </cell>
          <cell r="M52">
            <v>695.02131343273174</v>
          </cell>
          <cell r="N52">
            <v>704.37531204646177</v>
          </cell>
          <cell r="O52">
            <v>717.20787474650251</v>
          </cell>
          <cell r="P52">
            <v>729.49520593423961</v>
          </cell>
          <cell r="Q52">
            <v>741.8853159858279</v>
          </cell>
          <cell r="R52">
            <v>754.97566687474807</v>
          </cell>
          <cell r="S52">
            <v>767.17537561769859</v>
          </cell>
          <cell r="T52">
            <v>780.71328773578159</v>
          </cell>
          <cell r="U52">
            <v>794.41588044057153</v>
          </cell>
          <cell r="V52">
            <v>808.56988840630311</v>
          </cell>
          <cell r="W52">
            <v>823.05167924347916</v>
          </cell>
          <cell r="X52">
            <v>837.32680459758592</v>
          </cell>
          <cell r="Y52">
            <v>852.21570455409187</v>
          </cell>
          <cell r="Z52">
            <v>867.35928280131304</v>
          </cell>
          <cell r="AA52">
            <v>882.76160188080587</v>
          </cell>
          <cell r="AB52">
            <v>898.42678027076079</v>
          </cell>
          <cell r="AC52">
            <v>914.35899287017992</v>
          </cell>
          <cell r="AD52">
            <v>930.56247147658655</v>
          </cell>
          <cell r="AE52">
            <v>947.04150525671332</v>
          </cell>
          <cell r="AF52">
            <v>963.80044120960645</v>
          </cell>
          <cell r="AG52">
            <v>980.84368462155533</v>
          </cell>
          <cell r="AH52">
            <v>998.17569951223538</v>
          </cell>
        </row>
        <row r="53">
          <cell r="A53" t="str">
            <v>HDPE price (East Asia)</v>
          </cell>
          <cell r="B53">
            <v>0</v>
          </cell>
          <cell r="C53">
            <v>0</v>
          </cell>
          <cell r="D53" t="str">
            <v>$/ton</v>
          </cell>
          <cell r="E53">
            <v>560.88310000000001</v>
          </cell>
          <cell r="F53">
            <v>497.1802899999999</v>
          </cell>
          <cell r="G53">
            <v>608.46547999999996</v>
          </cell>
          <cell r="H53">
            <v>623.64792</v>
          </cell>
          <cell r="I53">
            <v>640.47645</v>
          </cell>
          <cell r="J53">
            <v>648.1394499999999</v>
          </cell>
          <cell r="K53">
            <v>655.36788999999999</v>
          </cell>
          <cell r="L53">
            <v>664.44902999999999</v>
          </cell>
          <cell r="M53">
            <v>691.548</v>
          </cell>
          <cell r="N53">
            <v>698.79600000000005</v>
          </cell>
          <cell r="O53">
            <v>709.93000000000006</v>
          </cell>
          <cell r="P53">
            <v>720.00599999999997</v>
          </cell>
          <cell r="Q53">
            <v>732.36599999999999</v>
          </cell>
          <cell r="R53">
            <v>742.82400000000007</v>
          </cell>
          <cell r="S53">
            <v>754.27599999999995</v>
          </cell>
          <cell r="T53">
            <v>765.92100000000005</v>
          </cell>
          <cell r="U53">
            <v>779.2170000000001</v>
          </cell>
          <cell r="V53">
            <v>791.24</v>
          </cell>
          <cell r="W53">
            <v>803.41200000000003</v>
          </cell>
          <cell r="X53">
            <v>815.20400000000006</v>
          </cell>
          <cell r="Y53">
            <v>827.53415684007712</v>
          </cell>
          <cell r="Z53">
            <v>840.05081027205131</v>
          </cell>
          <cell r="AA53">
            <v>852.75678110179228</v>
          </cell>
          <cell r="AB53">
            <v>865.65493280053795</v>
          </cell>
          <cell r="AC53">
            <v>878.74817215021847</v>
          </cell>
          <cell r="AD53">
            <v>892.0394498985404</v>
          </cell>
          <cell r="AE53">
            <v>905.53176142398058</v>
          </cell>
          <cell r="AF53">
            <v>919.22814741083641</v>
          </cell>
          <cell r="AG53">
            <v>933.13169453448756</v>
          </cell>
          <cell r="AH53">
            <v>947.24553615702268</v>
          </cell>
        </row>
        <row r="54">
          <cell r="A54" t="str">
            <v>HDPE price (West Asia)</v>
          </cell>
          <cell r="B54">
            <v>0</v>
          </cell>
          <cell r="C54">
            <v>0</v>
          </cell>
          <cell r="D54" t="str">
            <v>$/ton</v>
          </cell>
          <cell r="E54">
            <v>560.88310000000001</v>
          </cell>
          <cell r="F54">
            <v>497.1802899999999</v>
          </cell>
          <cell r="G54">
            <v>608.46547999999996</v>
          </cell>
          <cell r="H54">
            <v>623.64792</v>
          </cell>
          <cell r="I54">
            <v>640.47645</v>
          </cell>
          <cell r="J54">
            <v>648.1394499999999</v>
          </cell>
          <cell r="K54">
            <v>655.36788999999999</v>
          </cell>
          <cell r="L54">
            <v>664.44902999999999</v>
          </cell>
          <cell r="M54">
            <v>691.548</v>
          </cell>
          <cell r="N54">
            <v>698.79600000000005</v>
          </cell>
          <cell r="O54">
            <v>709.93000000000006</v>
          </cell>
          <cell r="P54">
            <v>720.00599999999997</v>
          </cell>
          <cell r="Q54">
            <v>732.36599999999999</v>
          </cell>
          <cell r="R54">
            <v>742.82400000000007</v>
          </cell>
          <cell r="S54">
            <v>754.27599999999995</v>
          </cell>
          <cell r="T54">
            <v>765.92100000000005</v>
          </cell>
          <cell r="U54">
            <v>779.2170000000001</v>
          </cell>
          <cell r="V54">
            <v>791.24</v>
          </cell>
          <cell r="W54">
            <v>803.41200000000003</v>
          </cell>
          <cell r="X54">
            <v>815.20400000000006</v>
          </cell>
          <cell r="Y54">
            <v>827.53415684007712</v>
          </cell>
          <cell r="Z54">
            <v>840.05081027205131</v>
          </cell>
          <cell r="AA54">
            <v>852.75678110179228</v>
          </cell>
          <cell r="AB54">
            <v>865.65493280053795</v>
          </cell>
          <cell r="AC54">
            <v>878.74817215021847</v>
          </cell>
          <cell r="AD54">
            <v>892.0394498985404</v>
          </cell>
          <cell r="AE54">
            <v>905.53176142398058</v>
          </cell>
          <cell r="AF54">
            <v>919.22814741083641</v>
          </cell>
          <cell r="AG54">
            <v>933.13169453448756</v>
          </cell>
          <cell r="AH54">
            <v>947.24553615702268</v>
          </cell>
        </row>
        <row r="55">
          <cell r="A55" t="str">
            <v>HDPE price (Iran)</v>
          </cell>
          <cell r="B55">
            <v>0</v>
          </cell>
          <cell r="C55">
            <v>0</v>
          </cell>
          <cell r="D55" t="str">
            <v>$/ton</v>
          </cell>
          <cell r="E55">
            <v>560.88310000000001</v>
          </cell>
          <cell r="F55">
            <v>497.1802899999999</v>
          </cell>
          <cell r="G55">
            <v>608.46547999999996</v>
          </cell>
          <cell r="H55">
            <v>623.64792</v>
          </cell>
          <cell r="I55">
            <v>640.47645</v>
          </cell>
          <cell r="J55">
            <v>648.1394499999999</v>
          </cell>
          <cell r="K55">
            <v>655.36788999999999</v>
          </cell>
          <cell r="L55">
            <v>664.44902999999999</v>
          </cell>
          <cell r="M55">
            <v>691.548</v>
          </cell>
          <cell r="N55">
            <v>698.79600000000005</v>
          </cell>
          <cell r="O55">
            <v>709.93000000000006</v>
          </cell>
          <cell r="P55">
            <v>720.00599999999997</v>
          </cell>
          <cell r="Q55">
            <v>732.36599999999999</v>
          </cell>
          <cell r="R55">
            <v>742.82400000000007</v>
          </cell>
          <cell r="S55">
            <v>754.27599999999995</v>
          </cell>
          <cell r="T55">
            <v>765.92100000000005</v>
          </cell>
          <cell r="U55">
            <v>779.2170000000001</v>
          </cell>
          <cell r="V55">
            <v>791.24</v>
          </cell>
          <cell r="W55">
            <v>803.41200000000003</v>
          </cell>
          <cell r="X55">
            <v>815.20400000000006</v>
          </cell>
          <cell r="Y55">
            <v>827.53415684007712</v>
          </cell>
          <cell r="Z55">
            <v>840.05081027205131</v>
          </cell>
          <cell r="AA55">
            <v>852.75678110179228</v>
          </cell>
          <cell r="AB55">
            <v>865.65493280053795</v>
          </cell>
          <cell r="AC55">
            <v>878.74817215021847</v>
          </cell>
          <cell r="AD55">
            <v>892.0394498985404</v>
          </cell>
          <cell r="AE55">
            <v>905.53176142398058</v>
          </cell>
          <cell r="AF55">
            <v>919.22814741083641</v>
          </cell>
          <cell r="AG55">
            <v>933.13169453448756</v>
          </cell>
          <cell r="AH55">
            <v>947.24553615702268</v>
          </cell>
        </row>
        <row r="56">
          <cell r="A56" t="str">
            <v>MEG price (Western Europe)</v>
          </cell>
          <cell r="B56">
            <v>0</v>
          </cell>
          <cell r="C56">
            <v>0</v>
          </cell>
          <cell r="D56" t="str">
            <v>$/ton</v>
          </cell>
          <cell r="E56">
            <v>484.16326052190362</v>
          </cell>
          <cell r="F56">
            <v>479.73806619966626</v>
          </cell>
          <cell r="G56">
            <v>466.09303650331174</v>
          </cell>
          <cell r="H56">
            <v>473.50223528434793</v>
          </cell>
          <cell r="I56">
            <v>472.95603625930096</v>
          </cell>
          <cell r="J56">
            <v>479.99094124938068</v>
          </cell>
          <cell r="K56">
            <v>487.30418643045442</v>
          </cell>
          <cell r="L56">
            <v>494.24702588464498</v>
          </cell>
          <cell r="M56">
            <v>517.54757332743452</v>
          </cell>
          <cell r="N56">
            <v>525.44695523748794</v>
          </cell>
          <cell r="O56">
            <v>535.71741555355686</v>
          </cell>
          <cell r="P56">
            <v>545.77190434657768</v>
          </cell>
          <cell r="Q56">
            <v>555.88661259770072</v>
          </cell>
          <cell r="R56">
            <v>566.59910882585132</v>
          </cell>
          <cell r="S56">
            <v>576.80097776295861</v>
          </cell>
          <cell r="T56">
            <v>587.87144234722132</v>
          </cell>
          <cell r="U56">
            <v>599.13571767130463</v>
          </cell>
          <cell r="V56">
            <v>610.7590788611634</v>
          </cell>
          <cell r="W56">
            <v>622.67076125130927</v>
          </cell>
          <cell r="X56">
            <v>634.46736870155826</v>
          </cell>
          <cell r="Y56">
            <v>646.75324600086162</v>
          </cell>
          <cell r="Z56">
            <v>659.25687505969177</v>
          </cell>
          <cell r="AA56">
            <v>671.9814647927127</v>
          </cell>
          <cell r="AB56">
            <v>684.93024846547235</v>
          </cell>
          <cell r="AC56">
            <v>698.10648290637471</v>
          </cell>
          <cell r="AD56">
            <v>711.5134476640311</v>
          </cell>
          <cell r="AE56">
            <v>725.15444410775399</v>
          </cell>
          <cell r="AF56">
            <v>739.03279446887291</v>
          </cell>
          <cell r="AG56">
            <v>753.15184082048063</v>
          </cell>
          <cell r="AH56">
            <v>767.51494399312548</v>
          </cell>
        </row>
        <row r="57">
          <cell r="A57" t="str">
            <v>MEG price (East Asia)</v>
          </cell>
          <cell r="B57">
            <v>0</v>
          </cell>
          <cell r="C57">
            <v>0</v>
          </cell>
          <cell r="D57" t="str">
            <v>$/ton</v>
          </cell>
          <cell r="E57">
            <v>418.69645509999998</v>
          </cell>
          <cell r="F57">
            <v>397.34885999999995</v>
          </cell>
          <cell r="G57">
            <v>460.89744000000002</v>
          </cell>
          <cell r="H57">
            <v>426.81551999999999</v>
          </cell>
          <cell r="I57">
            <v>438.66795000000002</v>
          </cell>
          <cell r="J57">
            <v>443.34916999999996</v>
          </cell>
          <cell r="K57">
            <v>447.70446999999996</v>
          </cell>
          <cell r="L57">
            <v>452.87747999999999</v>
          </cell>
          <cell r="M57">
            <v>472.71900000000005</v>
          </cell>
          <cell r="N57">
            <v>477.01500000000004</v>
          </cell>
          <cell r="O57">
            <v>483.87</v>
          </cell>
          <cell r="P57">
            <v>490.85400000000004</v>
          </cell>
          <cell r="Q57">
            <v>498.91600000000005</v>
          </cell>
          <cell r="R57">
            <v>506.16</v>
          </cell>
          <cell r="S57">
            <v>515.93599999999992</v>
          </cell>
          <cell r="T57">
            <v>523.06799999999998</v>
          </cell>
          <cell r="U57">
            <v>531.75300000000004</v>
          </cell>
          <cell r="V57">
            <v>540.58000000000004</v>
          </cell>
          <cell r="W57">
            <v>549.54</v>
          </cell>
          <cell r="X57">
            <v>556.68600000000004</v>
          </cell>
          <cell r="Y57">
            <v>564.17381873239435</v>
          </cell>
          <cell r="Z57">
            <v>571.76235389985129</v>
          </cell>
          <cell r="AA57">
            <v>579.45296020934916</v>
          </cell>
          <cell r="AB57">
            <v>587.24701058962989</v>
          </cell>
          <cell r="AC57">
            <v>595.14589643629313</v>
          </cell>
          <cell r="AD57">
            <v>626.14030749390429</v>
          </cell>
          <cell r="AE57">
            <v>638.48713453017479</v>
          </cell>
          <cell r="AF57">
            <v>651.05996522607506</v>
          </cell>
          <cell r="AG57">
            <v>663.86238299768911</v>
          </cell>
          <cell r="AH57">
            <v>676.89800917961747</v>
          </cell>
        </row>
        <row r="58">
          <cell r="A58" t="str">
            <v>MEG price (West Asia)</v>
          </cell>
          <cell r="B58">
            <v>0</v>
          </cell>
          <cell r="C58">
            <v>0</v>
          </cell>
          <cell r="D58" t="str">
            <v>$/ton</v>
          </cell>
          <cell r="E58">
            <v>418.69645509999998</v>
          </cell>
          <cell r="F58">
            <v>397.34885999999995</v>
          </cell>
          <cell r="G58">
            <v>460.89744000000002</v>
          </cell>
          <cell r="H58">
            <v>426.81551999999999</v>
          </cell>
          <cell r="I58">
            <v>438.66795000000002</v>
          </cell>
          <cell r="J58">
            <v>443.34916999999996</v>
          </cell>
          <cell r="K58">
            <v>447.70446999999996</v>
          </cell>
          <cell r="L58">
            <v>452.87747999999999</v>
          </cell>
          <cell r="M58">
            <v>472.71900000000005</v>
          </cell>
          <cell r="N58">
            <v>477.01500000000004</v>
          </cell>
          <cell r="O58">
            <v>483.87</v>
          </cell>
          <cell r="P58">
            <v>490.85400000000004</v>
          </cell>
          <cell r="Q58">
            <v>498.91600000000005</v>
          </cell>
          <cell r="R58">
            <v>506.16</v>
          </cell>
          <cell r="S58">
            <v>515.93599999999992</v>
          </cell>
          <cell r="T58">
            <v>523.06799999999998</v>
          </cell>
          <cell r="U58">
            <v>531.75300000000004</v>
          </cell>
          <cell r="V58">
            <v>540.58000000000004</v>
          </cell>
          <cell r="W58">
            <v>549.54</v>
          </cell>
          <cell r="X58">
            <v>556.68600000000004</v>
          </cell>
          <cell r="Y58">
            <v>564.17381873239435</v>
          </cell>
          <cell r="Z58">
            <v>571.76235389985129</v>
          </cell>
          <cell r="AA58">
            <v>579.45296020934916</v>
          </cell>
          <cell r="AB58">
            <v>587.24701058962989</v>
          </cell>
          <cell r="AC58">
            <v>595.14589643629313</v>
          </cell>
          <cell r="AD58">
            <v>626.14030749390429</v>
          </cell>
          <cell r="AE58">
            <v>638.48713453017479</v>
          </cell>
          <cell r="AF58">
            <v>651.05996522607506</v>
          </cell>
          <cell r="AG58">
            <v>663.86238299768911</v>
          </cell>
          <cell r="AH58">
            <v>676.89800917961747</v>
          </cell>
        </row>
        <row r="59">
          <cell r="A59" t="str">
            <v>MEG price (Iran)</v>
          </cell>
          <cell r="B59">
            <v>0</v>
          </cell>
          <cell r="C59">
            <v>0</v>
          </cell>
          <cell r="D59" t="str">
            <v>$/ton</v>
          </cell>
          <cell r="E59">
            <v>418.69645509999998</v>
          </cell>
          <cell r="F59">
            <v>397.34885999999995</v>
          </cell>
          <cell r="G59">
            <v>460.89744000000002</v>
          </cell>
          <cell r="H59">
            <v>426.81551999999999</v>
          </cell>
          <cell r="I59">
            <v>438.66795000000002</v>
          </cell>
          <cell r="J59">
            <v>443.34916999999996</v>
          </cell>
          <cell r="K59">
            <v>447.70446999999996</v>
          </cell>
          <cell r="L59">
            <v>452.87747999999999</v>
          </cell>
          <cell r="M59">
            <v>472.71900000000005</v>
          </cell>
          <cell r="N59">
            <v>477.01500000000004</v>
          </cell>
          <cell r="O59">
            <v>483.87</v>
          </cell>
          <cell r="P59">
            <v>490.85400000000004</v>
          </cell>
          <cell r="Q59">
            <v>498.91600000000005</v>
          </cell>
          <cell r="R59">
            <v>506.16</v>
          </cell>
          <cell r="S59">
            <v>515.93599999999992</v>
          </cell>
          <cell r="T59">
            <v>523.06799999999998</v>
          </cell>
          <cell r="U59">
            <v>531.75300000000004</v>
          </cell>
          <cell r="V59">
            <v>540.58000000000004</v>
          </cell>
          <cell r="W59">
            <v>549.54</v>
          </cell>
          <cell r="X59">
            <v>556.68600000000004</v>
          </cell>
          <cell r="Y59">
            <v>564.17381873239435</v>
          </cell>
          <cell r="Z59">
            <v>571.76235389985129</v>
          </cell>
          <cell r="AA59">
            <v>579.45296020934916</v>
          </cell>
          <cell r="AB59">
            <v>587.24701058962989</v>
          </cell>
          <cell r="AC59">
            <v>595.14589643629313</v>
          </cell>
          <cell r="AD59">
            <v>626.14030749390429</v>
          </cell>
          <cell r="AE59">
            <v>638.48713453017479</v>
          </cell>
          <cell r="AF59">
            <v>651.05996522607506</v>
          </cell>
          <cell r="AG59">
            <v>663.86238299768911</v>
          </cell>
          <cell r="AH59">
            <v>676.89800917961747</v>
          </cell>
        </row>
        <row r="60">
          <cell r="A60" t="str">
            <v>Styrene price (Western Europe)</v>
          </cell>
          <cell r="B60">
            <v>0</v>
          </cell>
          <cell r="C60">
            <v>0</v>
          </cell>
          <cell r="D60" t="str">
            <v>$/ton</v>
          </cell>
          <cell r="E60">
            <v>587.97210304479756</v>
          </cell>
          <cell r="F60">
            <v>554.49500410845587</v>
          </cell>
          <cell r="G60">
            <v>537.03919011458345</v>
          </cell>
          <cell r="H60">
            <v>548.30309709354185</v>
          </cell>
          <cell r="I60">
            <v>563.74464231134345</v>
          </cell>
          <cell r="J60">
            <v>574.20603240267815</v>
          </cell>
          <cell r="K60">
            <v>582.59132056376382</v>
          </cell>
          <cell r="L60">
            <v>591.08804561476029</v>
          </cell>
          <cell r="M60">
            <v>618.6454608282877</v>
          </cell>
          <cell r="N60">
            <v>627.87278725387137</v>
          </cell>
          <cell r="O60">
            <v>640.42210345864532</v>
          </cell>
          <cell r="P60">
            <v>653.08803443777288</v>
          </cell>
          <cell r="Q60">
            <v>665.71677006608832</v>
          </cell>
          <cell r="R60">
            <v>679.15612927043594</v>
          </cell>
          <cell r="S60">
            <v>692.04581721398461</v>
          </cell>
          <cell r="T60">
            <v>705.8073287701153</v>
          </cell>
          <cell r="U60">
            <v>720.50817130864368</v>
          </cell>
          <cell r="V60">
            <v>735.2020851405598</v>
          </cell>
          <cell r="W60">
            <v>750.26009180149686</v>
          </cell>
          <cell r="X60">
            <v>765.19585133178259</v>
          </cell>
          <cell r="Y60">
            <v>780.75723280308512</v>
          </cell>
          <cell r="Z60">
            <v>796.61843594087031</v>
          </cell>
          <cell r="AA60">
            <v>812.78472596504275</v>
          </cell>
          <cell r="AB60">
            <v>829.26144396796076</v>
          </cell>
          <cell r="AC60">
            <v>846.05400741729659</v>
          </cell>
          <cell r="AD60">
            <v>863.18392945912819</v>
          </cell>
          <cell r="AE60">
            <v>880.65791389606761</v>
          </cell>
          <cell r="AF60">
            <v>898.48279572056185</v>
          </cell>
          <cell r="AG60">
            <v>916.66554362612135</v>
          </cell>
          <cell r="AH60">
            <v>935.21326256504722</v>
          </cell>
        </row>
        <row r="61">
          <cell r="A61" t="str">
            <v>Styrene price (East Asia)</v>
          </cell>
          <cell r="B61">
            <v>0</v>
          </cell>
          <cell r="C61">
            <v>0</v>
          </cell>
          <cell r="D61" t="str">
            <v>$/ton</v>
          </cell>
          <cell r="E61">
            <v>478.01114999999999</v>
          </cell>
          <cell r="F61">
            <v>398.33729</v>
          </cell>
          <cell r="G61">
            <v>554.89625999999998</v>
          </cell>
          <cell r="H61">
            <v>562.52627999999993</v>
          </cell>
          <cell r="I61">
            <v>570.37455</v>
          </cell>
          <cell r="J61">
            <v>575.15567999999996</v>
          </cell>
          <cell r="K61">
            <v>582.79733999999996</v>
          </cell>
          <cell r="L61">
            <v>591.25671</v>
          </cell>
          <cell r="M61">
            <v>617.79900000000009</v>
          </cell>
          <cell r="N61">
            <v>626.93400000000008</v>
          </cell>
          <cell r="O61">
            <v>637.54</v>
          </cell>
          <cell r="P61">
            <v>648.39600000000007</v>
          </cell>
          <cell r="Q61">
            <v>660.33</v>
          </cell>
          <cell r="R61">
            <v>673.05600000000004</v>
          </cell>
          <cell r="S61">
            <v>684.17599999999993</v>
          </cell>
          <cell r="T61">
            <v>696.94500000000005</v>
          </cell>
          <cell r="U61">
            <v>709.98599999999999</v>
          </cell>
          <cell r="V61">
            <v>723.29</v>
          </cell>
          <cell r="W61">
            <v>736.84800000000007</v>
          </cell>
          <cell r="X61">
            <v>750.178</v>
          </cell>
          <cell r="Y61">
            <v>764.0862370798319</v>
          </cell>
          <cell r="Z61">
            <v>778.25233170636454</v>
          </cell>
          <cell r="AA61">
            <v>792.6810645368447</v>
          </cell>
          <cell r="AB61">
            <v>807.37730486150338</v>
          </cell>
          <cell r="AC61">
            <v>822.34601224680307</v>
          </cell>
          <cell r="AD61">
            <v>837.24840594971772</v>
          </cell>
          <cell r="AE61">
            <v>852.24476632518281</v>
          </cell>
          <cell r="AF61">
            <v>867.50973375073329</v>
          </cell>
          <cell r="AG61">
            <v>883.04811937691159</v>
          </cell>
          <cell r="AH61">
            <v>898.86482052910026</v>
          </cell>
        </row>
        <row r="62">
          <cell r="A62" t="str">
            <v>Styrene price (West Asia)</v>
          </cell>
          <cell r="B62">
            <v>0</v>
          </cell>
          <cell r="C62">
            <v>0</v>
          </cell>
          <cell r="D62" t="str">
            <v>$/ton</v>
          </cell>
          <cell r="E62">
            <v>478.01114999999999</v>
          </cell>
          <cell r="F62">
            <v>398.33729</v>
          </cell>
          <cell r="G62">
            <v>554.89625999999998</v>
          </cell>
          <cell r="H62">
            <v>562.52627999999993</v>
          </cell>
          <cell r="I62">
            <v>570.37455</v>
          </cell>
          <cell r="J62">
            <v>575.15567999999996</v>
          </cell>
          <cell r="K62">
            <v>582.79733999999996</v>
          </cell>
          <cell r="L62">
            <v>591.25671</v>
          </cell>
          <cell r="M62">
            <v>617.79900000000009</v>
          </cell>
          <cell r="N62">
            <v>626.93400000000008</v>
          </cell>
          <cell r="O62">
            <v>637.54</v>
          </cell>
          <cell r="P62">
            <v>648.39600000000007</v>
          </cell>
          <cell r="Q62">
            <v>660.33</v>
          </cell>
          <cell r="R62">
            <v>673.05600000000004</v>
          </cell>
          <cell r="S62">
            <v>684.17599999999993</v>
          </cell>
          <cell r="T62">
            <v>696.94500000000005</v>
          </cell>
          <cell r="U62">
            <v>709.98599999999999</v>
          </cell>
          <cell r="V62">
            <v>723.29</v>
          </cell>
          <cell r="W62">
            <v>736.84800000000007</v>
          </cell>
          <cell r="X62">
            <v>750.178</v>
          </cell>
          <cell r="Y62">
            <v>764.0862370798319</v>
          </cell>
          <cell r="Z62">
            <v>778.25233170636454</v>
          </cell>
          <cell r="AA62">
            <v>792.6810645368447</v>
          </cell>
          <cell r="AB62">
            <v>807.37730486150338</v>
          </cell>
          <cell r="AC62">
            <v>822.34601224680307</v>
          </cell>
          <cell r="AD62">
            <v>837.24840594971772</v>
          </cell>
          <cell r="AE62">
            <v>852.24476632518281</v>
          </cell>
          <cell r="AF62">
            <v>867.50973375073329</v>
          </cell>
          <cell r="AG62">
            <v>883.04811937691159</v>
          </cell>
          <cell r="AH62">
            <v>898.86482052910026</v>
          </cell>
        </row>
        <row r="63">
          <cell r="A63" t="str">
            <v>Styrene price (Iran)</v>
          </cell>
          <cell r="B63">
            <v>0</v>
          </cell>
          <cell r="C63">
            <v>0</v>
          </cell>
          <cell r="D63" t="str">
            <v>$/ton</v>
          </cell>
          <cell r="E63">
            <v>478.01114999999999</v>
          </cell>
          <cell r="F63">
            <v>398.33729</v>
          </cell>
          <cell r="G63">
            <v>554.89625999999998</v>
          </cell>
          <cell r="H63">
            <v>562.52627999999993</v>
          </cell>
          <cell r="I63">
            <v>570.37455</v>
          </cell>
          <cell r="J63">
            <v>575.15567999999996</v>
          </cell>
          <cell r="K63">
            <v>582.79733999999996</v>
          </cell>
          <cell r="L63">
            <v>591.25671</v>
          </cell>
          <cell r="M63">
            <v>617.79900000000009</v>
          </cell>
          <cell r="N63">
            <v>626.93400000000008</v>
          </cell>
          <cell r="O63">
            <v>637.54</v>
          </cell>
          <cell r="P63">
            <v>648.39600000000007</v>
          </cell>
          <cell r="Q63">
            <v>660.33</v>
          </cell>
          <cell r="R63">
            <v>673.05600000000004</v>
          </cell>
          <cell r="S63">
            <v>684.17599999999993</v>
          </cell>
          <cell r="T63">
            <v>696.94500000000005</v>
          </cell>
          <cell r="U63">
            <v>709.98599999999999</v>
          </cell>
          <cell r="V63">
            <v>723.29</v>
          </cell>
          <cell r="W63">
            <v>736.84800000000007</v>
          </cell>
          <cell r="X63">
            <v>750.178</v>
          </cell>
          <cell r="Y63">
            <v>764.0862370798319</v>
          </cell>
          <cell r="Z63">
            <v>778.25233170636454</v>
          </cell>
          <cell r="AA63">
            <v>792.6810645368447</v>
          </cell>
          <cell r="AB63">
            <v>807.37730486150338</v>
          </cell>
          <cell r="AC63">
            <v>822.34601224680307</v>
          </cell>
          <cell r="AD63">
            <v>837.24840594971772</v>
          </cell>
          <cell r="AE63">
            <v>852.24476632518281</v>
          </cell>
          <cell r="AF63">
            <v>867.50973375073329</v>
          </cell>
          <cell r="AG63">
            <v>883.04811937691159</v>
          </cell>
          <cell r="AH63">
            <v>898.86482052910026</v>
          </cell>
        </row>
        <row r="64">
          <cell r="A64" t="str">
            <v>Benzene</v>
          </cell>
          <cell r="B64">
            <v>0</v>
          </cell>
          <cell r="C64">
            <v>0</v>
          </cell>
          <cell r="D64" t="str">
            <v>$/ton</v>
          </cell>
          <cell r="E64">
            <v>316.587470472456</v>
          </cell>
          <cell r="F64">
            <v>294.96116730371529</v>
          </cell>
          <cell r="G64">
            <v>278.86411396856647</v>
          </cell>
          <cell r="H64">
            <v>286.90276591460321</v>
          </cell>
          <cell r="I64">
            <v>306.08905690504832</v>
          </cell>
          <cell r="J64">
            <v>313.18128138622689</v>
          </cell>
          <cell r="K64">
            <v>317.38858108555405</v>
          </cell>
          <cell r="L64">
            <v>322.0445481202018</v>
          </cell>
          <cell r="M64">
            <v>326.62485810968576</v>
          </cell>
          <cell r="N64">
            <v>331.27163583777474</v>
          </cell>
          <cell r="O64">
            <v>338.62073746862728</v>
          </cell>
          <cell r="P64">
            <v>346.19968041255549</v>
          </cell>
          <cell r="Q64">
            <v>353.74166101049497</v>
          </cell>
          <cell r="R64">
            <v>361.7761461211291</v>
          </cell>
          <cell r="S64">
            <v>369.48671156452934</v>
          </cell>
          <cell r="T64">
            <v>377.70313882900223</v>
          </cell>
          <cell r="U64">
            <v>386.94872869641864</v>
          </cell>
          <cell r="V64">
            <v>395.90583672046421</v>
          </cell>
          <cell r="W64">
            <v>405.09766940999737</v>
          </cell>
          <cell r="X64">
            <v>414.26213592314485</v>
          </cell>
          <cell r="Y64">
            <v>423.82090473153897</v>
          </cell>
          <cell r="Z64">
            <v>433.60023451620657</v>
          </cell>
          <cell r="AA64">
            <v>443.60521454598853</v>
          </cell>
          <cell r="AB64">
            <v>453.84105152055054</v>
          </cell>
          <cell r="AC64">
            <v>464.31307228000571</v>
          </cell>
          <cell r="AD64">
            <v>475.02672657705966</v>
          </cell>
          <cell r="AE64">
            <v>485.98758991312076</v>
          </cell>
          <cell r="AF64">
            <v>497.20136643985109</v>
          </cell>
          <cell r="AG64">
            <v>508.67389192766905</v>
          </cell>
          <cell r="AH64">
            <v>520.41113680274668</v>
          </cell>
        </row>
        <row r="65">
          <cell r="A65" t="str">
            <v>Land Cost (unit)</v>
          </cell>
          <cell r="B65">
            <v>0</v>
          </cell>
          <cell r="C65">
            <v>0</v>
          </cell>
          <cell r="D65" t="str">
            <v>$/m2</v>
          </cell>
          <cell r="E65">
            <v>0</v>
          </cell>
          <cell r="F65">
            <v>0</v>
          </cell>
          <cell r="G65">
            <v>0</v>
          </cell>
          <cell r="H65">
            <v>0</v>
          </cell>
          <cell r="I65">
            <v>0</v>
          </cell>
          <cell r="J65">
            <v>2</v>
          </cell>
          <cell r="K65">
            <v>2</v>
          </cell>
          <cell r="L65">
            <v>2</v>
          </cell>
          <cell r="M65">
            <v>2</v>
          </cell>
          <cell r="N65">
            <v>2</v>
          </cell>
          <cell r="O65">
            <v>2</v>
          </cell>
          <cell r="P65">
            <v>2</v>
          </cell>
          <cell r="Q65">
            <v>2</v>
          </cell>
          <cell r="R65">
            <v>2</v>
          </cell>
          <cell r="S65">
            <v>2</v>
          </cell>
          <cell r="T65">
            <v>2</v>
          </cell>
          <cell r="U65">
            <v>2</v>
          </cell>
          <cell r="V65">
            <v>2</v>
          </cell>
          <cell r="W65">
            <v>2</v>
          </cell>
          <cell r="X65">
            <v>2</v>
          </cell>
          <cell r="Y65">
            <v>2</v>
          </cell>
          <cell r="Z65">
            <v>2</v>
          </cell>
          <cell r="AA65">
            <v>2</v>
          </cell>
          <cell r="AB65">
            <v>2</v>
          </cell>
          <cell r="AC65">
            <v>2</v>
          </cell>
          <cell r="AD65">
            <v>2</v>
          </cell>
          <cell r="AE65">
            <v>2</v>
          </cell>
          <cell r="AF65">
            <v>2</v>
          </cell>
          <cell r="AG65">
            <v>2</v>
          </cell>
          <cell r="AH65">
            <v>2</v>
          </cell>
        </row>
        <row r="66">
          <cell r="A66" t="str">
            <v>Land Cost</v>
          </cell>
          <cell r="B66">
            <v>0</v>
          </cell>
          <cell r="C66">
            <v>0</v>
          </cell>
          <cell r="D66" t="str">
            <v>$ million</v>
          </cell>
          <cell r="E66">
            <v>0</v>
          </cell>
          <cell r="F66">
            <v>0</v>
          </cell>
          <cell r="G66">
            <v>0</v>
          </cell>
          <cell r="H66">
            <v>0</v>
          </cell>
          <cell r="I66">
            <v>0</v>
          </cell>
          <cell r="J66">
            <v>1.7</v>
          </cell>
          <cell r="K66">
            <v>1.7</v>
          </cell>
          <cell r="L66">
            <v>1.7</v>
          </cell>
          <cell r="M66">
            <v>1.7</v>
          </cell>
          <cell r="N66">
            <v>1.7</v>
          </cell>
          <cell r="O66">
            <v>1.7</v>
          </cell>
          <cell r="P66">
            <v>1.7</v>
          </cell>
          <cell r="Q66">
            <v>1.7</v>
          </cell>
          <cell r="R66">
            <v>1.7</v>
          </cell>
          <cell r="S66">
            <v>1.7</v>
          </cell>
          <cell r="T66">
            <v>1.7</v>
          </cell>
          <cell r="U66">
            <v>1.7</v>
          </cell>
          <cell r="V66">
            <v>1.7</v>
          </cell>
          <cell r="W66">
            <v>1.7</v>
          </cell>
          <cell r="X66">
            <v>1.7</v>
          </cell>
          <cell r="Y66">
            <v>1.7</v>
          </cell>
          <cell r="Z66">
            <v>1.7</v>
          </cell>
          <cell r="AA66">
            <v>1.7</v>
          </cell>
          <cell r="AB66">
            <v>1.7</v>
          </cell>
          <cell r="AC66">
            <v>1.7</v>
          </cell>
          <cell r="AD66">
            <v>1.7</v>
          </cell>
          <cell r="AE66">
            <v>1.7</v>
          </cell>
          <cell r="AF66">
            <v>1.7</v>
          </cell>
          <cell r="AG66">
            <v>1.7</v>
          </cell>
          <cell r="AH66">
            <v>1.7</v>
          </cell>
        </row>
        <row r="67">
          <cell r="A67" t="str">
            <v>Handling Cost (Polymers)</v>
          </cell>
          <cell r="B67">
            <v>0</v>
          </cell>
          <cell r="C67">
            <v>0</v>
          </cell>
          <cell r="D67" t="str">
            <v>$/ton</v>
          </cell>
          <cell r="E67">
            <v>5</v>
          </cell>
          <cell r="F67">
            <v>5.0949999999999998</v>
          </cell>
          <cell r="G67">
            <v>5.21</v>
          </cell>
          <cell r="H67">
            <v>5.34</v>
          </cell>
          <cell r="I67">
            <v>5.4749999999999996</v>
          </cell>
          <cell r="J67">
            <v>5.6150000000000002</v>
          </cell>
          <cell r="K67">
            <v>5.7549999999999999</v>
          </cell>
          <cell r="L67">
            <v>5.8950000000000005</v>
          </cell>
          <cell r="M67">
            <v>6.0449999999999999</v>
          </cell>
          <cell r="N67">
            <v>6.1950000000000003</v>
          </cell>
          <cell r="O67">
            <v>6.35</v>
          </cell>
          <cell r="P67">
            <v>6.51</v>
          </cell>
          <cell r="Q67">
            <v>6.67</v>
          </cell>
          <cell r="R67">
            <v>6.8400000000000007</v>
          </cell>
          <cell r="S67">
            <v>7.01</v>
          </cell>
          <cell r="T67">
            <v>7.1850000000000005</v>
          </cell>
          <cell r="U67">
            <v>7.3650000000000002</v>
          </cell>
          <cell r="V67">
            <v>7.55</v>
          </cell>
          <cell r="W67">
            <v>7.74</v>
          </cell>
          <cell r="X67">
            <v>7.9300000000000006</v>
          </cell>
          <cell r="Y67">
            <v>8.1282499999999995</v>
          </cell>
          <cell r="Z67">
            <v>8.3314562500000005</v>
          </cell>
          <cell r="AA67">
            <v>8.5397426562499987</v>
          </cell>
          <cell r="AB67">
            <v>8.7532362226562483</v>
          </cell>
          <cell r="AC67">
            <v>8.972067128222653</v>
          </cell>
          <cell r="AD67">
            <v>9.1963688064282181</v>
          </cell>
          <cell r="AE67">
            <v>9.426278026588923</v>
          </cell>
          <cell r="AF67">
            <v>9.6619349772536438</v>
          </cell>
          <cell r="AG67">
            <v>9.9034833516849847</v>
          </cell>
          <cell r="AH67">
            <v>10.151070435477109</v>
          </cell>
        </row>
        <row r="68">
          <cell r="A68" t="str">
            <v>Handling Cost (Bulk Liquid)</v>
          </cell>
          <cell r="B68">
            <v>0</v>
          </cell>
          <cell r="C68">
            <v>0</v>
          </cell>
          <cell r="D68" t="str">
            <v>$/ton</v>
          </cell>
          <cell r="E68">
            <v>3</v>
          </cell>
          <cell r="F68">
            <v>3.0569999999999995</v>
          </cell>
          <cell r="G68">
            <v>3.1260000000000003</v>
          </cell>
          <cell r="H68">
            <v>3.2040000000000002</v>
          </cell>
          <cell r="I68">
            <v>3.2850000000000001</v>
          </cell>
          <cell r="J68">
            <v>3.3689999999999998</v>
          </cell>
          <cell r="K68">
            <v>3.4530000000000003</v>
          </cell>
          <cell r="L68">
            <v>3.5369999999999999</v>
          </cell>
          <cell r="M68">
            <v>3.6270000000000002</v>
          </cell>
          <cell r="N68">
            <v>3.7170000000000005</v>
          </cell>
          <cell r="O68">
            <v>3.81</v>
          </cell>
          <cell r="P68">
            <v>3.9060000000000001</v>
          </cell>
          <cell r="Q68">
            <v>4.0020000000000007</v>
          </cell>
          <cell r="R68">
            <v>4.1040000000000001</v>
          </cell>
          <cell r="S68">
            <v>4.2059999999999995</v>
          </cell>
          <cell r="T68">
            <v>4.3109999999999999</v>
          </cell>
          <cell r="U68">
            <v>4.4190000000000005</v>
          </cell>
          <cell r="V68">
            <v>4.53</v>
          </cell>
          <cell r="W68">
            <v>4.6440000000000001</v>
          </cell>
          <cell r="X68">
            <v>4.758</v>
          </cell>
          <cell r="Y68">
            <v>4.8769499999999999</v>
          </cell>
          <cell r="Z68">
            <v>4.9988737499999996</v>
          </cell>
          <cell r="AA68">
            <v>5.1238455937499996</v>
          </cell>
          <cell r="AB68">
            <v>5.2519417335937488</v>
          </cell>
          <cell r="AC68">
            <v>5.3832402769335914</v>
          </cell>
          <cell r="AD68">
            <v>5.5178212838569305</v>
          </cell>
          <cell r="AE68">
            <v>5.6557668159533536</v>
          </cell>
          <cell r="AF68">
            <v>5.7971609863521865</v>
          </cell>
          <cell r="AG68">
            <v>5.9420900110109915</v>
          </cell>
          <cell r="AH68">
            <v>6.0906422612862663</v>
          </cell>
        </row>
        <row r="69">
          <cell r="A69">
            <v>0</v>
          </cell>
          <cell r="B69">
            <v>0</v>
          </cell>
          <cell r="C69">
            <v>0</v>
          </cell>
          <cell r="D69">
            <v>0</v>
          </cell>
        </row>
        <row r="70">
          <cell r="A70">
            <v>0</v>
          </cell>
          <cell r="B70">
            <v>0</v>
          </cell>
          <cell r="C70">
            <v>0</v>
          </cell>
          <cell r="D70">
            <v>0</v>
          </cell>
        </row>
        <row r="71">
          <cell r="A71">
            <v>0</v>
          </cell>
          <cell r="B71">
            <v>0</v>
          </cell>
          <cell r="C71">
            <v>0</v>
          </cell>
          <cell r="D71">
            <v>0</v>
          </cell>
        </row>
        <row r="72">
          <cell r="A72">
            <v>0</v>
          </cell>
          <cell r="B72">
            <v>0</v>
          </cell>
          <cell r="C72">
            <v>0</v>
          </cell>
          <cell r="D72">
            <v>0</v>
          </cell>
        </row>
        <row r="73">
          <cell r="A73">
            <v>0</v>
          </cell>
          <cell r="B73">
            <v>0</v>
          </cell>
          <cell r="C73">
            <v>0</v>
          </cell>
          <cell r="D73">
            <v>0</v>
          </cell>
        </row>
        <row r="74">
          <cell r="A74" t="str">
            <v>Year</v>
          </cell>
          <cell r="B74">
            <v>0</v>
          </cell>
          <cell r="C74">
            <v>0</v>
          </cell>
          <cell r="D74">
            <v>2000</v>
          </cell>
          <cell r="E74">
            <v>2001</v>
          </cell>
          <cell r="F74">
            <v>2002</v>
          </cell>
          <cell r="G74">
            <v>2003</v>
          </cell>
          <cell r="H74">
            <v>2004</v>
          </cell>
          <cell r="I74">
            <v>2005</v>
          </cell>
          <cell r="J74">
            <v>2006</v>
          </cell>
          <cell r="K74">
            <v>2007</v>
          </cell>
          <cell r="L74">
            <v>2008</v>
          </cell>
          <cell r="M74">
            <v>2009</v>
          </cell>
          <cell r="N74">
            <v>2010</v>
          </cell>
          <cell r="O74">
            <v>2011</v>
          </cell>
          <cell r="P74">
            <v>2012</v>
          </cell>
          <cell r="Q74">
            <v>2013</v>
          </cell>
          <cell r="R74">
            <v>2014</v>
          </cell>
          <cell r="S74">
            <v>2015</v>
          </cell>
          <cell r="T74">
            <v>2016</v>
          </cell>
          <cell r="U74">
            <v>2017</v>
          </cell>
          <cell r="V74">
            <v>2018</v>
          </cell>
          <cell r="W74">
            <v>2019</v>
          </cell>
          <cell r="X74">
            <v>2020</v>
          </cell>
          <cell r="Y74">
            <v>2021</v>
          </cell>
          <cell r="Z74">
            <v>2022</v>
          </cell>
          <cell r="AA74">
            <v>2023</v>
          </cell>
          <cell r="AB74">
            <v>2024</v>
          </cell>
          <cell r="AC74">
            <v>2025</v>
          </cell>
          <cell r="AD74">
            <v>2026</v>
          </cell>
          <cell r="AE74">
            <v>2027</v>
          </cell>
          <cell r="AF74">
            <v>2028</v>
          </cell>
          <cell r="AG74">
            <v>2029</v>
          </cell>
          <cell r="AH74">
            <v>2030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rms"/>
      <sheetName val="Time series"/>
      <sheetName val="Historic prices"/>
      <sheetName val="Gr.form vs C2-50"/>
      <sheetName val="Historic prices (3)"/>
      <sheetName val="Res nieuwe form"/>
      <sheetName val="Gr.Cash costs (3)"/>
      <sheetName val="Gr.Cash costs (2)"/>
      <sheetName val="Gr.Cash costs"/>
      <sheetName val="Gr.Prijzen"/>
      <sheetName val="ICM"/>
    </sheetNames>
    <sheetDataSet>
      <sheetData sheetId="0">
        <row r="1">
          <cell r="C1">
            <v>150</v>
          </cell>
        </row>
      </sheetData>
      <sheetData sheetId="1"/>
      <sheetData sheetId="2" refreshError="1"/>
      <sheetData sheetId="3" refreshError="1"/>
      <sheetData sheetId="4" refreshError="1"/>
      <sheetData sheetId="5"/>
      <sheetData sheetId="6" refreshError="1"/>
      <sheetData sheetId="7" refreshError="1"/>
      <sheetData sheetId="8" refreshError="1"/>
      <sheetData sheetId="9" refreshError="1"/>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urce"/>
      <sheetName val="input"/>
      <sheetName val="Report"/>
      <sheetName val="Gas Calculation"/>
      <sheetName val="Gas Cost"/>
      <sheetName val="GT Performance"/>
      <sheetName val="UB Performance"/>
      <sheetName val="STG Performance"/>
      <sheetName val="HRSG Performance"/>
      <sheetName val="Cost Calculation"/>
      <sheetName val="GT Compressore Effi"/>
      <sheetName val="CPCV"/>
      <sheetName val="Z value"/>
      <sheetName val="Sheet2"/>
    </sheetNames>
    <sheetDataSet>
      <sheetData sheetId="0">
        <row r="5">
          <cell r="G5">
            <v>6.049679027494852</v>
          </cell>
        </row>
        <row r="15">
          <cell r="G15">
            <v>50.185217913864484</v>
          </cell>
        </row>
        <row r="18">
          <cell r="G18">
            <v>0.71901691501000686</v>
          </cell>
        </row>
        <row r="19">
          <cell r="G19">
            <v>8.6798612526190677</v>
          </cell>
        </row>
        <row r="23">
          <cell r="G23">
            <v>207.80444353563033</v>
          </cell>
        </row>
        <row r="25">
          <cell r="G25">
            <v>278.26921512096624</v>
          </cell>
        </row>
        <row r="26">
          <cell r="G26">
            <v>26.522781611109789</v>
          </cell>
        </row>
        <row r="29">
          <cell r="G29">
            <v>83.32932966266732</v>
          </cell>
        </row>
        <row r="33">
          <cell r="G33">
            <v>107.8296555122278</v>
          </cell>
        </row>
        <row r="37">
          <cell r="G37">
            <v>63.198306988830446</v>
          </cell>
        </row>
        <row r="38">
          <cell r="G38">
            <v>8.2058804041947457</v>
          </cell>
        </row>
        <row r="41">
          <cell r="G41">
            <v>30.286872915626134</v>
          </cell>
        </row>
        <row r="43">
          <cell r="G43">
            <v>25.110965969918517</v>
          </cell>
        </row>
        <row r="46">
          <cell r="G46">
            <v>5.3487578656621304</v>
          </cell>
        </row>
        <row r="50">
          <cell r="G50">
            <v>979.48262602159332</v>
          </cell>
        </row>
        <row r="51">
          <cell r="G51">
            <v>1.7051292845264021</v>
          </cell>
        </row>
        <row r="53">
          <cell r="G53">
            <v>11.015625</v>
          </cell>
        </row>
        <row r="54">
          <cell r="G54">
            <v>11.015625</v>
          </cell>
        </row>
        <row r="59">
          <cell r="G59">
            <v>5.0330226560076579</v>
          </cell>
        </row>
        <row r="60">
          <cell r="G60">
            <v>0.43017213402371945</v>
          </cell>
        </row>
        <row r="62">
          <cell r="G62">
            <v>84.811322922681654</v>
          </cell>
        </row>
        <row r="63">
          <cell r="G63">
            <v>577.20553898532353</v>
          </cell>
        </row>
        <row r="66">
          <cell r="G66">
            <v>183.640625</v>
          </cell>
        </row>
        <row r="67">
          <cell r="G67">
            <v>499.9375</v>
          </cell>
        </row>
        <row r="68">
          <cell r="G68">
            <v>0</v>
          </cell>
        </row>
        <row r="70">
          <cell r="G70">
            <v>308.5625</v>
          </cell>
        </row>
        <row r="71">
          <cell r="G71">
            <v>171.125</v>
          </cell>
        </row>
        <row r="74">
          <cell r="G74">
            <v>21.8671875</v>
          </cell>
        </row>
        <row r="75">
          <cell r="G75">
            <v>135.3125</v>
          </cell>
        </row>
        <row r="76">
          <cell r="G76">
            <v>2256.5</v>
          </cell>
        </row>
        <row r="78">
          <cell r="G78">
            <v>0</v>
          </cell>
        </row>
        <row r="79">
          <cell r="G79">
            <v>0</v>
          </cell>
        </row>
        <row r="81">
          <cell r="G81">
            <v>10.675937457722618</v>
          </cell>
        </row>
        <row r="82">
          <cell r="G82">
            <v>15.700060417227711</v>
          </cell>
        </row>
        <row r="83">
          <cell r="G83">
            <v>891863.93166587455</v>
          </cell>
        </row>
        <row r="85">
          <cell r="G85">
            <v>99.375</v>
          </cell>
        </row>
        <row r="86">
          <cell r="G86">
            <v>1279.12109375</v>
          </cell>
        </row>
        <row r="87">
          <cell r="G87">
            <v>0</v>
          </cell>
        </row>
        <row r="89">
          <cell r="G89">
            <v>0</v>
          </cell>
        </row>
        <row r="90">
          <cell r="G90">
            <v>0</v>
          </cell>
        </row>
        <row r="93">
          <cell r="G93">
            <v>1999.75</v>
          </cell>
        </row>
        <row r="94">
          <cell r="G94">
            <v>2087.5</v>
          </cell>
        </row>
        <row r="97">
          <cell r="G97">
            <v>15.443359375</v>
          </cell>
        </row>
        <row r="98">
          <cell r="G98">
            <v>0</v>
          </cell>
        </row>
        <row r="99">
          <cell r="G99">
            <v>50.62109375</v>
          </cell>
        </row>
        <row r="103">
          <cell r="G103">
            <v>0</v>
          </cell>
        </row>
        <row r="107">
          <cell r="G107">
            <v>0</v>
          </cell>
        </row>
        <row r="110">
          <cell r="G110">
            <v>8.30078125E-3</v>
          </cell>
        </row>
        <row r="114">
          <cell r="G114">
            <v>1474.25</v>
          </cell>
        </row>
        <row r="118">
          <cell r="G118">
            <v>63.223397135788417</v>
          </cell>
        </row>
        <row r="121">
          <cell r="G121">
            <v>-1.5565628185868836E-2</v>
          </cell>
        </row>
        <row r="127">
          <cell r="G127">
            <v>1983.125</v>
          </cell>
        </row>
        <row r="130">
          <cell r="G130">
            <v>171.14102172851563</v>
          </cell>
        </row>
        <row r="134">
          <cell r="G134">
            <v>558.26762900164056</v>
          </cell>
        </row>
        <row r="138">
          <cell r="G138">
            <v>507.81661025106865</v>
          </cell>
        </row>
        <row r="141">
          <cell r="G141">
            <v>54.722898361482862</v>
          </cell>
        </row>
        <row r="145">
          <cell r="G145">
            <v>100.70039023660273</v>
          </cell>
        </row>
        <row r="149">
          <cell r="G149">
            <v>602.02715722892526</v>
          </cell>
        </row>
        <row r="152">
          <cell r="G152">
            <v>226.6534886287813</v>
          </cell>
        </row>
        <row r="156">
          <cell r="G156">
            <v>116.81407322073028</v>
          </cell>
        </row>
        <row r="163">
          <cell r="G163">
            <v>0</v>
          </cell>
        </row>
        <row r="167">
          <cell r="G167">
            <v>-7425.6728515625</v>
          </cell>
        </row>
        <row r="171">
          <cell r="G171">
            <v>311.78695678710938</v>
          </cell>
        </row>
        <row r="175">
          <cell r="G175">
            <v>1.750413179397583</v>
          </cell>
        </row>
        <row r="179">
          <cell r="G179">
            <v>705.379150390625</v>
          </cell>
        </row>
        <row r="186">
          <cell r="G186">
            <v>1746.6201171874998</v>
          </cell>
        </row>
        <row r="190">
          <cell r="G190">
            <v>622.453125</v>
          </cell>
        </row>
        <row r="193">
          <cell r="G193">
            <v>588.109375</v>
          </cell>
        </row>
        <row r="197">
          <cell r="G197">
            <v>108.78467358330775</v>
          </cell>
        </row>
        <row r="203">
          <cell r="G203">
            <v>12.443411354902778</v>
          </cell>
        </row>
        <row r="207">
          <cell r="G207">
            <v>43.134241766782829</v>
          </cell>
        </row>
        <row r="210">
          <cell r="G210">
            <v>0.56465283155201196</v>
          </cell>
        </row>
        <row r="211">
          <cell r="G211">
            <v>61.303378845539186</v>
          </cell>
        </row>
        <row r="214">
          <cell r="G214">
            <v>0.53616774111434595</v>
          </cell>
        </row>
        <row r="218">
          <cell r="G218">
            <v>9.4097075762079232</v>
          </cell>
        </row>
        <row r="219">
          <cell r="G219">
            <v>9.3071263999340186</v>
          </cell>
        </row>
        <row r="221">
          <cell r="G221">
            <v>6.0705947689712056E-3</v>
          </cell>
        </row>
        <row r="222">
          <cell r="G222">
            <v>7.358800261950983E-3</v>
          </cell>
        </row>
        <row r="225">
          <cell r="G225">
            <v>78.883932824385894</v>
          </cell>
        </row>
        <row r="229">
          <cell r="G229">
            <v>8.6597980266409493</v>
          </cell>
        </row>
        <row r="230">
          <cell r="G230">
            <v>9.5807316667867006</v>
          </cell>
        </row>
        <row r="235">
          <cell r="G235">
            <v>106.86949474824046</v>
          </cell>
        </row>
        <row r="240">
          <cell r="G240">
            <v>0.51852252342384741</v>
          </cell>
        </row>
        <row r="243">
          <cell r="G243">
            <v>0.46167251540624804</v>
          </cell>
        </row>
        <row r="247">
          <cell r="G247">
            <v>0.57456899696627739</v>
          </cell>
        </row>
        <row r="248">
          <cell r="G248">
            <v>9.5088304527534557</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s>
    <sheetDataSet>
      <sheetData sheetId="0"/>
      <sheetData sheetId="1">
        <row r="4">
          <cell r="F4">
            <v>5.9030351638793945</v>
          </cell>
        </row>
        <row r="6">
          <cell r="F6">
            <v>23.586503982543945</v>
          </cell>
        </row>
        <row r="8">
          <cell r="F8">
            <v>19.495491027832031</v>
          </cell>
        </row>
        <row r="9">
          <cell r="F9">
            <v>20.964153289794922</v>
          </cell>
        </row>
        <row r="10">
          <cell r="F10">
            <v>36.799888610839844</v>
          </cell>
        </row>
        <row r="11">
          <cell r="F11">
            <v>377.2100830078125</v>
          </cell>
        </row>
        <row r="12">
          <cell r="F12">
            <v>4.6651096343994141</v>
          </cell>
        </row>
        <row r="13">
          <cell r="F13">
            <v>185.12338256835938</v>
          </cell>
        </row>
        <row r="14">
          <cell r="F14">
            <v>50.589202880859375</v>
          </cell>
        </row>
        <row r="16">
          <cell r="F16">
            <v>12.672587394714355</v>
          </cell>
        </row>
        <row r="17">
          <cell r="F17">
            <v>1.0044407844543457</v>
          </cell>
        </row>
        <row r="18">
          <cell r="F18">
            <v>8.4537839889526367</v>
          </cell>
        </row>
        <row r="19">
          <cell r="F19">
            <v>5.738680362701416</v>
          </cell>
        </row>
        <row r="20">
          <cell r="F20">
            <v>106.94502258300781</v>
          </cell>
        </row>
        <row r="21">
          <cell r="F21">
            <v>488.11746215820313</v>
          </cell>
        </row>
        <row r="22">
          <cell r="F22">
            <v>192.1973876953125</v>
          </cell>
        </row>
        <row r="23">
          <cell r="F23">
            <v>16.343908309936523</v>
          </cell>
        </row>
        <row r="24">
          <cell r="F24">
            <v>285.645263671875</v>
          </cell>
        </row>
        <row r="25">
          <cell r="F25">
            <v>27.780071258544922</v>
          </cell>
        </row>
        <row r="26">
          <cell r="F26">
            <v>17.54139518737793</v>
          </cell>
        </row>
        <row r="27">
          <cell r="F27">
            <v>123.22551727294922</v>
          </cell>
        </row>
        <row r="28">
          <cell r="F28">
            <v>135.520263671875</v>
          </cell>
        </row>
        <row r="29">
          <cell r="F29">
            <v>4.1246641427278519E-2</v>
          </cell>
        </row>
        <row r="30">
          <cell r="F30">
            <v>108.45578765869141</v>
          </cell>
        </row>
        <row r="31">
          <cell r="F31">
            <v>4.8699812889099121</v>
          </cell>
        </row>
        <row r="32">
          <cell r="F32">
            <v>108.94107055664063</v>
          </cell>
        </row>
        <row r="33">
          <cell r="F33">
            <v>0</v>
          </cell>
        </row>
        <row r="34">
          <cell r="F34">
            <v>0</v>
          </cell>
        </row>
        <row r="35">
          <cell r="F35">
            <v>65.135719299316406</v>
          </cell>
        </row>
        <row r="36">
          <cell r="F36">
            <v>82.543472290039063</v>
          </cell>
        </row>
        <row r="37">
          <cell r="F37">
            <v>7.9718904495239258</v>
          </cell>
        </row>
        <row r="38">
          <cell r="F38">
            <v>23.892322540283203</v>
          </cell>
        </row>
        <row r="39">
          <cell r="F39">
            <v>56.457405090332031</v>
          </cell>
        </row>
        <row r="40">
          <cell r="F40">
            <v>24.179828643798828</v>
          </cell>
        </row>
        <row r="41">
          <cell r="F41">
            <v>140.09980773925781</v>
          </cell>
        </row>
        <row r="42">
          <cell r="F42">
            <v>-2.7468752861022949</v>
          </cell>
        </row>
        <row r="43">
          <cell r="F43">
            <v>24.93293571472168</v>
          </cell>
        </row>
        <row r="44">
          <cell r="F44">
            <v>1.4989699125289917</v>
          </cell>
        </row>
        <row r="45">
          <cell r="F45">
            <v>4.6685895919799805</v>
          </cell>
        </row>
        <row r="46">
          <cell r="F46">
            <v>56.732147216796875</v>
          </cell>
        </row>
        <row r="47">
          <cell r="F47">
            <v>5.941932201385498</v>
          </cell>
        </row>
        <row r="48">
          <cell r="F48" t="str">
            <v/>
          </cell>
        </row>
        <row r="49">
          <cell r="F49">
            <v>650.099365234375</v>
          </cell>
        </row>
        <row r="50">
          <cell r="F50">
            <v>2.4776816368103027</v>
          </cell>
        </row>
        <row r="51">
          <cell r="F51">
            <v>4.7312183380126953</v>
          </cell>
        </row>
        <row r="52">
          <cell r="F52">
            <v>310.796875</v>
          </cell>
        </row>
        <row r="53">
          <cell r="F53">
            <v>236.3125</v>
          </cell>
        </row>
        <row r="54">
          <cell r="F54">
            <v>0</v>
          </cell>
        </row>
        <row r="55">
          <cell r="F55">
            <v>0</v>
          </cell>
        </row>
        <row r="56">
          <cell r="F56">
            <v>106.39232140600733</v>
          </cell>
        </row>
        <row r="57">
          <cell r="F57">
            <v>0</v>
          </cell>
        </row>
        <row r="58">
          <cell r="F58">
            <v>4.3135035661110637</v>
          </cell>
        </row>
        <row r="59">
          <cell r="F59">
            <v>16.884293820169511</v>
          </cell>
        </row>
        <row r="60">
          <cell r="F60">
            <v>52.0234375</v>
          </cell>
        </row>
        <row r="61">
          <cell r="F61">
            <v>-5.5967881469105496</v>
          </cell>
        </row>
        <row r="62">
          <cell r="F62">
            <v>15.636707744745486</v>
          </cell>
        </row>
        <row r="63">
          <cell r="F63">
            <v>55.6875</v>
          </cell>
        </row>
        <row r="64">
          <cell r="F64">
            <v>45.59375</v>
          </cell>
        </row>
        <row r="65">
          <cell r="F65">
            <v>18.390625</v>
          </cell>
        </row>
        <row r="66">
          <cell r="F66">
            <v>0.25</v>
          </cell>
        </row>
        <row r="67">
          <cell r="F67">
            <v>0</v>
          </cell>
        </row>
        <row r="68">
          <cell r="F68">
            <v>2381.5</v>
          </cell>
        </row>
        <row r="69">
          <cell r="F69">
            <v>69.78125</v>
          </cell>
        </row>
        <row r="70">
          <cell r="F70">
            <v>94.4375</v>
          </cell>
        </row>
        <row r="71">
          <cell r="F71">
            <v>143.75</v>
          </cell>
        </row>
        <row r="72">
          <cell r="F72">
            <v>122.3125</v>
          </cell>
        </row>
        <row r="73">
          <cell r="F73">
            <v>8.96875</v>
          </cell>
        </row>
        <row r="74">
          <cell r="F74">
            <v>28.09375</v>
          </cell>
        </row>
        <row r="75">
          <cell r="F75">
            <v>571.5</v>
          </cell>
        </row>
        <row r="76">
          <cell r="F76">
            <v>912.75</v>
          </cell>
        </row>
        <row r="77">
          <cell r="F77">
            <v>0</v>
          </cell>
        </row>
        <row r="78">
          <cell r="F78">
            <v>0</v>
          </cell>
        </row>
        <row r="79">
          <cell r="F79">
            <v>37.617973576066021</v>
          </cell>
        </row>
        <row r="80">
          <cell r="F80">
            <v>9.1885692313785903</v>
          </cell>
        </row>
        <row r="81">
          <cell r="F81">
            <v>13.536252332070791</v>
          </cell>
        </row>
        <row r="82">
          <cell r="F82">
            <v>796.25</v>
          </cell>
        </row>
        <row r="83">
          <cell r="F83">
            <v>-7.2764545446062255E-3</v>
          </cell>
        </row>
        <row r="84">
          <cell r="F84">
            <v>34.625</v>
          </cell>
        </row>
        <row r="85">
          <cell r="F85">
            <v>248.7265625</v>
          </cell>
        </row>
        <row r="86">
          <cell r="F86">
            <v>0</v>
          </cell>
        </row>
        <row r="87">
          <cell r="F87">
            <v>0</v>
          </cell>
        </row>
        <row r="88">
          <cell r="F88">
            <v>320.1875</v>
          </cell>
        </row>
        <row r="89">
          <cell r="F89">
            <v>72.859375</v>
          </cell>
        </row>
        <row r="90">
          <cell r="F90">
            <v>53731.535902688513</v>
          </cell>
        </row>
        <row r="91">
          <cell r="F91">
            <v>55485.947280687666</v>
          </cell>
        </row>
        <row r="92">
          <cell r="F92">
            <v>706.75</v>
          </cell>
        </row>
        <row r="93">
          <cell r="F93">
            <v>745</v>
          </cell>
        </row>
        <row r="94">
          <cell r="F94">
            <v>80.067317985528135</v>
          </cell>
        </row>
        <row r="95">
          <cell r="F95">
            <v>175.375</v>
          </cell>
        </row>
        <row r="96">
          <cell r="F96">
            <v>0</v>
          </cell>
        </row>
        <row r="97">
          <cell r="F97">
            <v>0</v>
          </cell>
        </row>
        <row r="98">
          <cell r="F98">
            <v>4.62890625</v>
          </cell>
        </row>
        <row r="99">
          <cell r="F99">
            <v>0</v>
          </cell>
        </row>
        <row r="100">
          <cell r="F100">
            <v>0</v>
          </cell>
        </row>
        <row r="101">
          <cell r="F101">
            <v>119.625</v>
          </cell>
        </row>
        <row r="102">
          <cell r="F102">
            <v>0</v>
          </cell>
        </row>
        <row r="103">
          <cell r="F103">
            <v>0.6334228515625</v>
          </cell>
        </row>
        <row r="104">
          <cell r="F104">
            <v>119.671875</v>
          </cell>
        </row>
        <row r="105">
          <cell r="F105">
            <v>0</v>
          </cell>
        </row>
        <row r="106">
          <cell r="F106">
            <v>0</v>
          </cell>
        </row>
        <row r="107">
          <cell r="F107">
            <v>88.47482881652256</v>
          </cell>
        </row>
        <row r="108">
          <cell r="F108">
            <v>9.2734375</v>
          </cell>
        </row>
        <row r="109">
          <cell r="F109">
            <v>1.708984375E-3</v>
          </cell>
        </row>
        <row r="110">
          <cell r="F110">
            <v>7.875</v>
          </cell>
        </row>
        <row r="111">
          <cell r="F111">
            <v>67.736225902880989</v>
          </cell>
        </row>
        <row r="112">
          <cell r="F112">
            <v>500.875</v>
          </cell>
        </row>
        <row r="113">
          <cell r="F113">
            <v>412.25</v>
          </cell>
        </row>
        <row r="114">
          <cell r="F114">
            <v>7.875</v>
          </cell>
        </row>
        <row r="115">
          <cell r="F115">
            <v>0</v>
          </cell>
        </row>
        <row r="116">
          <cell r="F116">
            <v>21.578125</v>
          </cell>
        </row>
        <row r="117">
          <cell r="F117">
            <v>86.980354609812238</v>
          </cell>
        </row>
        <row r="118">
          <cell r="F118">
            <v>500.75</v>
          </cell>
        </row>
        <row r="119">
          <cell r="F119">
            <v>34.40625</v>
          </cell>
        </row>
        <row r="120">
          <cell r="F120">
            <v>0</v>
          </cell>
        </row>
        <row r="121">
          <cell r="F121">
            <v>796.25</v>
          </cell>
        </row>
        <row r="122">
          <cell r="F122">
            <v>80.067317985528135</v>
          </cell>
        </row>
        <row r="123">
          <cell r="F123">
            <v>743.125</v>
          </cell>
        </row>
        <row r="124">
          <cell r="F124">
            <v>20.5390625</v>
          </cell>
        </row>
        <row r="125">
          <cell r="F125">
            <v>1.7096620006446872</v>
          </cell>
        </row>
        <row r="126">
          <cell r="F126">
            <v>672.5</v>
          </cell>
        </row>
        <row r="128">
          <cell r="F128">
            <v>17.464780616269934</v>
          </cell>
        </row>
        <row r="129">
          <cell r="F129">
            <v>497.6662125902086</v>
          </cell>
        </row>
        <row r="130">
          <cell r="F130">
            <v>522.30545621870317</v>
          </cell>
        </row>
        <row r="131">
          <cell r="F131">
            <v>19.898229630052686</v>
          </cell>
        </row>
        <row r="132">
          <cell r="F132">
            <v>23.01161350586931</v>
          </cell>
        </row>
        <row r="133">
          <cell r="F133">
            <v>495.07773117418463</v>
          </cell>
        </row>
        <row r="134">
          <cell r="F134">
            <v>508.74219505748079</v>
          </cell>
        </row>
        <row r="135">
          <cell r="F135">
            <v>17.452667438994133</v>
          </cell>
        </row>
        <row r="136">
          <cell r="F136">
            <v>17.561142020074342</v>
          </cell>
        </row>
        <row r="137">
          <cell r="F137">
            <v>47.35081548290367</v>
          </cell>
        </row>
        <row r="138">
          <cell r="F138">
            <v>47.379829946091363</v>
          </cell>
        </row>
        <row r="139">
          <cell r="F139">
            <v>14.607285307530368</v>
          </cell>
        </row>
        <row r="140">
          <cell r="F140">
            <v>16.220196464885067</v>
          </cell>
        </row>
        <row r="141">
          <cell r="F141">
            <v>86.295774588956732</v>
          </cell>
        </row>
        <row r="142">
          <cell r="F142">
            <v>97.896478464997728</v>
          </cell>
        </row>
        <row r="143">
          <cell r="F143">
            <v>17.037736060788923</v>
          </cell>
        </row>
        <row r="144">
          <cell r="F144">
            <v>25.775012746057456</v>
          </cell>
        </row>
        <row r="145">
          <cell r="F145">
            <v>634.70891136293653</v>
          </cell>
        </row>
        <row r="146">
          <cell r="F146">
            <v>0</v>
          </cell>
        </row>
        <row r="147">
          <cell r="F147">
            <v>601.6774270548816</v>
          </cell>
        </row>
        <row r="148">
          <cell r="F148">
            <v>16.090856659994639</v>
          </cell>
        </row>
        <row r="149">
          <cell r="F149">
            <v>26.693156300391919</v>
          </cell>
        </row>
        <row r="150">
          <cell r="F150">
            <v>167.33322367141059</v>
          </cell>
        </row>
        <row r="151">
          <cell r="F151">
            <v>189.75268677594627</v>
          </cell>
        </row>
        <row r="152">
          <cell r="F152">
            <v>117.31818059743114</v>
          </cell>
        </row>
        <row r="153">
          <cell r="F153">
            <v>504.4573149824102</v>
          </cell>
        </row>
        <row r="154">
          <cell r="F154">
            <v>119.77182002913368</v>
          </cell>
        </row>
        <row r="155">
          <cell r="F155">
            <v>494.612420717058</v>
          </cell>
        </row>
        <row r="156">
          <cell r="F156">
            <v>503.31900283303537</v>
          </cell>
        </row>
        <row r="157">
          <cell r="F157">
            <v>48.087251942690969</v>
          </cell>
        </row>
        <row r="158">
          <cell r="F158">
            <v>493.3318872656082</v>
          </cell>
        </row>
        <row r="159">
          <cell r="F159">
            <v>0</v>
          </cell>
        </row>
        <row r="160">
          <cell r="F160">
            <v>32730.5</v>
          </cell>
        </row>
        <row r="161">
          <cell r="F161">
            <v>39688</v>
          </cell>
        </row>
        <row r="184">
          <cell r="F184">
            <v>0</v>
          </cell>
        </row>
        <row r="185">
          <cell r="F185">
            <v>0</v>
          </cell>
        </row>
        <row r="186">
          <cell r="F186">
            <v>126.21875</v>
          </cell>
        </row>
        <row r="187">
          <cell r="F187">
            <v>165.921875</v>
          </cell>
        </row>
        <row r="191">
          <cell r="F191">
            <v>0.15382501482963562</v>
          </cell>
        </row>
        <row r="192">
          <cell r="F192">
            <v>2.549100399017334</v>
          </cell>
        </row>
        <row r="193">
          <cell r="F193">
            <v>112.22634887695313</v>
          </cell>
        </row>
        <row r="194">
          <cell r="F194">
            <v>115.85955047607422</v>
          </cell>
        </row>
        <row r="195">
          <cell r="F195">
            <v>18.826396942138672</v>
          </cell>
        </row>
        <row r="196">
          <cell r="F196">
            <v>18.388042449951172</v>
          </cell>
        </row>
        <row r="197">
          <cell r="F197">
            <v>11.650185585021973</v>
          </cell>
        </row>
        <row r="198">
          <cell r="F198">
            <v>11.283935546875</v>
          </cell>
        </row>
        <row r="199">
          <cell r="F199" t="str">
            <v/>
          </cell>
        </row>
        <row r="200">
          <cell r="F200">
            <v>36.647899627685547</v>
          </cell>
        </row>
        <row r="201">
          <cell r="F201">
            <v>36.418991088867188</v>
          </cell>
        </row>
        <row r="202">
          <cell r="F202" t="str">
            <v/>
          </cell>
        </row>
        <row r="203">
          <cell r="F203">
            <v>0</v>
          </cell>
        </row>
        <row r="204">
          <cell r="F204">
            <v>7.3707825504243374E-3</v>
          </cell>
        </row>
        <row r="205">
          <cell r="F205">
            <v>72.517509460449219</v>
          </cell>
        </row>
        <row r="206">
          <cell r="F206">
            <v>119.12283325195313</v>
          </cell>
        </row>
        <row r="207">
          <cell r="F207">
            <v>0.99908441305160522</v>
          </cell>
        </row>
        <row r="208">
          <cell r="F208">
            <v>0.6031680703163147</v>
          </cell>
        </row>
        <row r="209">
          <cell r="F209">
            <v>0.62935495376586914</v>
          </cell>
        </row>
        <row r="210">
          <cell r="F210">
            <v>7.8598179817199707</v>
          </cell>
        </row>
        <row r="211">
          <cell r="F211">
            <v>9.8262147903442383</v>
          </cell>
        </row>
        <row r="212">
          <cell r="F212">
            <v>9.5390748977661133</v>
          </cell>
        </row>
        <row r="213">
          <cell r="F213">
            <v>9.3589706420898438</v>
          </cell>
        </row>
        <row r="214">
          <cell r="F214">
            <v>8.6435014382004738E-3</v>
          </cell>
        </row>
        <row r="215">
          <cell r="F215">
            <v>2.0326878875494003E-3</v>
          </cell>
        </row>
        <row r="216">
          <cell r="F216">
            <v>1.0602939873933792E-2</v>
          </cell>
        </row>
        <row r="217">
          <cell r="F217">
            <v>9.2615475878119469E-3</v>
          </cell>
        </row>
        <row r="218">
          <cell r="F218">
            <v>31.543285369873047</v>
          </cell>
        </row>
        <row r="219">
          <cell r="F219">
            <v>31.199926376342773</v>
          </cell>
        </row>
        <row r="220">
          <cell r="F220">
            <v>39.692348480224609</v>
          </cell>
        </row>
        <row r="221">
          <cell r="F221">
            <v>35.274459838867188</v>
          </cell>
        </row>
        <row r="222">
          <cell r="F222">
            <v>7.6015195846557617</v>
          </cell>
        </row>
        <row r="223">
          <cell r="F223">
            <v>8.0033884048461914</v>
          </cell>
        </row>
        <row r="224">
          <cell r="F224">
            <v>9.8166007995605469</v>
          </cell>
        </row>
        <row r="225">
          <cell r="F225">
            <v>9.7352018356323242</v>
          </cell>
        </row>
        <row r="227">
          <cell r="F227" t="str">
            <v/>
          </cell>
        </row>
        <row r="229">
          <cell r="F229">
            <v>106.83514404296875</v>
          </cell>
        </row>
        <row r="230">
          <cell r="F230">
            <v>8.296629786491394E-2</v>
          </cell>
        </row>
        <row r="231">
          <cell r="F231">
            <v>9.7422513961791992</v>
          </cell>
        </row>
        <row r="232">
          <cell r="F232" t="str">
            <v/>
          </cell>
        </row>
        <row r="233">
          <cell r="F233">
            <v>9.1562513262033463E-3</v>
          </cell>
        </row>
        <row r="234">
          <cell r="F234">
            <v>0.50249505043029785</v>
          </cell>
        </row>
        <row r="235">
          <cell r="F235">
            <v>9.6525201797485352</v>
          </cell>
        </row>
        <row r="236">
          <cell r="F236">
            <v>7.0855650901794434</v>
          </cell>
        </row>
        <row r="237">
          <cell r="F237">
            <v>0.9996795654296875</v>
          </cell>
        </row>
        <row r="238">
          <cell r="F238">
            <v>0</v>
          </cell>
        </row>
        <row r="239">
          <cell r="F239">
            <v>0.99940484762191772</v>
          </cell>
        </row>
        <row r="240">
          <cell r="F240">
            <v>7.0291624069213867</v>
          </cell>
        </row>
        <row r="241">
          <cell r="F241">
            <v>0.64226526021957397</v>
          </cell>
        </row>
        <row r="242">
          <cell r="F242">
            <v>9.674952507019043</v>
          </cell>
        </row>
        <row r="243">
          <cell r="F243">
            <v>18147.517578125</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Tech"/>
      <sheetName val="CAPEX"/>
      <sheetName val="In-Qty"/>
      <sheetName val="In-Price"/>
      <sheetName val="Out-Qty"/>
      <sheetName val="Out-Price"/>
      <sheetName val="Dep"/>
      <sheetName val="GST"/>
      <sheetName val="WC"/>
      <sheetName val="Tax"/>
      <sheetName val="Loans"/>
      <sheetName val="P&amp;L"/>
      <sheetName val="IRR"/>
      <sheetName val="COP"/>
    </sheetNames>
    <sheetDataSet>
      <sheetData sheetId="0">
        <row r="104">
          <cell r="D104">
            <v>30</v>
          </cell>
        </row>
        <row r="105">
          <cell r="D105">
            <v>7</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34"/>
  <sheetViews>
    <sheetView showGridLines="0" topLeftCell="G1" workbookViewId="0">
      <selection activeCell="O8" sqref="O8"/>
    </sheetView>
  </sheetViews>
  <sheetFormatPr defaultColWidth="9.140625" defaultRowHeight="15" x14ac:dyDescent="0.25"/>
  <cols>
    <col min="2" max="2" width="29.5703125" customWidth="1"/>
    <col min="3" max="3" width="17" customWidth="1"/>
    <col min="4" max="4" width="18.28515625" bestFit="1" customWidth="1"/>
    <col min="5" max="5" width="16.42578125" bestFit="1" customWidth="1"/>
    <col min="6" max="6" width="37.5703125" bestFit="1" customWidth="1"/>
    <col min="7" max="7" width="30.28515625" customWidth="1"/>
    <col min="8" max="8" width="30" customWidth="1"/>
    <col min="9" max="9" width="35.5703125" bestFit="1" customWidth="1"/>
    <col min="10" max="10" width="27.42578125" bestFit="1" customWidth="1"/>
  </cols>
  <sheetData>
    <row r="1" spans="2:15" x14ac:dyDescent="0.25">
      <c r="B1" s="88" t="s">
        <v>197</v>
      </c>
      <c r="C1" s="88" t="s">
        <v>123</v>
      </c>
      <c r="D1" s="88" t="s">
        <v>196</v>
      </c>
      <c r="E1" s="88" t="s">
        <v>195</v>
      </c>
      <c r="F1" s="88" t="s">
        <v>194</v>
      </c>
      <c r="H1">
        <f>G6*0.001</f>
        <v>175</v>
      </c>
    </row>
    <row r="2" spans="2:15" x14ac:dyDescent="0.25">
      <c r="B2" s="681" t="s">
        <v>134</v>
      </c>
      <c r="C2" s="681"/>
      <c r="D2" s="681"/>
      <c r="E2" s="681"/>
      <c r="F2" s="681"/>
      <c r="H2" s="83" t="s">
        <v>134</v>
      </c>
      <c r="I2" s="83" t="s">
        <v>193</v>
      </c>
      <c r="J2">
        <v>216</v>
      </c>
      <c r="K2">
        <v>274</v>
      </c>
    </row>
    <row r="3" spans="2:15" x14ac:dyDescent="0.25">
      <c r="B3" s="81" t="s">
        <v>136</v>
      </c>
      <c r="C3" s="81" t="s">
        <v>46</v>
      </c>
      <c r="D3" s="81" t="s">
        <v>192</v>
      </c>
      <c r="E3" s="81" t="s">
        <v>179</v>
      </c>
      <c r="F3" s="81" t="s">
        <v>183</v>
      </c>
      <c r="H3" s="81" t="s">
        <v>191</v>
      </c>
      <c r="I3" s="81" t="s">
        <v>190</v>
      </c>
      <c r="K3">
        <f>J2/K2</f>
        <v>0.78832116788321172</v>
      </c>
      <c r="L3" s="77">
        <f>K3*300</f>
        <v>236.49635036496352</v>
      </c>
    </row>
    <row r="4" spans="2:15" x14ac:dyDescent="0.25">
      <c r="B4" s="681" t="s">
        <v>189</v>
      </c>
      <c r="C4" s="681"/>
      <c r="D4" s="681"/>
      <c r="E4" s="681"/>
      <c r="F4" s="681"/>
      <c r="H4" s="81" t="s">
        <v>166</v>
      </c>
      <c r="I4" s="81" t="s">
        <v>188</v>
      </c>
      <c r="J4">
        <v>148</v>
      </c>
      <c r="K4">
        <v>550</v>
      </c>
    </row>
    <row r="5" spans="2:15" x14ac:dyDescent="0.25">
      <c r="B5" s="81" t="s">
        <v>187</v>
      </c>
      <c r="C5" s="81" t="s">
        <v>46</v>
      </c>
      <c r="D5" s="81" t="s">
        <v>186</v>
      </c>
      <c r="E5" s="81" t="s">
        <v>179</v>
      </c>
      <c r="F5" s="81" t="s">
        <v>178</v>
      </c>
      <c r="H5" s="87" t="s">
        <v>185</v>
      </c>
      <c r="I5" s="86" t="s">
        <v>168</v>
      </c>
      <c r="J5">
        <v>59</v>
      </c>
      <c r="K5">
        <v>274</v>
      </c>
    </row>
    <row r="6" spans="2:15" x14ac:dyDescent="0.25">
      <c r="B6" s="81" t="s">
        <v>136</v>
      </c>
      <c r="C6" s="81" t="s">
        <v>46</v>
      </c>
      <c r="D6" s="81" t="s">
        <v>184</v>
      </c>
      <c r="E6" s="81" t="s">
        <v>179</v>
      </c>
      <c r="F6" s="81" t="s">
        <v>183</v>
      </c>
      <c r="G6">
        <v>175000</v>
      </c>
      <c r="H6">
        <f>529*330</f>
        <v>174570</v>
      </c>
      <c r="I6">
        <f>150*330</f>
        <v>49500</v>
      </c>
      <c r="K6">
        <f>J5/K5</f>
        <v>0.21532846715328466</v>
      </c>
      <c r="L6" s="77">
        <f>K6*300</f>
        <v>64.598540145985396</v>
      </c>
    </row>
    <row r="7" spans="2:15" x14ac:dyDescent="0.25">
      <c r="B7" s="681" t="s">
        <v>182</v>
      </c>
      <c r="C7" s="681"/>
      <c r="D7" s="681"/>
      <c r="E7" s="681"/>
      <c r="F7" s="681"/>
      <c r="H7">
        <f>100*330</f>
        <v>33000</v>
      </c>
      <c r="I7">
        <f>I6-G6</f>
        <v>-125500</v>
      </c>
      <c r="N7">
        <f>600/170</f>
        <v>3.5294117647058822</v>
      </c>
      <c r="O7">
        <f>N7*100</f>
        <v>352.94117647058823</v>
      </c>
    </row>
    <row r="8" spans="2:15" x14ac:dyDescent="0.25">
      <c r="B8" s="85" t="s">
        <v>181</v>
      </c>
      <c r="C8" s="81" t="s">
        <v>46</v>
      </c>
      <c r="D8" s="81" t="s">
        <v>180</v>
      </c>
      <c r="E8" s="81" t="s">
        <v>179</v>
      </c>
      <c r="F8" s="81" t="s">
        <v>178</v>
      </c>
      <c r="H8" s="83" t="s">
        <v>177</v>
      </c>
      <c r="I8" s="83" t="s">
        <v>176</v>
      </c>
      <c r="J8" s="83" t="s">
        <v>175</v>
      </c>
    </row>
    <row r="9" spans="2:15" x14ac:dyDescent="0.25">
      <c r="B9" s="81" t="s">
        <v>174</v>
      </c>
      <c r="C9" s="81" t="s">
        <v>46</v>
      </c>
      <c r="D9" s="81" t="s">
        <v>173</v>
      </c>
      <c r="E9" s="81" t="s">
        <v>172</v>
      </c>
      <c r="F9" s="81" t="s">
        <v>171</v>
      </c>
      <c r="H9" s="81" t="s">
        <v>170</v>
      </c>
      <c r="I9" s="81" t="s">
        <v>169</v>
      </c>
      <c r="J9" s="81" t="s">
        <v>168</v>
      </c>
      <c r="L9">
        <f>100000/330</f>
        <v>303.030303030303</v>
      </c>
    </row>
    <row r="10" spans="2:15" ht="34.5" customHeight="1" x14ac:dyDescent="0.25">
      <c r="B10" s="679" t="s">
        <v>167</v>
      </c>
      <c r="C10" s="679"/>
      <c r="D10" s="679"/>
      <c r="E10" s="679"/>
      <c r="F10" s="679"/>
      <c r="G10">
        <f>300*330</f>
        <v>99000</v>
      </c>
      <c r="H10" s="81" t="s">
        <v>200</v>
      </c>
      <c r="I10" s="81" t="s">
        <v>201</v>
      </c>
      <c r="J10" s="81" t="s">
        <v>202</v>
      </c>
      <c r="K10" s="89"/>
    </row>
    <row r="11" spans="2:15" ht="57" customHeight="1" x14ac:dyDescent="0.25">
      <c r="B11" s="84" t="s">
        <v>165</v>
      </c>
      <c r="C11" s="677" t="s">
        <v>164</v>
      </c>
      <c r="D11" s="677"/>
      <c r="E11" s="677"/>
      <c r="F11" s="677"/>
      <c r="H11" s="680" t="s">
        <v>163</v>
      </c>
      <c r="I11" s="680"/>
      <c r="J11" s="680"/>
    </row>
    <row r="12" spans="2:15" ht="31.5" customHeight="1" x14ac:dyDescent="0.25">
      <c r="B12" s="84" t="s">
        <v>162</v>
      </c>
      <c r="C12" s="677" t="s">
        <v>161</v>
      </c>
      <c r="D12" s="677"/>
      <c r="E12" s="677"/>
      <c r="F12" s="677"/>
      <c r="H12" s="81" t="s">
        <v>160</v>
      </c>
      <c r="I12" s="81" t="s">
        <v>159</v>
      </c>
      <c r="J12" s="81" t="s">
        <v>158</v>
      </c>
    </row>
    <row r="13" spans="2:15" x14ac:dyDescent="0.25">
      <c r="J13" s="77"/>
    </row>
    <row r="14" spans="2:15" x14ac:dyDescent="0.25">
      <c r="E14" s="28">
        <v>1361769867</v>
      </c>
      <c r="F14">
        <f>E14/10^7</f>
        <v>136.17698669999999</v>
      </c>
      <c r="H14" s="83" t="s">
        <v>157</v>
      </c>
      <c r="I14" s="83" t="s">
        <v>156</v>
      </c>
      <c r="J14" s="83" t="s">
        <v>155</v>
      </c>
    </row>
    <row r="15" spans="2:15" x14ac:dyDescent="0.25">
      <c r="B15" s="678" t="s">
        <v>154</v>
      </c>
      <c r="C15" s="678"/>
      <c r="F15">
        <f>14.02*10^5</f>
        <v>1402000</v>
      </c>
      <c r="H15" s="81" t="s">
        <v>153</v>
      </c>
      <c r="I15" s="81" t="s">
        <v>152</v>
      </c>
      <c r="J15" s="81" t="s">
        <v>151</v>
      </c>
    </row>
    <row r="16" spans="2:15" x14ac:dyDescent="0.25">
      <c r="B16" s="81" t="s">
        <v>150</v>
      </c>
      <c r="C16" s="82">
        <v>0.28399999999999997</v>
      </c>
      <c r="E16">
        <f>F14/33</f>
        <v>4.1265753545454542</v>
      </c>
      <c r="F16" s="28">
        <f>E16*175</f>
        <v>722.15068704545445</v>
      </c>
    </row>
    <row r="17" spans="1:67" x14ac:dyDescent="0.25">
      <c r="B17" s="81" t="s">
        <v>149</v>
      </c>
      <c r="C17" s="81" t="s">
        <v>148</v>
      </c>
      <c r="E17" s="28">
        <v>945654735</v>
      </c>
    </row>
    <row r="18" spans="1:67" x14ac:dyDescent="0.25">
      <c r="B18" s="81" t="s">
        <v>147</v>
      </c>
      <c r="C18" s="81" t="s">
        <v>146</v>
      </c>
      <c r="E18" s="64">
        <f>E17/E14</f>
        <v>0.69443065081421718</v>
      </c>
    </row>
    <row r="19" spans="1:67" x14ac:dyDescent="0.25">
      <c r="B19" s="81" t="s">
        <v>145</v>
      </c>
      <c r="C19" s="81" t="s">
        <v>144</v>
      </c>
    </row>
    <row r="20" spans="1:67" x14ac:dyDescent="0.25">
      <c r="B20" s="81" t="s">
        <v>143</v>
      </c>
      <c r="C20" s="81" t="s">
        <v>142</v>
      </c>
    </row>
    <row r="21" spans="1:67" x14ac:dyDescent="0.25">
      <c r="B21" s="81" t="s">
        <v>40</v>
      </c>
      <c r="C21" s="81" t="s">
        <v>141</v>
      </c>
      <c r="E21" t="s">
        <v>208</v>
      </c>
      <c r="F21" t="s">
        <v>209</v>
      </c>
      <c r="G21" t="s">
        <v>210</v>
      </c>
      <c r="H21" t="s">
        <v>211</v>
      </c>
      <c r="I21" t="s">
        <v>237</v>
      </c>
    </row>
    <row r="22" spans="1:67" s="1" customFormat="1" ht="12.75" x14ac:dyDescent="0.2">
      <c r="A22" s="29"/>
      <c r="D22" s="1">
        <f>F23*100000</f>
        <v>27.999999999999996</v>
      </c>
      <c r="E22" s="79">
        <v>88626.4</v>
      </c>
      <c r="F22" s="29" t="s">
        <v>247</v>
      </c>
      <c r="G22" s="78">
        <f>F23*E22</f>
        <v>24.815391999999996</v>
      </c>
      <c r="H22" s="230">
        <f>G22*76</f>
        <v>1885.9697919999996</v>
      </c>
      <c r="I22" s="78">
        <f>H22*100000</f>
        <v>188596979.19999996</v>
      </c>
      <c r="J22" s="78">
        <f>I22/10^7</f>
        <v>18.859697919999995</v>
      </c>
      <c r="K22" s="78"/>
      <c r="L22" s="78"/>
      <c r="M22" s="78"/>
      <c r="N22" s="78"/>
      <c r="O22" s="78"/>
      <c r="P22" s="78"/>
      <c r="Q22" s="78"/>
      <c r="R22" s="78"/>
      <c r="S22" s="78"/>
      <c r="T22" s="78"/>
      <c r="U22" s="78"/>
      <c r="V22" s="78"/>
      <c r="W22" s="78"/>
      <c r="X22" s="78"/>
      <c r="Y22" s="78"/>
      <c r="Z22" s="78"/>
      <c r="AA22" s="78"/>
      <c r="AB22" s="78"/>
      <c r="AC22" s="78"/>
      <c r="AD22" s="78"/>
      <c r="AE22" s="78"/>
      <c r="AF22" s="78"/>
      <c r="AG22" s="78"/>
      <c r="AH22" s="78"/>
      <c r="AI22" s="78"/>
      <c r="AJ22" s="78"/>
      <c r="AK22" s="78"/>
      <c r="AL22" s="78"/>
      <c r="AM22" s="78"/>
      <c r="AN22" s="78"/>
      <c r="AO22" s="78"/>
      <c r="AP22" s="78"/>
      <c r="AQ22" s="78"/>
      <c r="AR22" s="78"/>
      <c r="AS22" s="78"/>
      <c r="AT22" s="78"/>
      <c r="AU22" s="78"/>
      <c r="AV22" s="78"/>
      <c r="AW22" s="78"/>
      <c r="AX22" s="78"/>
      <c r="AY22" s="78"/>
      <c r="AZ22" s="78"/>
      <c r="BA22" s="78"/>
      <c r="BB22" s="78"/>
      <c r="BC22" s="78"/>
      <c r="BD22" s="78"/>
      <c r="BE22" s="78"/>
      <c r="BF22" s="78"/>
      <c r="BG22" s="78"/>
      <c r="BH22" s="78"/>
      <c r="BI22" s="78"/>
      <c r="BJ22" s="78"/>
      <c r="BK22" s="78"/>
      <c r="BL22" s="78"/>
      <c r="BM22" s="78"/>
      <c r="BN22" s="78"/>
      <c r="BO22" s="78"/>
    </row>
    <row r="23" spans="1:67" s="1" customFormat="1" ht="12.75" x14ac:dyDescent="0.2">
      <c r="E23" s="1">
        <v>28</v>
      </c>
      <c r="F23" s="29">
        <f>E23/100000</f>
        <v>2.7999999999999998E-4</v>
      </c>
      <c r="G23" s="29"/>
      <c r="H23" s="29"/>
      <c r="I23" s="91">
        <f>I22/10^7</f>
        <v>18.859697919999995</v>
      </c>
      <c r="J23" s="29"/>
      <c r="K23" s="29"/>
      <c r="L23" s="29"/>
      <c r="M23" s="29"/>
      <c r="N23" s="29"/>
      <c r="O23" s="29"/>
      <c r="P23" s="29"/>
      <c r="Q23" s="29"/>
      <c r="R23" s="29"/>
      <c r="S23" s="29"/>
      <c r="T23" s="29"/>
      <c r="U23" s="29"/>
      <c r="V23" s="30"/>
      <c r="BO23" s="13"/>
    </row>
    <row r="27" spans="1:67" ht="15.75" x14ac:dyDescent="0.25">
      <c r="A27" s="231" t="s">
        <v>269</v>
      </c>
      <c r="D27" s="231" t="s">
        <v>272</v>
      </c>
      <c r="F27">
        <f>0.28/1000</f>
        <v>2.8000000000000003E-4</v>
      </c>
    </row>
    <row r="28" spans="1:67" ht="16.5" thickBot="1" x14ac:dyDescent="0.3">
      <c r="A28" s="231" t="s">
        <v>270</v>
      </c>
      <c r="D28" s="231" t="s">
        <v>273</v>
      </c>
    </row>
    <row r="29" spans="1:67" ht="15.75" thickBot="1" x14ac:dyDescent="0.3">
      <c r="A29" s="232" t="s">
        <v>213</v>
      </c>
      <c r="B29" s="233">
        <v>28412</v>
      </c>
      <c r="D29" s="236" t="s">
        <v>213</v>
      </c>
      <c r="E29" s="237">
        <v>25699</v>
      </c>
    </row>
    <row r="30" spans="1:67" ht="15.75" thickBot="1" x14ac:dyDescent="0.3">
      <c r="A30" s="234" t="s">
        <v>214</v>
      </c>
      <c r="B30" s="235">
        <v>29925</v>
      </c>
      <c r="D30" s="238" t="s">
        <v>214</v>
      </c>
      <c r="E30" s="239">
        <v>26033</v>
      </c>
    </row>
    <row r="31" spans="1:67" ht="15.75" thickBot="1" x14ac:dyDescent="0.3">
      <c r="A31" s="234" t="s">
        <v>215</v>
      </c>
      <c r="B31" s="235">
        <v>29764</v>
      </c>
      <c r="D31" s="238" t="s">
        <v>215</v>
      </c>
      <c r="E31" s="239">
        <v>28157</v>
      </c>
    </row>
    <row r="32" spans="1:67" ht="15.75" thickBot="1" x14ac:dyDescent="0.3">
      <c r="A32" s="234" t="s">
        <v>216</v>
      </c>
      <c r="B32" s="235">
        <v>28868</v>
      </c>
      <c r="D32" s="238" t="s">
        <v>216</v>
      </c>
      <c r="E32" s="239">
        <v>26258</v>
      </c>
    </row>
    <row r="33" spans="1:5" ht="15.75" thickBot="1" x14ac:dyDescent="0.3">
      <c r="A33" s="234" t="s">
        <v>271</v>
      </c>
      <c r="B33" s="235">
        <v>49740</v>
      </c>
      <c r="D33" s="238" t="s">
        <v>271</v>
      </c>
      <c r="E33" s="239">
        <v>43871</v>
      </c>
    </row>
    <row r="34" spans="1:5" x14ac:dyDescent="0.25">
      <c r="B34" s="77">
        <f>AVERAGE(B29:B32)</f>
        <v>29242.25</v>
      </c>
      <c r="E34" s="77">
        <f>AVERAGE(E29:E32)</f>
        <v>26536.75</v>
      </c>
    </row>
  </sheetData>
  <mergeCells count="8">
    <mergeCell ref="C12:F12"/>
    <mergeCell ref="B15:C15"/>
    <mergeCell ref="B10:F10"/>
    <mergeCell ref="H11:J11"/>
    <mergeCell ref="B2:F2"/>
    <mergeCell ref="B4:F4"/>
    <mergeCell ref="B7:F7"/>
    <mergeCell ref="C11:F1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S13"/>
  <sheetViews>
    <sheetView showGridLines="0" workbookViewId="0">
      <selection activeCell="J12" sqref="J12"/>
    </sheetView>
  </sheetViews>
  <sheetFormatPr defaultRowHeight="15" x14ac:dyDescent="0.25"/>
  <cols>
    <col min="2" max="2" width="18.140625" bestFit="1" customWidth="1"/>
    <col min="3" max="3" width="19" bestFit="1" customWidth="1"/>
  </cols>
  <sheetData>
    <row r="2" spans="1:19" x14ac:dyDescent="0.25">
      <c r="A2" s="245" t="s">
        <v>287</v>
      </c>
      <c r="B2" s="246"/>
      <c r="C2" s="247"/>
      <c r="D2" s="247"/>
      <c r="E2" s="247"/>
      <c r="F2" s="247"/>
      <c r="G2" s="247"/>
      <c r="H2" s="247"/>
      <c r="I2" s="247"/>
      <c r="J2" s="247"/>
      <c r="K2" s="247"/>
      <c r="L2" s="247"/>
      <c r="M2" s="247"/>
      <c r="N2" s="247"/>
      <c r="O2" s="247"/>
      <c r="P2" s="247"/>
      <c r="Q2" s="247"/>
      <c r="R2" s="247"/>
    </row>
    <row r="3" spans="1:19" x14ac:dyDescent="0.25">
      <c r="A3" s="248"/>
      <c r="B3" s="249"/>
      <c r="C3" s="247"/>
      <c r="D3" s="247"/>
      <c r="E3" s="247"/>
      <c r="F3" s="247"/>
      <c r="G3" s="247"/>
      <c r="H3" s="247"/>
      <c r="I3" s="247"/>
      <c r="J3" s="247"/>
      <c r="K3" s="247"/>
      <c r="L3" s="247"/>
      <c r="M3" s="247"/>
      <c r="N3" s="247"/>
      <c r="O3" s="247"/>
      <c r="P3" s="247"/>
      <c r="Q3" s="247"/>
      <c r="R3" s="247"/>
    </row>
    <row r="4" spans="1:19" x14ac:dyDescent="0.25">
      <c r="A4" s="247"/>
      <c r="B4" s="250" t="s">
        <v>288</v>
      </c>
      <c r="C4" s="251">
        <v>1</v>
      </c>
      <c r="D4" s="247"/>
      <c r="E4" s="247"/>
      <c r="F4" s="247"/>
      <c r="G4" s="247"/>
      <c r="H4" s="247">
        <f>31*42</f>
        <v>1302</v>
      </c>
      <c r="I4" s="247"/>
      <c r="J4" s="247"/>
      <c r="K4" s="247"/>
      <c r="L4" s="247"/>
      <c r="M4" s="247"/>
      <c r="N4" s="247"/>
      <c r="O4" s="247"/>
      <c r="P4" s="247"/>
      <c r="Q4" s="247"/>
      <c r="R4" s="247"/>
    </row>
    <row r="5" spans="1:19" x14ac:dyDescent="0.25">
      <c r="A5" s="247"/>
      <c r="B5" s="252" t="s">
        <v>289</v>
      </c>
      <c r="C5" s="253">
        <v>8</v>
      </c>
      <c r="D5" s="247"/>
      <c r="E5" s="247"/>
      <c r="F5" s="247"/>
      <c r="G5" s="247"/>
      <c r="H5" s="247"/>
      <c r="I5" s="247"/>
      <c r="J5" s="247"/>
      <c r="K5" s="247"/>
      <c r="L5" s="247"/>
      <c r="M5" s="247"/>
      <c r="N5" s="247"/>
      <c r="O5" s="247"/>
      <c r="P5" s="247"/>
      <c r="Q5" s="247"/>
      <c r="R5" s="247"/>
    </row>
    <row r="6" spans="1:19" x14ac:dyDescent="0.25">
      <c r="A6" s="247"/>
      <c r="B6" s="252" t="s">
        <v>280</v>
      </c>
      <c r="C6" s="254">
        <v>0.11</v>
      </c>
      <c r="D6" s="247"/>
      <c r="E6" s="247"/>
      <c r="F6" s="247"/>
      <c r="G6" s="247"/>
      <c r="H6" s="247"/>
      <c r="I6" s="247"/>
      <c r="J6" s="247"/>
      <c r="K6" s="247"/>
      <c r="L6" s="247"/>
      <c r="M6" s="247"/>
      <c r="N6" s="247"/>
      <c r="O6" s="247"/>
      <c r="P6" s="247"/>
      <c r="Q6" s="247"/>
      <c r="R6" s="247"/>
    </row>
    <row r="7" spans="1:19" x14ac:dyDescent="0.25">
      <c r="A7" s="247"/>
      <c r="B7" s="252" t="s">
        <v>290</v>
      </c>
      <c r="C7" s="255" t="e">
        <f>Norms!#REF!</f>
        <v>#REF!</v>
      </c>
      <c r="D7" s="256"/>
      <c r="E7" s="247"/>
      <c r="F7" s="247"/>
      <c r="G7" s="247"/>
      <c r="H7" s="247"/>
      <c r="I7" s="247"/>
      <c r="J7" s="247"/>
      <c r="K7" s="247"/>
      <c r="L7" s="247"/>
      <c r="M7" s="247"/>
      <c r="N7" s="247"/>
      <c r="O7" s="247"/>
      <c r="P7" s="247"/>
      <c r="Q7" s="247"/>
      <c r="R7" s="247"/>
    </row>
    <row r="8" spans="1:19" x14ac:dyDescent="0.25">
      <c r="A8" s="247"/>
      <c r="B8" s="252" t="s">
        <v>291</v>
      </c>
      <c r="C8" s="255" t="e">
        <f>C7/C5</f>
        <v>#REF!</v>
      </c>
      <c r="D8" s="247"/>
      <c r="E8" s="247"/>
      <c r="F8" s="247"/>
      <c r="G8" s="247"/>
      <c r="H8" s="247"/>
      <c r="I8" s="247"/>
      <c r="J8" s="247"/>
      <c r="K8" s="247"/>
      <c r="L8" s="247"/>
      <c r="M8" s="247"/>
      <c r="N8" s="247"/>
      <c r="O8" s="247"/>
      <c r="P8" s="247"/>
      <c r="Q8" s="247"/>
      <c r="R8" s="247"/>
    </row>
    <row r="9" spans="1:19" x14ac:dyDescent="0.25">
      <c r="A9" s="247"/>
      <c r="B9" s="247"/>
      <c r="C9" s="247"/>
      <c r="D9" s="247"/>
      <c r="E9" s="247"/>
      <c r="F9" s="247"/>
      <c r="G9" s="247"/>
      <c r="H9" s="247"/>
      <c r="I9" s="247"/>
      <c r="J9" s="247"/>
      <c r="K9" s="247"/>
      <c r="L9" s="247"/>
      <c r="M9" s="247"/>
      <c r="N9" s="247"/>
      <c r="O9" s="247"/>
      <c r="P9" s="247"/>
      <c r="Q9" s="247"/>
      <c r="R9" s="247"/>
    </row>
    <row r="10" spans="1:19" x14ac:dyDescent="0.25">
      <c r="A10" s="257"/>
      <c r="B10" s="257"/>
      <c r="C10" s="258" t="s">
        <v>292</v>
      </c>
      <c r="D10" s="259">
        <v>-1</v>
      </c>
      <c r="E10" s="259">
        <v>1</v>
      </c>
      <c r="F10" s="259">
        <v>2</v>
      </c>
      <c r="G10" s="259">
        <v>3</v>
      </c>
      <c r="H10" s="259">
        <v>4</v>
      </c>
      <c r="I10" s="259">
        <v>5</v>
      </c>
      <c r="J10" s="259">
        <v>6</v>
      </c>
      <c r="K10" s="259">
        <v>7</v>
      </c>
      <c r="L10" s="259">
        <v>8</v>
      </c>
      <c r="M10" s="259">
        <v>9</v>
      </c>
      <c r="N10" s="259">
        <v>10</v>
      </c>
      <c r="O10" s="259">
        <v>11</v>
      </c>
      <c r="P10" s="259">
        <v>12</v>
      </c>
      <c r="Q10" s="259">
        <v>13</v>
      </c>
      <c r="R10" s="259">
        <v>14</v>
      </c>
      <c r="S10" s="259">
        <v>15</v>
      </c>
    </row>
    <row r="11" spans="1:19" x14ac:dyDescent="0.25">
      <c r="A11" s="252"/>
      <c r="B11" s="252" t="s">
        <v>293</v>
      </c>
      <c r="C11" s="251"/>
      <c r="D11" s="251"/>
      <c r="E11" s="253" t="e">
        <f>IF(E10&lt;=$C$5,$C$8,0)</f>
        <v>#REF!</v>
      </c>
      <c r="F11" s="253" t="e">
        <f t="shared" ref="F11:S11" si="0">IF(F10&lt;=$C$5,$C$8,0)</f>
        <v>#REF!</v>
      </c>
      <c r="G11" s="253" t="e">
        <f t="shared" si="0"/>
        <v>#REF!</v>
      </c>
      <c r="H11" s="253" t="e">
        <f t="shared" si="0"/>
        <v>#REF!</v>
      </c>
      <c r="I11" s="253" t="e">
        <f t="shared" si="0"/>
        <v>#REF!</v>
      </c>
      <c r="J11" s="253" t="e">
        <f t="shared" si="0"/>
        <v>#REF!</v>
      </c>
      <c r="K11" s="253" t="e">
        <f t="shared" si="0"/>
        <v>#REF!</v>
      </c>
      <c r="L11" s="253" t="e">
        <f t="shared" si="0"/>
        <v>#REF!</v>
      </c>
      <c r="M11" s="253">
        <f t="shared" si="0"/>
        <v>0</v>
      </c>
      <c r="N11" s="253">
        <f t="shared" si="0"/>
        <v>0</v>
      </c>
      <c r="O11" s="253">
        <f t="shared" si="0"/>
        <v>0</v>
      </c>
      <c r="P11" s="253">
        <f t="shared" si="0"/>
        <v>0</v>
      </c>
      <c r="Q11" s="253">
        <f t="shared" si="0"/>
        <v>0</v>
      </c>
      <c r="R11" s="253">
        <f t="shared" si="0"/>
        <v>0</v>
      </c>
      <c r="S11" s="253">
        <f t="shared" si="0"/>
        <v>0</v>
      </c>
    </row>
    <row r="12" spans="1:19" x14ac:dyDescent="0.25">
      <c r="A12" s="252"/>
      <c r="B12" s="252" t="s">
        <v>294</v>
      </c>
      <c r="C12" s="255">
        <v>0</v>
      </c>
      <c r="D12" s="255" t="e">
        <f>Norms!#REF!</f>
        <v>#REF!</v>
      </c>
      <c r="E12" s="255" t="e">
        <f>C7</f>
        <v>#REF!</v>
      </c>
      <c r="F12" s="255" t="e">
        <f>E12-E11</f>
        <v>#REF!</v>
      </c>
      <c r="G12" s="255" t="e">
        <f t="shared" ref="G12:S12" si="1">F12-F11</f>
        <v>#REF!</v>
      </c>
      <c r="H12" s="255" t="e">
        <f t="shared" si="1"/>
        <v>#REF!</v>
      </c>
      <c r="I12" s="255" t="e">
        <f>H12-H11</f>
        <v>#REF!</v>
      </c>
      <c r="J12" s="255" t="e">
        <f t="shared" si="1"/>
        <v>#REF!</v>
      </c>
      <c r="K12" s="255" t="e">
        <f>J12-J11</f>
        <v>#REF!</v>
      </c>
      <c r="L12" s="255" t="e">
        <f t="shared" si="1"/>
        <v>#REF!</v>
      </c>
      <c r="M12" s="255" t="e">
        <f t="shared" si="1"/>
        <v>#REF!</v>
      </c>
      <c r="N12" s="255" t="e">
        <f t="shared" si="1"/>
        <v>#REF!</v>
      </c>
      <c r="O12" s="255" t="e">
        <f t="shared" si="1"/>
        <v>#REF!</v>
      </c>
      <c r="P12" s="255" t="e">
        <f t="shared" si="1"/>
        <v>#REF!</v>
      </c>
      <c r="Q12" s="255" t="e">
        <f t="shared" si="1"/>
        <v>#REF!</v>
      </c>
      <c r="R12" s="255" t="e">
        <f t="shared" si="1"/>
        <v>#REF!</v>
      </c>
      <c r="S12" s="255" t="e">
        <f t="shared" si="1"/>
        <v>#REF!</v>
      </c>
    </row>
    <row r="13" spans="1:19" x14ac:dyDescent="0.25">
      <c r="A13" s="252"/>
      <c r="B13" s="252" t="s">
        <v>280</v>
      </c>
      <c r="C13" s="253">
        <v>0</v>
      </c>
      <c r="D13" s="253" t="e">
        <f>D12*$C$6</f>
        <v>#REF!</v>
      </c>
      <c r="E13" s="253" t="e">
        <f t="shared" ref="E13:S13" si="2">E12*$C$6</f>
        <v>#REF!</v>
      </c>
      <c r="F13" s="253" t="e">
        <f t="shared" si="2"/>
        <v>#REF!</v>
      </c>
      <c r="G13" s="253" t="e">
        <f t="shared" si="2"/>
        <v>#REF!</v>
      </c>
      <c r="H13" s="253" t="e">
        <f t="shared" si="2"/>
        <v>#REF!</v>
      </c>
      <c r="I13" s="253" t="e">
        <f t="shared" si="2"/>
        <v>#REF!</v>
      </c>
      <c r="J13" s="253" t="e">
        <f t="shared" si="2"/>
        <v>#REF!</v>
      </c>
      <c r="K13" s="253" t="e">
        <f t="shared" si="2"/>
        <v>#REF!</v>
      </c>
      <c r="L13" s="253" t="e">
        <f t="shared" si="2"/>
        <v>#REF!</v>
      </c>
      <c r="M13" s="253" t="e">
        <f t="shared" si="2"/>
        <v>#REF!</v>
      </c>
      <c r="N13" s="253" t="e">
        <f t="shared" si="2"/>
        <v>#REF!</v>
      </c>
      <c r="O13" s="253" t="e">
        <f t="shared" si="2"/>
        <v>#REF!</v>
      </c>
      <c r="P13" s="253" t="e">
        <f t="shared" si="2"/>
        <v>#REF!</v>
      </c>
      <c r="Q13" s="253" t="e">
        <f t="shared" si="2"/>
        <v>#REF!</v>
      </c>
      <c r="R13" s="253" t="e">
        <f t="shared" si="2"/>
        <v>#REF!</v>
      </c>
      <c r="S13" s="253" t="e">
        <f t="shared" si="2"/>
        <v>#REF!</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38"/>
  <sheetViews>
    <sheetView showGridLines="0" zoomScaleNormal="100" zoomScaleSheetLayoutView="100" workbookViewId="0">
      <selection activeCell="B35" sqref="B35"/>
    </sheetView>
  </sheetViews>
  <sheetFormatPr defaultRowHeight="21" customHeight="1" x14ac:dyDescent="0.2"/>
  <cols>
    <col min="1" max="1" width="33" style="122" customWidth="1"/>
    <col min="2" max="2" width="63.7109375" style="122" bestFit="1" customWidth="1"/>
    <col min="3" max="11" width="10.7109375" style="122" customWidth="1"/>
    <col min="12" max="256" width="9.140625" style="122"/>
    <col min="257" max="257" width="35.7109375" style="122" customWidth="1"/>
    <col min="258" max="267" width="10.7109375" style="122" customWidth="1"/>
    <col min="268" max="512" width="9.140625" style="122"/>
    <col min="513" max="513" width="35.7109375" style="122" customWidth="1"/>
    <col min="514" max="523" width="10.7109375" style="122" customWidth="1"/>
    <col min="524" max="768" width="9.140625" style="122"/>
    <col min="769" max="769" width="35.7109375" style="122" customWidth="1"/>
    <col min="770" max="779" width="10.7109375" style="122" customWidth="1"/>
    <col min="780" max="1024" width="9.140625" style="122"/>
    <col min="1025" max="1025" width="35.7109375" style="122" customWidth="1"/>
    <col min="1026" max="1035" width="10.7109375" style="122" customWidth="1"/>
    <col min="1036" max="1280" width="9.140625" style="122"/>
    <col min="1281" max="1281" width="35.7109375" style="122" customWidth="1"/>
    <col min="1282" max="1291" width="10.7109375" style="122" customWidth="1"/>
    <col min="1292" max="1536" width="9.140625" style="122"/>
    <col min="1537" max="1537" width="35.7109375" style="122" customWidth="1"/>
    <col min="1538" max="1547" width="10.7109375" style="122" customWidth="1"/>
    <col min="1548" max="1792" width="9.140625" style="122"/>
    <col min="1793" max="1793" width="35.7109375" style="122" customWidth="1"/>
    <col min="1794" max="1803" width="10.7109375" style="122" customWidth="1"/>
    <col min="1804" max="2048" width="9.140625" style="122"/>
    <col min="2049" max="2049" width="35.7109375" style="122" customWidth="1"/>
    <col min="2050" max="2059" width="10.7109375" style="122" customWidth="1"/>
    <col min="2060" max="2304" width="9.140625" style="122"/>
    <col min="2305" max="2305" width="35.7109375" style="122" customWidth="1"/>
    <col min="2306" max="2315" width="10.7109375" style="122" customWidth="1"/>
    <col min="2316" max="2560" width="9.140625" style="122"/>
    <col min="2561" max="2561" width="35.7109375" style="122" customWidth="1"/>
    <col min="2562" max="2571" width="10.7109375" style="122" customWidth="1"/>
    <col min="2572" max="2816" width="9.140625" style="122"/>
    <col min="2817" max="2817" width="35.7109375" style="122" customWidth="1"/>
    <col min="2818" max="2827" width="10.7109375" style="122" customWidth="1"/>
    <col min="2828" max="3072" width="9.140625" style="122"/>
    <col min="3073" max="3073" width="35.7109375" style="122" customWidth="1"/>
    <col min="3074" max="3083" width="10.7109375" style="122" customWidth="1"/>
    <col min="3084" max="3328" width="9.140625" style="122"/>
    <col min="3329" max="3329" width="35.7109375" style="122" customWidth="1"/>
    <col min="3330" max="3339" width="10.7109375" style="122" customWidth="1"/>
    <col min="3340" max="3584" width="9.140625" style="122"/>
    <col min="3585" max="3585" width="35.7109375" style="122" customWidth="1"/>
    <col min="3586" max="3595" width="10.7109375" style="122" customWidth="1"/>
    <col min="3596" max="3840" width="9.140625" style="122"/>
    <col min="3841" max="3841" width="35.7109375" style="122" customWidth="1"/>
    <col min="3842" max="3851" width="10.7109375" style="122" customWidth="1"/>
    <col min="3852" max="4096" width="9.140625" style="122"/>
    <col min="4097" max="4097" width="35.7109375" style="122" customWidth="1"/>
    <col min="4098" max="4107" width="10.7109375" style="122" customWidth="1"/>
    <col min="4108" max="4352" width="9.140625" style="122"/>
    <col min="4353" max="4353" width="35.7109375" style="122" customWidth="1"/>
    <col min="4354" max="4363" width="10.7109375" style="122" customWidth="1"/>
    <col min="4364" max="4608" width="9.140625" style="122"/>
    <col min="4609" max="4609" width="35.7109375" style="122" customWidth="1"/>
    <col min="4610" max="4619" width="10.7109375" style="122" customWidth="1"/>
    <col min="4620" max="4864" width="9.140625" style="122"/>
    <col min="4865" max="4865" width="35.7109375" style="122" customWidth="1"/>
    <col min="4866" max="4875" width="10.7109375" style="122" customWidth="1"/>
    <col min="4876" max="5120" width="9.140625" style="122"/>
    <col min="5121" max="5121" width="35.7109375" style="122" customWidth="1"/>
    <col min="5122" max="5131" width="10.7109375" style="122" customWidth="1"/>
    <col min="5132" max="5376" width="9.140625" style="122"/>
    <col min="5377" max="5377" width="35.7109375" style="122" customWidth="1"/>
    <col min="5378" max="5387" width="10.7109375" style="122" customWidth="1"/>
    <col min="5388" max="5632" width="9.140625" style="122"/>
    <col min="5633" max="5633" width="35.7109375" style="122" customWidth="1"/>
    <col min="5634" max="5643" width="10.7109375" style="122" customWidth="1"/>
    <col min="5644" max="5888" width="9.140625" style="122"/>
    <col min="5889" max="5889" width="35.7109375" style="122" customWidth="1"/>
    <col min="5890" max="5899" width="10.7109375" style="122" customWidth="1"/>
    <col min="5900" max="6144" width="9.140625" style="122"/>
    <col min="6145" max="6145" width="35.7109375" style="122" customWidth="1"/>
    <col min="6146" max="6155" width="10.7109375" style="122" customWidth="1"/>
    <col min="6156" max="6400" width="9.140625" style="122"/>
    <col min="6401" max="6401" width="35.7109375" style="122" customWidth="1"/>
    <col min="6402" max="6411" width="10.7109375" style="122" customWidth="1"/>
    <col min="6412" max="6656" width="9.140625" style="122"/>
    <col min="6657" max="6657" width="35.7109375" style="122" customWidth="1"/>
    <col min="6658" max="6667" width="10.7109375" style="122" customWidth="1"/>
    <col min="6668" max="6912" width="9.140625" style="122"/>
    <col min="6913" max="6913" width="35.7109375" style="122" customWidth="1"/>
    <col min="6914" max="6923" width="10.7109375" style="122" customWidth="1"/>
    <col min="6924" max="7168" width="9.140625" style="122"/>
    <col min="7169" max="7169" width="35.7109375" style="122" customWidth="1"/>
    <col min="7170" max="7179" width="10.7109375" style="122" customWidth="1"/>
    <col min="7180" max="7424" width="9.140625" style="122"/>
    <col min="7425" max="7425" width="35.7109375" style="122" customWidth="1"/>
    <col min="7426" max="7435" width="10.7109375" style="122" customWidth="1"/>
    <col min="7436" max="7680" width="9.140625" style="122"/>
    <col min="7681" max="7681" width="35.7109375" style="122" customWidth="1"/>
    <col min="7682" max="7691" width="10.7109375" style="122" customWidth="1"/>
    <col min="7692" max="7936" width="9.140625" style="122"/>
    <col min="7937" max="7937" width="35.7109375" style="122" customWidth="1"/>
    <col min="7938" max="7947" width="10.7109375" style="122" customWidth="1"/>
    <col min="7948" max="8192" width="9.140625" style="122"/>
    <col min="8193" max="8193" width="35.7109375" style="122" customWidth="1"/>
    <col min="8194" max="8203" width="10.7109375" style="122" customWidth="1"/>
    <col min="8204" max="8448" width="9.140625" style="122"/>
    <col min="8449" max="8449" width="35.7109375" style="122" customWidth="1"/>
    <col min="8450" max="8459" width="10.7109375" style="122" customWidth="1"/>
    <col min="8460" max="8704" width="9.140625" style="122"/>
    <col min="8705" max="8705" width="35.7109375" style="122" customWidth="1"/>
    <col min="8706" max="8715" width="10.7109375" style="122" customWidth="1"/>
    <col min="8716" max="8960" width="9.140625" style="122"/>
    <col min="8961" max="8961" width="35.7109375" style="122" customWidth="1"/>
    <col min="8962" max="8971" width="10.7109375" style="122" customWidth="1"/>
    <col min="8972" max="9216" width="9.140625" style="122"/>
    <col min="9217" max="9217" width="35.7109375" style="122" customWidth="1"/>
    <col min="9218" max="9227" width="10.7109375" style="122" customWidth="1"/>
    <col min="9228" max="9472" width="9.140625" style="122"/>
    <col min="9473" max="9473" width="35.7109375" style="122" customWidth="1"/>
    <col min="9474" max="9483" width="10.7109375" style="122" customWidth="1"/>
    <col min="9484" max="9728" width="9.140625" style="122"/>
    <col min="9729" max="9729" width="35.7109375" style="122" customWidth="1"/>
    <col min="9730" max="9739" width="10.7109375" style="122" customWidth="1"/>
    <col min="9740" max="9984" width="9.140625" style="122"/>
    <col min="9985" max="9985" width="35.7109375" style="122" customWidth="1"/>
    <col min="9986" max="9995" width="10.7109375" style="122" customWidth="1"/>
    <col min="9996" max="10240" width="9.140625" style="122"/>
    <col min="10241" max="10241" width="35.7109375" style="122" customWidth="1"/>
    <col min="10242" max="10251" width="10.7109375" style="122" customWidth="1"/>
    <col min="10252" max="10496" width="9.140625" style="122"/>
    <col min="10497" max="10497" width="35.7109375" style="122" customWidth="1"/>
    <col min="10498" max="10507" width="10.7109375" style="122" customWidth="1"/>
    <col min="10508" max="10752" width="9.140625" style="122"/>
    <col min="10753" max="10753" width="35.7109375" style="122" customWidth="1"/>
    <col min="10754" max="10763" width="10.7109375" style="122" customWidth="1"/>
    <col min="10764" max="11008" width="9.140625" style="122"/>
    <col min="11009" max="11009" width="35.7109375" style="122" customWidth="1"/>
    <col min="11010" max="11019" width="10.7109375" style="122" customWidth="1"/>
    <col min="11020" max="11264" width="9.140625" style="122"/>
    <col min="11265" max="11265" width="35.7109375" style="122" customWidth="1"/>
    <col min="11266" max="11275" width="10.7109375" style="122" customWidth="1"/>
    <col min="11276" max="11520" width="9.140625" style="122"/>
    <col min="11521" max="11521" width="35.7109375" style="122" customWidth="1"/>
    <col min="11522" max="11531" width="10.7109375" style="122" customWidth="1"/>
    <col min="11532" max="11776" width="9.140625" style="122"/>
    <col min="11777" max="11777" width="35.7109375" style="122" customWidth="1"/>
    <col min="11778" max="11787" width="10.7109375" style="122" customWidth="1"/>
    <col min="11788" max="12032" width="9.140625" style="122"/>
    <col min="12033" max="12033" width="35.7109375" style="122" customWidth="1"/>
    <col min="12034" max="12043" width="10.7109375" style="122" customWidth="1"/>
    <col min="12044" max="12288" width="9.140625" style="122"/>
    <col min="12289" max="12289" width="35.7109375" style="122" customWidth="1"/>
    <col min="12290" max="12299" width="10.7109375" style="122" customWidth="1"/>
    <col min="12300" max="12544" width="9.140625" style="122"/>
    <col min="12545" max="12545" width="35.7109375" style="122" customWidth="1"/>
    <col min="12546" max="12555" width="10.7109375" style="122" customWidth="1"/>
    <col min="12556" max="12800" width="9.140625" style="122"/>
    <col min="12801" max="12801" width="35.7109375" style="122" customWidth="1"/>
    <col min="12802" max="12811" width="10.7109375" style="122" customWidth="1"/>
    <col min="12812" max="13056" width="9.140625" style="122"/>
    <col min="13057" max="13057" width="35.7109375" style="122" customWidth="1"/>
    <col min="13058" max="13067" width="10.7109375" style="122" customWidth="1"/>
    <col min="13068" max="13312" width="9.140625" style="122"/>
    <col min="13313" max="13313" width="35.7109375" style="122" customWidth="1"/>
    <col min="13314" max="13323" width="10.7109375" style="122" customWidth="1"/>
    <col min="13324" max="13568" width="9.140625" style="122"/>
    <col min="13569" max="13569" width="35.7109375" style="122" customWidth="1"/>
    <col min="13570" max="13579" width="10.7109375" style="122" customWidth="1"/>
    <col min="13580" max="13824" width="9.140625" style="122"/>
    <col min="13825" max="13825" width="35.7109375" style="122" customWidth="1"/>
    <col min="13826" max="13835" width="10.7109375" style="122" customWidth="1"/>
    <col min="13836" max="14080" width="9.140625" style="122"/>
    <col min="14081" max="14081" width="35.7109375" style="122" customWidth="1"/>
    <col min="14082" max="14091" width="10.7109375" style="122" customWidth="1"/>
    <col min="14092" max="14336" width="9.140625" style="122"/>
    <col min="14337" max="14337" width="35.7109375" style="122" customWidth="1"/>
    <col min="14338" max="14347" width="10.7109375" style="122" customWidth="1"/>
    <col min="14348" max="14592" width="9.140625" style="122"/>
    <col min="14593" max="14593" width="35.7109375" style="122" customWidth="1"/>
    <col min="14594" max="14603" width="10.7109375" style="122" customWidth="1"/>
    <col min="14604" max="14848" width="9.140625" style="122"/>
    <col min="14849" max="14849" width="35.7109375" style="122" customWidth="1"/>
    <col min="14850" max="14859" width="10.7109375" style="122" customWidth="1"/>
    <col min="14860" max="15104" width="9.140625" style="122"/>
    <col min="15105" max="15105" width="35.7109375" style="122" customWidth="1"/>
    <col min="15106" max="15115" width="10.7109375" style="122" customWidth="1"/>
    <col min="15116" max="15360" width="9.140625" style="122"/>
    <col min="15361" max="15361" width="35.7109375" style="122" customWidth="1"/>
    <col min="15362" max="15371" width="10.7109375" style="122" customWidth="1"/>
    <col min="15372" max="15616" width="9.140625" style="122"/>
    <col min="15617" max="15617" width="35.7109375" style="122" customWidth="1"/>
    <col min="15618" max="15627" width="10.7109375" style="122" customWidth="1"/>
    <col min="15628" max="15872" width="9.140625" style="122"/>
    <col min="15873" max="15873" width="35.7109375" style="122" customWidth="1"/>
    <col min="15874" max="15883" width="10.7109375" style="122" customWidth="1"/>
    <col min="15884" max="16128" width="9.140625" style="122"/>
    <col min="16129" max="16129" width="35.7109375" style="122" customWidth="1"/>
    <col min="16130" max="16139" width="10.7109375" style="122" customWidth="1"/>
    <col min="16140" max="16384" width="9.140625" style="122"/>
  </cols>
  <sheetData>
    <row r="1" spans="1:12" ht="21" customHeight="1" x14ac:dyDescent="0.2">
      <c r="A1" s="701" t="s">
        <v>230</v>
      </c>
      <c r="B1" s="702"/>
      <c r="C1" s="702"/>
      <c r="D1" s="702"/>
      <c r="E1" s="702"/>
      <c r="F1" s="702"/>
      <c r="G1" s="702"/>
      <c r="H1" s="702"/>
      <c r="I1" s="702"/>
      <c r="J1" s="702"/>
      <c r="K1" s="703"/>
    </row>
    <row r="2" spans="1:12" ht="21" customHeight="1" x14ac:dyDescent="0.2">
      <c r="A2" s="38" t="s">
        <v>59</v>
      </c>
      <c r="B2" s="39">
        <f>'Cashflow '!F3</f>
        <v>0.7</v>
      </c>
      <c r="C2" s="39">
        <f>'Cashflow '!G3</f>
        <v>0.8</v>
      </c>
      <c r="D2" s="39">
        <f>'Cashflow '!H3</f>
        <v>0.95</v>
      </c>
      <c r="E2" s="39">
        <f>'Cashflow '!I3</f>
        <v>0.95</v>
      </c>
      <c r="F2" s="39">
        <f>'Cashflow '!J3</f>
        <v>0.95</v>
      </c>
      <c r="G2" s="39">
        <f>'Cashflow '!K3</f>
        <v>0.95</v>
      </c>
      <c r="H2" s="39">
        <f>'Cashflow '!L3</f>
        <v>0.95</v>
      </c>
      <c r="I2" s="39">
        <f>'Cashflow '!M3</f>
        <v>0.95</v>
      </c>
      <c r="J2" s="39">
        <f>'Cashflow '!N3</f>
        <v>0.95</v>
      </c>
      <c r="K2" s="197">
        <f>'Cashflow '!O3</f>
        <v>0.95</v>
      </c>
    </row>
    <row r="3" spans="1:12" ht="18.75" customHeight="1" x14ac:dyDescent="0.2">
      <c r="A3" s="719" t="s">
        <v>60</v>
      </c>
      <c r="B3" s="720"/>
      <c r="C3" s="720"/>
      <c r="D3" s="720"/>
      <c r="E3" s="720"/>
      <c r="F3" s="720"/>
      <c r="G3" s="720"/>
      <c r="H3" s="720"/>
      <c r="I3" s="720"/>
      <c r="J3" s="720"/>
      <c r="K3" s="721"/>
      <c r="L3" s="123"/>
    </row>
    <row r="4" spans="1:12" ht="21" customHeight="1" x14ac:dyDescent="0.2">
      <c r="A4" s="38"/>
      <c r="B4" s="40" t="s">
        <v>61</v>
      </c>
      <c r="C4" s="40" t="s">
        <v>62</v>
      </c>
      <c r="D4" s="40" t="s">
        <v>63</v>
      </c>
      <c r="E4" s="40" t="s">
        <v>64</v>
      </c>
      <c r="F4" s="40" t="s">
        <v>65</v>
      </c>
      <c r="G4" s="40" t="s">
        <v>66</v>
      </c>
      <c r="H4" s="40" t="s">
        <v>67</v>
      </c>
      <c r="I4" s="40" t="s">
        <v>68</v>
      </c>
      <c r="J4" s="40" t="s">
        <v>69</v>
      </c>
      <c r="K4" s="41" t="s">
        <v>70</v>
      </c>
      <c r="L4" s="123"/>
    </row>
    <row r="5" spans="1:12" s="116" customFormat="1" ht="21" customHeight="1" x14ac:dyDescent="0.2">
      <c r="A5" s="38" t="s">
        <v>96</v>
      </c>
      <c r="B5" s="59">
        <f>'Cashflow '!F12</f>
        <v>279.536992</v>
      </c>
      <c r="C5" s="59">
        <f>'Cashflow '!G12</f>
        <v>319.47084799999999</v>
      </c>
      <c r="D5" s="59">
        <f>'Cashflow '!H12</f>
        <v>379.37163199999998</v>
      </c>
      <c r="E5" s="59">
        <f>'Cashflow '!I12</f>
        <v>379.37163199999998</v>
      </c>
      <c r="F5" s="59">
        <f>'Cashflow '!J12</f>
        <v>379.37163199999998</v>
      </c>
      <c r="G5" s="59">
        <f>'Cashflow '!K12</f>
        <v>379.37163199999998</v>
      </c>
      <c r="H5" s="59">
        <f>'Cashflow '!L12</f>
        <v>379.37163199999998</v>
      </c>
      <c r="I5" s="59">
        <f>'Cashflow '!M12</f>
        <v>379.37163199999998</v>
      </c>
      <c r="J5" s="59">
        <f>'Cashflow '!N12</f>
        <v>379.37163199999998</v>
      </c>
      <c r="K5" s="60">
        <f>'Cashflow '!O12</f>
        <v>379.37163199999998</v>
      </c>
      <c r="L5" s="123"/>
    </row>
    <row r="6" spans="1:12" s="116" customFormat="1" ht="21" customHeight="1" x14ac:dyDescent="0.2">
      <c r="A6" s="38" t="s">
        <v>126</v>
      </c>
      <c r="B6" s="59">
        <f t="shared" ref="B6:K6" si="0">SUM(B7:B8)</f>
        <v>141.3331581071875</v>
      </c>
      <c r="C6" s="59">
        <f t="shared" si="0"/>
        <v>127.34768699825001</v>
      </c>
      <c r="D6" s="59">
        <f t="shared" si="0"/>
        <v>176.66369547331252</v>
      </c>
      <c r="E6" s="59">
        <f t="shared" si="0"/>
        <v>176.66369547331252</v>
      </c>
      <c r="F6" s="59">
        <f t="shared" si="0"/>
        <v>176.66369547331252</v>
      </c>
      <c r="G6" s="59">
        <f t="shared" si="0"/>
        <v>176.66369547331252</v>
      </c>
      <c r="H6" s="59">
        <f t="shared" si="0"/>
        <v>176.66369547331252</v>
      </c>
      <c r="I6" s="59">
        <f t="shared" si="0"/>
        <v>176.66369547331252</v>
      </c>
      <c r="J6" s="59">
        <f t="shared" si="0"/>
        <v>176.66369547331252</v>
      </c>
      <c r="K6" s="60">
        <f t="shared" si="0"/>
        <v>176.66369547331252</v>
      </c>
      <c r="L6" s="123"/>
    </row>
    <row r="7" spans="1:12" s="116" customFormat="1" ht="21" customHeight="1" x14ac:dyDescent="0.2">
      <c r="A7" s="20" t="s">
        <v>279</v>
      </c>
      <c r="B7" s="59">
        <f>'Cashflow '!F18</f>
        <v>123.48752948437499</v>
      </c>
      <c r="C7" s="59">
        <f>'Cashflow '!G18</f>
        <v>112.90288410000001</v>
      </c>
      <c r="D7" s="59">
        <f>'Cashflow '!H18</f>
        <v>159.21070765664064</v>
      </c>
      <c r="E7" s="59">
        <f>'Cashflow '!I18</f>
        <v>159.21070765664064</v>
      </c>
      <c r="F7" s="59">
        <f>'Cashflow '!J18</f>
        <v>159.21070765664064</v>
      </c>
      <c r="G7" s="59">
        <f>'Cashflow '!K18</f>
        <v>159.21070765664064</v>
      </c>
      <c r="H7" s="59">
        <f>'Cashflow '!L18</f>
        <v>159.21070765664064</v>
      </c>
      <c r="I7" s="59">
        <f>'Cashflow '!M18</f>
        <v>159.21070765664064</v>
      </c>
      <c r="J7" s="59">
        <f>'Cashflow '!N18</f>
        <v>159.21070765664064</v>
      </c>
      <c r="K7" s="60">
        <f>'Cashflow '!O18</f>
        <v>159.21070765664064</v>
      </c>
      <c r="L7" s="123"/>
    </row>
    <row r="8" spans="1:12" s="116" customFormat="1" ht="21" customHeight="1" x14ac:dyDescent="0.2">
      <c r="A8" s="20" t="s">
        <v>278</v>
      </c>
      <c r="B8" s="59">
        <f>'Cashflow '!F19</f>
        <v>17.845628622812498</v>
      </c>
      <c r="C8" s="59">
        <f>'Cashflow '!G19</f>
        <v>14.444802898250002</v>
      </c>
      <c r="D8" s="59">
        <f>'Cashflow '!H19</f>
        <v>17.452987816671875</v>
      </c>
      <c r="E8" s="59">
        <f>'Cashflow '!I19</f>
        <v>17.452987816671875</v>
      </c>
      <c r="F8" s="59">
        <f>'Cashflow '!J19</f>
        <v>17.452987816671875</v>
      </c>
      <c r="G8" s="59">
        <f>'Cashflow '!K19</f>
        <v>17.452987816671875</v>
      </c>
      <c r="H8" s="59">
        <f>'Cashflow '!L19</f>
        <v>17.452987816671875</v>
      </c>
      <c r="I8" s="59">
        <f>'Cashflow '!M19</f>
        <v>17.452987816671875</v>
      </c>
      <c r="J8" s="59">
        <f>'Cashflow '!N19</f>
        <v>17.452987816671875</v>
      </c>
      <c r="K8" s="60">
        <f>'Cashflow '!O19</f>
        <v>17.452987816671875</v>
      </c>
      <c r="L8" s="123"/>
    </row>
    <row r="9" spans="1:12" ht="21" customHeight="1" x14ac:dyDescent="0.2">
      <c r="A9" s="38" t="s">
        <v>127</v>
      </c>
      <c r="B9" s="59">
        <f t="shared" ref="B9:K9" si="1">B5-B6</f>
        <v>138.2038338928125</v>
      </c>
      <c r="C9" s="59">
        <f t="shared" si="1"/>
        <v>192.12316100174996</v>
      </c>
      <c r="D9" s="59">
        <f t="shared" si="1"/>
        <v>202.70793652668746</v>
      </c>
      <c r="E9" s="59">
        <f t="shared" si="1"/>
        <v>202.70793652668746</v>
      </c>
      <c r="F9" s="59">
        <f t="shared" si="1"/>
        <v>202.70793652668746</v>
      </c>
      <c r="G9" s="59">
        <f t="shared" si="1"/>
        <v>202.70793652668746</v>
      </c>
      <c r="H9" s="59">
        <f t="shared" si="1"/>
        <v>202.70793652668746</v>
      </c>
      <c r="I9" s="59">
        <f t="shared" si="1"/>
        <v>202.70793652668746</v>
      </c>
      <c r="J9" s="59">
        <f t="shared" si="1"/>
        <v>202.70793652668746</v>
      </c>
      <c r="K9" s="60">
        <f t="shared" si="1"/>
        <v>202.70793652668746</v>
      </c>
      <c r="L9" s="124"/>
    </row>
    <row r="10" spans="1:12" s="116" customFormat="1" ht="21" customHeight="1" x14ac:dyDescent="0.2">
      <c r="A10" s="38" t="s">
        <v>129</v>
      </c>
      <c r="B10" s="59" t="e">
        <f>Opex!#REF!</f>
        <v>#REF!</v>
      </c>
      <c r="C10" s="59" t="e">
        <f>Opex!#REF!</f>
        <v>#REF!</v>
      </c>
      <c r="D10" s="59" t="e">
        <f>Opex!#REF!</f>
        <v>#REF!</v>
      </c>
      <c r="E10" s="59" t="e">
        <f>Opex!#REF!</f>
        <v>#REF!</v>
      </c>
      <c r="F10" s="59" t="e">
        <f>Opex!#REF!</f>
        <v>#REF!</v>
      </c>
      <c r="G10" s="59" t="e">
        <f>Opex!#REF!</f>
        <v>#REF!</v>
      </c>
      <c r="H10" s="59" t="e">
        <f>Opex!#REF!</f>
        <v>#REF!</v>
      </c>
      <c r="I10" s="59" t="e">
        <f>Opex!#REF!</f>
        <v>#REF!</v>
      </c>
      <c r="J10" s="59" t="e">
        <f>Opex!#REF!</f>
        <v>#REF!</v>
      </c>
      <c r="K10" s="60" t="e">
        <f>Opex!#REF!</f>
        <v>#REF!</v>
      </c>
      <c r="L10" s="123"/>
    </row>
    <row r="11" spans="1:12" s="116" customFormat="1" ht="21" customHeight="1" x14ac:dyDescent="0.2">
      <c r="A11" s="38" t="s">
        <v>130</v>
      </c>
      <c r="B11" s="59" t="e">
        <f>B9-B10</f>
        <v>#REF!</v>
      </c>
      <c r="C11" s="59" t="e">
        <f t="shared" ref="C11:K11" si="2">C9-C10</f>
        <v>#REF!</v>
      </c>
      <c r="D11" s="59" t="e">
        <f t="shared" si="2"/>
        <v>#REF!</v>
      </c>
      <c r="E11" s="59" t="e">
        <f t="shared" si="2"/>
        <v>#REF!</v>
      </c>
      <c r="F11" s="59" t="e">
        <f t="shared" si="2"/>
        <v>#REF!</v>
      </c>
      <c r="G11" s="59" t="e">
        <f t="shared" si="2"/>
        <v>#REF!</v>
      </c>
      <c r="H11" s="59" t="e">
        <f t="shared" si="2"/>
        <v>#REF!</v>
      </c>
      <c r="I11" s="59" t="e">
        <f t="shared" si="2"/>
        <v>#REF!</v>
      </c>
      <c r="J11" s="59" t="e">
        <f t="shared" si="2"/>
        <v>#REF!</v>
      </c>
      <c r="K11" s="60" t="e">
        <f t="shared" si="2"/>
        <v>#REF!</v>
      </c>
      <c r="L11" s="123"/>
    </row>
    <row r="12" spans="1:12" s="116" customFormat="1" ht="21" customHeight="1" x14ac:dyDescent="0.2">
      <c r="A12" s="38" t="s">
        <v>71</v>
      </c>
      <c r="B12" s="59" t="e">
        <f>B11*0.25</f>
        <v>#REF!</v>
      </c>
      <c r="C12" s="59" t="e">
        <f>C11*0.25</f>
        <v>#REF!</v>
      </c>
      <c r="D12" s="59" t="e">
        <f t="shared" ref="D12:K12" si="3">D11*0.25</f>
        <v>#REF!</v>
      </c>
      <c r="E12" s="59" t="e">
        <f t="shared" si="3"/>
        <v>#REF!</v>
      </c>
      <c r="F12" s="59" t="e">
        <f t="shared" si="3"/>
        <v>#REF!</v>
      </c>
      <c r="G12" s="59" t="e">
        <f t="shared" si="3"/>
        <v>#REF!</v>
      </c>
      <c r="H12" s="59" t="e">
        <f t="shared" si="3"/>
        <v>#REF!</v>
      </c>
      <c r="I12" s="59" t="e">
        <f t="shared" si="3"/>
        <v>#REF!</v>
      </c>
      <c r="J12" s="59" t="e">
        <f t="shared" si="3"/>
        <v>#REF!</v>
      </c>
      <c r="K12" s="60" t="e">
        <f t="shared" si="3"/>
        <v>#REF!</v>
      </c>
      <c r="L12" s="123"/>
    </row>
    <row r="13" spans="1:12" s="116" customFormat="1" ht="21" customHeight="1" x14ac:dyDescent="0.2">
      <c r="A13" s="38" t="s">
        <v>72</v>
      </c>
      <c r="B13" s="59" t="e">
        <f>B11-B12</f>
        <v>#REF!</v>
      </c>
      <c r="C13" s="59" t="e">
        <f t="shared" ref="C13:K13" si="4">C11-C12</f>
        <v>#REF!</v>
      </c>
      <c r="D13" s="59" t="e">
        <f t="shared" si="4"/>
        <v>#REF!</v>
      </c>
      <c r="E13" s="59" t="e">
        <f t="shared" si="4"/>
        <v>#REF!</v>
      </c>
      <c r="F13" s="59" t="e">
        <f t="shared" si="4"/>
        <v>#REF!</v>
      </c>
      <c r="G13" s="59" t="e">
        <f t="shared" si="4"/>
        <v>#REF!</v>
      </c>
      <c r="H13" s="59" t="e">
        <f t="shared" si="4"/>
        <v>#REF!</v>
      </c>
      <c r="I13" s="59" t="e">
        <f t="shared" si="4"/>
        <v>#REF!</v>
      </c>
      <c r="J13" s="59" t="e">
        <f t="shared" si="4"/>
        <v>#REF!</v>
      </c>
      <c r="K13" s="60" t="e">
        <f t="shared" si="4"/>
        <v>#REF!</v>
      </c>
      <c r="L13" s="123"/>
    </row>
    <row r="14" spans="1:12" s="116" customFormat="1" ht="21" customHeight="1" x14ac:dyDescent="0.2">
      <c r="A14" s="38" t="s">
        <v>280</v>
      </c>
      <c r="B14" s="59" t="e">
        <f>Opex!#REF!</f>
        <v>#REF!</v>
      </c>
      <c r="C14" s="59" t="e">
        <f>Opex!#REF!</f>
        <v>#REF!</v>
      </c>
      <c r="D14" s="59" t="e">
        <f>Opex!#REF!</f>
        <v>#REF!</v>
      </c>
      <c r="E14" s="59" t="e">
        <f>Opex!#REF!</f>
        <v>#REF!</v>
      </c>
      <c r="F14" s="59" t="e">
        <f>Opex!#REF!</f>
        <v>#REF!</v>
      </c>
      <c r="G14" s="59" t="e">
        <f>Opex!#REF!</f>
        <v>#REF!</v>
      </c>
      <c r="H14" s="59" t="e">
        <f>Opex!#REF!</f>
        <v>#REF!</v>
      </c>
      <c r="I14" s="59" t="e">
        <f>Opex!#REF!</f>
        <v>#REF!</v>
      </c>
      <c r="J14" s="59" t="e">
        <f>Opex!#REF!</f>
        <v>#REF!</v>
      </c>
      <c r="K14" s="60" t="e">
        <f>Opex!#REF!</f>
        <v>#REF!</v>
      </c>
      <c r="L14" s="123"/>
    </row>
    <row r="15" spans="1:12" s="116" customFormat="1" ht="21" customHeight="1" x14ac:dyDescent="0.2">
      <c r="A15" s="42" t="s">
        <v>281</v>
      </c>
      <c r="B15" s="61" t="e">
        <f>B13-B14</f>
        <v>#REF!</v>
      </c>
      <c r="C15" s="61" t="e">
        <f t="shared" ref="C15:K15" si="5">C13-C14</f>
        <v>#REF!</v>
      </c>
      <c r="D15" s="61" t="e">
        <f t="shared" si="5"/>
        <v>#REF!</v>
      </c>
      <c r="E15" s="61" t="e">
        <f t="shared" si="5"/>
        <v>#REF!</v>
      </c>
      <c r="F15" s="61" t="e">
        <f t="shared" si="5"/>
        <v>#REF!</v>
      </c>
      <c r="G15" s="61" t="e">
        <f t="shared" si="5"/>
        <v>#REF!</v>
      </c>
      <c r="H15" s="61" t="e">
        <f t="shared" si="5"/>
        <v>#REF!</v>
      </c>
      <c r="I15" s="61" t="e">
        <f t="shared" si="5"/>
        <v>#REF!</v>
      </c>
      <c r="J15" s="61" t="e">
        <f t="shared" si="5"/>
        <v>#REF!</v>
      </c>
      <c r="K15" s="62" t="e">
        <f t="shared" si="5"/>
        <v>#REF!</v>
      </c>
      <c r="L15" s="123"/>
    </row>
    <row r="16" spans="1:12" ht="21" customHeight="1" x14ac:dyDescent="0.2">
      <c r="A16" s="716" t="s">
        <v>243</v>
      </c>
      <c r="B16" s="717"/>
      <c r="C16" s="717"/>
      <c r="D16" s="717"/>
      <c r="E16" s="717"/>
      <c r="F16" s="717"/>
      <c r="G16" s="229" t="s">
        <v>267</v>
      </c>
      <c r="H16" s="125"/>
      <c r="I16" s="125"/>
      <c r="J16" s="125"/>
      <c r="K16" s="125"/>
    </row>
    <row r="17" spans="1:11" ht="21" customHeight="1" x14ac:dyDescent="0.2">
      <c r="A17" s="242" t="s">
        <v>59</v>
      </c>
      <c r="B17" s="243">
        <f>'Cashflow '!I3</f>
        <v>0.95</v>
      </c>
      <c r="C17" s="243"/>
      <c r="D17" s="243"/>
      <c r="E17" s="243"/>
      <c r="F17" s="244"/>
      <c r="H17" s="125"/>
      <c r="I17" s="125"/>
      <c r="J17" s="125"/>
      <c r="K17" s="125"/>
    </row>
    <row r="18" spans="1:11" ht="21" customHeight="1" x14ac:dyDescent="0.2">
      <c r="A18" s="719" t="s">
        <v>60</v>
      </c>
      <c r="B18" s="720"/>
      <c r="C18" s="720"/>
      <c r="D18" s="720"/>
      <c r="E18" s="720"/>
      <c r="F18" s="721"/>
      <c r="H18" s="125"/>
      <c r="I18" s="125"/>
      <c r="J18" s="125"/>
      <c r="K18" s="125"/>
    </row>
    <row r="19" spans="1:11" ht="21" customHeight="1" x14ac:dyDescent="0.2">
      <c r="A19" s="38"/>
      <c r="B19" s="40" t="s">
        <v>64</v>
      </c>
      <c r="C19" s="40">
        <v>1</v>
      </c>
      <c r="D19" s="40">
        <v>2</v>
      </c>
      <c r="E19" s="40">
        <v>3</v>
      </c>
      <c r="F19" s="41">
        <v>4</v>
      </c>
      <c r="H19" s="125"/>
      <c r="I19" s="125"/>
      <c r="J19" s="125"/>
      <c r="K19" s="125"/>
    </row>
    <row r="20" spans="1:11" ht="21" customHeight="1" x14ac:dyDescent="0.2">
      <c r="A20" s="38" t="s">
        <v>96</v>
      </c>
      <c r="B20" s="59">
        <f>E5</f>
        <v>379.37163199999998</v>
      </c>
      <c r="C20" s="59">
        <f>B20-(B20*0.05)</f>
        <v>360.40305039999998</v>
      </c>
      <c r="D20" s="59">
        <f>E5</f>
        <v>379.37163199999998</v>
      </c>
      <c r="E20" s="59">
        <f>B20-(B20*0.05)</f>
        <v>360.40305039999998</v>
      </c>
      <c r="F20" s="60">
        <f>E5</f>
        <v>379.37163199999998</v>
      </c>
      <c r="H20" s="125"/>
      <c r="I20" s="125"/>
      <c r="J20" s="125"/>
      <c r="K20" s="125"/>
    </row>
    <row r="21" spans="1:11" ht="21" customHeight="1" x14ac:dyDescent="0.2">
      <c r="A21" s="38" t="s">
        <v>126</v>
      </c>
      <c r="B21" s="59">
        <f>SUM(B22:B23)</f>
        <v>176.66369547331252</v>
      </c>
      <c r="C21" s="59">
        <f>SUM(C22:C23)</f>
        <v>176.66369547331252</v>
      </c>
      <c r="D21" s="59">
        <f>SUM(D22:D23)</f>
        <v>192.58476623897658</v>
      </c>
      <c r="E21" s="59">
        <f>SUM(E22:E23)</f>
        <v>192.58476623897658</v>
      </c>
      <c r="F21" s="60">
        <f>B21+(B21*0.05)</f>
        <v>185.49688024697815</v>
      </c>
      <c r="H21" s="125"/>
      <c r="I21" s="125"/>
      <c r="J21" s="125"/>
      <c r="K21" s="125"/>
    </row>
    <row r="22" spans="1:11" ht="21" customHeight="1" x14ac:dyDescent="0.2">
      <c r="A22" s="20" t="s">
        <v>279</v>
      </c>
      <c r="B22" s="59">
        <f t="shared" ref="B22:B29" si="6">E7</f>
        <v>159.21070765664064</v>
      </c>
      <c r="C22" s="59">
        <f>E7</f>
        <v>159.21070765664064</v>
      </c>
      <c r="D22" s="59">
        <f>B22+(B22*0.1)</f>
        <v>175.13177842230471</v>
      </c>
      <c r="E22" s="59">
        <f>B22+(B22*0.1)</f>
        <v>175.13177842230471</v>
      </c>
      <c r="F22" s="60">
        <f>E7</f>
        <v>159.21070765664064</v>
      </c>
      <c r="H22" s="125"/>
      <c r="I22" s="125"/>
      <c r="J22" s="125"/>
      <c r="K22" s="125"/>
    </row>
    <row r="23" spans="1:11" ht="21" customHeight="1" x14ac:dyDescent="0.2">
      <c r="A23" s="20" t="s">
        <v>278</v>
      </c>
      <c r="B23" s="59">
        <f t="shared" si="6"/>
        <v>17.452987816671875</v>
      </c>
      <c r="C23" s="59">
        <f>E8</f>
        <v>17.452987816671875</v>
      </c>
      <c r="D23" s="59">
        <f>E8</f>
        <v>17.452987816671875</v>
      </c>
      <c r="E23" s="59">
        <f>E8</f>
        <v>17.452987816671875</v>
      </c>
      <c r="F23" s="60">
        <f>E8</f>
        <v>17.452987816671875</v>
      </c>
      <c r="H23" s="125"/>
      <c r="I23" s="125"/>
      <c r="J23" s="125"/>
      <c r="K23" s="125"/>
    </row>
    <row r="24" spans="1:11" ht="21" customHeight="1" x14ac:dyDescent="0.2">
      <c r="A24" s="38" t="s">
        <v>127</v>
      </c>
      <c r="B24" s="59">
        <f>B20-B21</f>
        <v>202.70793652668746</v>
      </c>
      <c r="C24" s="59">
        <f>C20-C21</f>
        <v>183.73935492668747</v>
      </c>
      <c r="D24" s="59">
        <f>D20-D21</f>
        <v>186.78686576102339</v>
      </c>
      <c r="E24" s="59">
        <f>E20-E21</f>
        <v>167.8182841610234</v>
      </c>
      <c r="F24" s="60">
        <f>F20-F21</f>
        <v>193.87475175302183</v>
      </c>
      <c r="H24" s="125"/>
      <c r="I24" s="125"/>
      <c r="J24" s="125"/>
      <c r="K24" s="125"/>
    </row>
    <row r="25" spans="1:11" ht="21" customHeight="1" x14ac:dyDescent="0.2">
      <c r="A25" s="38" t="s">
        <v>129</v>
      </c>
      <c r="B25" s="59" t="e">
        <f t="shared" si="6"/>
        <v>#REF!</v>
      </c>
      <c r="C25" s="59" t="e">
        <f>E10</f>
        <v>#REF!</v>
      </c>
      <c r="D25" s="59">
        <f>'Cashflow '!$E$8/10</f>
        <v>62.665072456250002</v>
      </c>
      <c r="E25" s="59">
        <f>'Cashflow '!$E$8/10</f>
        <v>62.665072456250002</v>
      </c>
      <c r="F25" s="60">
        <f>'Cashflow '!$E$8/10</f>
        <v>62.665072456250002</v>
      </c>
      <c r="H25" s="125"/>
      <c r="I25" s="125"/>
      <c r="J25" s="125"/>
      <c r="K25" s="125"/>
    </row>
    <row r="26" spans="1:11" ht="21" customHeight="1" x14ac:dyDescent="0.2">
      <c r="A26" s="38" t="s">
        <v>130</v>
      </c>
      <c r="B26" s="59" t="e">
        <f>B24-B25</f>
        <v>#REF!</v>
      </c>
      <c r="C26" s="59" t="e">
        <f t="shared" ref="C26:F26" si="7">C24-C25</f>
        <v>#REF!</v>
      </c>
      <c r="D26" s="59">
        <f t="shared" si="7"/>
        <v>124.12179330477339</v>
      </c>
      <c r="E26" s="59">
        <f t="shared" si="7"/>
        <v>105.1532117047734</v>
      </c>
      <c r="F26" s="60">
        <f t="shared" si="7"/>
        <v>131.20967929677181</v>
      </c>
      <c r="H26" s="125"/>
      <c r="I26" s="125"/>
      <c r="J26" s="125"/>
      <c r="K26" s="125"/>
    </row>
    <row r="27" spans="1:11" ht="21" customHeight="1" x14ac:dyDescent="0.2">
      <c r="A27" s="38" t="s">
        <v>71</v>
      </c>
      <c r="B27" s="59" t="e">
        <f>B26*0.25</f>
        <v>#REF!</v>
      </c>
      <c r="C27" s="59" t="e">
        <f t="shared" ref="C27:F27" si="8">C26*0.25</f>
        <v>#REF!</v>
      </c>
      <c r="D27" s="59">
        <f t="shared" si="8"/>
        <v>31.030448326193348</v>
      </c>
      <c r="E27" s="59">
        <f t="shared" si="8"/>
        <v>26.288302926193349</v>
      </c>
      <c r="F27" s="60">
        <f t="shared" si="8"/>
        <v>32.802419824192953</v>
      </c>
      <c r="H27" s="125"/>
      <c r="I27" s="125"/>
      <c r="J27" s="125"/>
      <c r="K27" s="125"/>
    </row>
    <row r="28" spans="1:11" ht="21" customHeight="1" x14ac:dyDescent="0.2">
      <c r="A28" s="38" t="s">
        <v>72</v>
      </c>
      <c r="B28" s="59" t="e">
        <f>B26-B27</f>
        <v>#REF!</v>
      </c>
      <c r="C28" s="59" t="e">
        <f t="shared" ref="C28:F28" si="9">C26-C27</f>
        <v>#REF!</v>
      </c>
      <c r="D28" s="59">
        <f t="shared" si="9"/>
        <v>93.09134497858004</v>
      </c>
      <c r="E28" s="59">
        <f t="shared" si="9"/>
        <v>78.864908778580045</v>
      </c>
      <c r="F28" s="60">
        <f t="shared" si="9"/>
        <v>98.407259472578858</v>
      </c>
      <c r="H28" s="125"/>
      <c r="I28" s="125"/>
      <c r="J28" s="125"/>
      <c r="K28" s="125"/>
    </row>
    <row r="29" spans="1:11" ht="21" customHeight="1" x14ac:dyDescent="0.2">
      <c r="A29" s="38" t="s">
        <v>280</v>
      </c>
      <c r="B29" s="59" t="e">
        <f t="shared" si="6"/>
        <v>#REF!</v>
      </c>
      <c r="C29" s="59" t="e">
        <f>B29</f>
        <v>#REF!</v>
      </c>
      <c r="D29" s="59" t="e">
        <f>B29</f>
        <v>#REF!</v>
      </c>
      <c r="E29" s="59" t="e">
        <f>B29</f>
        <v>#REF!</v>
      </c>
      <c r="F29" s="60" t="e">
        <f>B29</f>
        <v>#REF!</v>
      </c>
      <c r="H29" s="125"/>
      <c r="I29" s="125"/>
      <c r="J29" s="125"/>
      <c r="K29" s="125"/>
    </row>
    <row r="30" spans="1:11" ht="21" customHeight="1" x14ac:dyDescent="0.2">
      <c r="A30" s="42" t="s">
        <v>281</v>
      </c>
      <c r="B30" s="61" t="e">
        <f>B28-B29</f>
        <v>#REF!</v>
      </c>
      <c r="C30" s="61" t="e">
        <f>C28-C29</f>
        <v>#REF!</v>
      </c>
      <c r="D30" s="61" t="e">
        <f>D28-D29</f>
        <v>#REF!</v>
      </c>
      <c r="E30" s="61" t="e">
        <f>E28-E29</f>
        <v>#REF!</v>
      </c>
      <c r="F30" s="62" t="e">
        <f>F28-F29</f>
        <v>#REF!</v>
      </c>
      <c r="H30" s="125"/>
      <c r="I30" s="125"/>
      <c r="J30" s="125"/>
      <c r="K30" s="125"/>
    </row>
    <row r="31" spans="1:11" ht="17.25" customHeight="1" x14ac:dyDescent="0.2">
      <c r="A31" s="240" t="s">
        <v>38</v>
      </c>
      <c r="B31" s="241" t="s">
        <v>115</v>
      </c>
      <c r="C31" s="241" t="s">
        <v>233</v>
      </c>
      <c r="D31" s="241" t="s">
        <v>232</v>
      </c>
      <c r="E31" s="128"/>
      <c r="F31" s="128"/>
      <c r="G31" s="128"/>
      <c r="H31" s="126"/>
      <c r="I31" s="126"/>
      <c r="J31" s="126"/>
      <c r="K31" s="126"/>
    </row>
    <row r="32" spans="1:11" ht="17.25" customHeight="1" x14ac:dyDescent="0.2">
      <c r="A32" s="57"/>
      <c r="B32" s="32" t="s">
        <v>109</v>
      </c>
      <c r="C32" s="65"/>
      <c r="D32" s="65"/>
      <c r="E32" s="128"/>
      <c r="F32" s="128"/>
      <c r="G32" s="128"/>
    </row>
    <row r="33" spans="1:7" ht="17.25" customHeight="1" x14ac:dyDescent="0.2">
      <c r="A33" s="58"/>
      <c r="B33" s="33" t="s">
        <v>234</v>
      </c>
      <c r="C33" s="159" t="e">
        <f>B30</f>
        <v>#REF!</v>
      </c>
      <c r="D33" s="159" t="s">
        <v>132</v>
      </c>
      <c r="E33" s="128"/>
      <c r="F33" s="128"/>
      <c r="G33" s="128"/>
    </row>
    <row r="34" spans="1:7" ht="17.25" customHeight="1" x14ac:dyDescent="0.2">
      <c r="A34" s="58"/>
      <c r="B34" s="33"/>
      <c r="C34" s="158"/>
      <c r="D34" s="158"/>
      <c r="E34" s="128"/>
      <c r="F34" s="128"/>
      <c r="G34" s="128"/>
    </row>
    <row r="35" spans="1:7" ht="17.25" customHeight="1" x14ac:dyDescent="0.2">
      <c r="A35" s="200">
        <v>1</v>
      </c>
      <c r="B35" s="33" t="s">
        <v>282</v>
      </c>
      <c r="C35" s="159" t="e">
        <f>C30</f>
        <v>#REF!</v>
      </c>
      <c r="D35" s="161" t="e">
        <f>(C35-$C$33)/$C$33</f>
        <v>#REF!</v>
      </c>
      <c r="E35" s="128"/>
      <c r="F35" s="128"/>
      <c r="G35" s="128"/>
    </row>
    <row r="36" spans="1:7" ht="17.25" customHeight="1" x14ac:dyDescent="0.2">
      <c r="A36" s="200">
        <v>2</v>
      </c>
      <c r="B36" s="33" t="s">
        <v>283</v>
      </c>
      <c r="C36" s="159" t="e">
        <f>D30</f>
        <v>#REF!</v>
      </c>
      <c r="D36" s="161" t="e">
        <f t="shared" ref="D36:D38" si="10">(C36-$C$33)/$C$33</f>
        <v>#REF!</v>
      </c>
      <c r="E36" s="128"/>
      <c r="F36" s="128"/>
      <c r="G36" s="128"/>
    </row>
    <row r="37" spans="1:7" ht="17.25" customHeight="1" x14ac:dyDescent="0.2">
      <c r="A37" s="200">
        <v>3</v>
      </c>
      <c r="B37" s="33" t="s">
        <v>284</v>
      </c>
      <c r="C37" s="159" t="e">
        <f>E30</f>
        <v>#REF!</v>
      </c>
      <c r="D37" s="161" t="e">
        <f t="shared" si="10"/>
        <v>#REF!</v>
      </c>
      <c r="E37" s="128"/>
      <c r="F37" s="128"/>
      <c r="G37" s="128"/>
    </row>
    <row r="38" spans="1:7" ht="17.25" customHeight="1" x14ac:dyDescent="0.2">
      <c r="A38" s="201">
        <v>4</v>
      </c>
      <c r="B38" s="34" t="s">
        <v>285</v>
      </c>
      <c r="C38" s="160" t="e">
        <f>F30</f>
        <v>#REF!</v>
      </c>
      <c r="D38" s="162" t="e">
        <f t="shared" si="10"/>
        <v>#REF!</v>
      </c>
      <c r="E38" s="128"/>
      <c r="F38" s="128"/>
      <c r="G38" s="128"/>
    </row>
  </sheetData>
  <mergeCells count="4">
    <mergeCell ref="A18:F18"/>
    <mergeCell ref="A1:K1"/>
    <mergeCell ref="A3:K3"/>
    <mergeCell ref="A16:F16"/>
  </mergeCells>
  <printOptions horizontalCentered="1" gridLines="1"/>
  <pageMargins left="0.75" right="0.75" top="0.66" bottom="0.28999999999999998" header="0.23" footer="0.44"/>
  <pageSetup paperSize="9" scale="78" orientation="landscape" r:id="rId1"/>
  <headerFooter alignWithMargins="0"/>
  <ignoredErrors>
    <ignoredError sqref="D11:K11"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36"/>
  <sheetViews>
    <sheetView showGridLines="0" zoomScaleNormal="100" zoomScaleSheetLayoutView="98" workbookViewId="0">
      <selection activeCell="B7" sqref="B7"/>
    </sheetView>
  </sheetViews>
  <sheetFormatPr defaultRowHeight="12.75" x14ac:dyDescent="0.2"/>
  <cols>
    <col min="1" max="1" width="33.5703125" style="128" customWidth="1"/>
    <col min="2" max="2" width="63.7109375" style="128" bestFit="1" customWidth="1"/>
    <col min="3" max="3" width="16.7109375" style="128" bestFit="1" customWidth="1"/>
    <col min="4" max="7" width="12.42578125" style="128" customWidth="1"/>
    <col min="8" max="252" width="9.140625" style="128"/>
    <col min="253" max="253" width="49.140625" style="128" customWidth="1"/>
    <col min="254" max="254" width="20.7109375" style="128" customWidth="1"/>
    <col min="255" max="255" width="9.140625" style="128"/>
    <col min="256" max="256" width="11.85546875" style="128" customWidth="1"/>
    <col min="257" max="257" width="11.7109375" style="128" customWidth="1"/>
    <col min="258" max="258" width="12.42578125" style="128" customWidth="1"/>
    <col min="259" max="259" width="13.42578125" style="128" customWidth="1"/>
    <col min="260" max="508" width="9.140625" style="128"/>
    <col min="509" max="509" width="49.140625" style="128" customWidth="1"/>
    <col min="510" max="510" width="20.7109375" style="128" customWidth="1"/>
    <col min="511" max="511" width="9.140625" style="128"/>
    <col min="512" max="512" width="11.85546875" style="128" customWidth="1"/>
    <col min="513" max="513" width="11.7109375" style="128" customWidth="1"/>
    <col min="514" max="514" width="12.42578125" style="128" customWidth="1"/>
    <col min="515" max="515" width="13.42578125" style="128" customWidth="1"/>
    <col min="516" max="764" width="9.140625" style="128"/>
    <col min="765" max="765" width="49.140625" style="128" customWidth="1"/>
    <col min="766" max="766" width="20.7109375" style="128" customWidth="1"/>
    <col min="767" max="767" width="9.140625" style="128"/>
    <col min="768" max="768" width="11.85546875" style="128" customWidth="1"/>
    <col min="769" max="769" width="11.7109375" style="128" customWidth="1"/>
    <col min="770" max="770" width="12.42578125" style="128" customWidth="1"/>
    <col min="771" max="771" width="13.42578125" style="128" customWidth="1"/>
    <col min="772" max="1020" width="9.140625" style="128"/>
    <col min="1021" max="1021" width="49.140625" style="128" customWidth="1"/>
    <col min="1022" max="1022" width="20.7109375" style="128" customWidth="1"/>
    <col min="1023" max="1023" width="9.140625" style="128"/>
    <col min="1024" max="1024" width="11.85546875" style="128" customWidth="1"/>
    <col min="1025" max="1025" width="11.7109375" style="128" customWidth="1"/>
    <col min="1026" max="1026" width="12.42578125" style="128" customWidth="1"/>
    <col min="1027" max="1027" width="13.42578125" style="128" customWidth="1"/>
    <col min="1028" max="1276" width="9.140625" style="128"/>
    <col min="1277" max="1277" width="49.140625" style="128" customWidth="1"/>
    <col min="1278" max="1278" width="20.7109375" style="128" customWidth="1"/>
    <col min="1279" max="1279" width="9.140625" style="128"/>
    <col min="1280" max="1280" width="11.85546875" style="128" customWidth="1"/>
    <col min="1281" max="1281" width="11.7109375" style="128" customWidth="1"/>
    <col min="1282" max="1282" width="12.42578125" style="128" customWidth="1"/>
    <col min="1283" max="1283" width="13.42578125" style="128" customWidth="1"/>
    <col min="1284" max="1532" width="9.140625" style="128"/>
    <col min="1533" max="1533" width="49.140625" style="128" customWidth="1"/>
    <col min="1534" max="1534" width="20.7109375" style="128" customWidth="1"/>
    <col min="1535" max="1535" width="9.140625" style="128"/>
    <col min="1536" max="1536" width="11.85546875" style="128" customWidth="1"/>
    <col min="1537" max="1537" width="11.7109375" style="128" customWidth="1"/>
    <col min="1538" max="1538" width="12.42578125" style="128" customWidth="1"/>
    <col min="1539" max="1539" width="13.42578125" style="128" customWidth="1"/>
    <col min="1540" max="1788" width="9.140625" style="128"/>
    <col min="1789" max="1789" width="49.140625" style="128" customWidth="1"/>
    <col min="1790" max="1790" width="20.7109375" style="128" customWidth="1"/>
    <col min="1791" max="1791" width="9.140625" style="128"/>
    <col min="1792" max="1792" width="11.85546875" style="128" customWidth="1"/>
    <col min="1793" max="1793" width="11.7109375" style="128" customWidth="1"/>
    <col min="1794" max="1794" width="12.42578125" style="128" customWidth="1"/>
    <col min="1795" max="1795" width="13.42578125" style="128" customWidth="1"/>
    <col min="1796" max="2044" width="9.140625" style="128"/>
    <col min="2045" max="2045" width="49.140625" style="128" customWidth="1"/>
    <col min="2046" max="2046" width="20.7109375" style="128" customWidth="1"/>
    <col min="2047" max="2047" width="9.140625" style="128"/>
    <col min="2048" max="2048" width="11.85546875" style="128" customWidth="1"/>
    <col min="2049" max="2049" width="11.7109375" style="128" customWidth="1"/>
    <col min="2050" max="2050" width="12.42578125" style="128" customWidth="1"/>
    <col min="2051" max="2051" width="13.42578125" style="128" customWidth="1"/>
    <col min="2052" max="2300" width="9.140625" style="128"/>
    <col min="2301" max="2301" width="49.140625" style="128" customWidth="1"/>
    <col min="2302" max="2302" width="20.7109375" style="128" customWidth="1"/>
    <col min="2303" max="2303" width="9.140625" style="128"/>
    <col min="2304" max="2304" width="11.85546875" style="128" customWidth="1"/>
    <col min="2305" max="2305" width="11.7109375" style="128" customWidth="1"/>
    <col min="2306" max="2306" width="12.42578125" style="128" customWidth="1"/>
    <col min="2307" max="2307" width="13.42578125" style="128" customWidth="1"/>
    <col min="2308" max="2556" width="9.140625" style="128"/>
    <col min="2557" max="2557" width="49.140625" style="128" customWidth="1"/>
    <col min="2558" max="2558" width="20.7109375" style="128" customWidth="1"/>
    <col min="2559" max="2559" width="9.140625" style="128"/>
    <col min="2560" max="2560" width="11.85546875" style="128" customWidth="1"/>
    <col min="2561" max="2561" width="11.7109375" style="128" customWidth="1"/>
    <col min="2562" max="2562" width="12.42578125" style="128" customWidth="1"/>
    <col min="2563" max="2563" width="13.42578125" style="128" customWidth="1"/>
    <col min="2564" max="2812" width="9.140625" style="128"/>
    <col min="2813" max="2813" width="49.140625" style="128" customWidth="1"/>
    <col min="2814" max="2814" width="20.7109375" style="128" customWidth="1"/>
    <col min="2815" max="2815" width="9.140625" style="128"/>
    <col min="2816" max="2816" width="11.85546875" style="128" customWidth="1"/>
    <col min="2817" max="2817" width="11.7109375" style="128" customWidth="1"/>
    <col min="2818" max="2818" width="12.42578125" style="128" customWidth="1"/>
    <col min="2819" max="2819" width="13.42578125" style="128" customWidth="1"/>
    <col min="2820" max="3068" width="9.140625" style="128"/>
    <col min="3069" max="3069" width="49.140625" style="128" customWidth="1"/>
    <col min="3070" max="3070" width="20.7109375" style="128" customWidth="1"/>
    <col min="3071" max="3071" width="9.140625" style="128"/>
    <col min="3072" max="3072" width="11.85546875" style="128" customWidth="1"/>
    <col min="3073" max="3073" width="11.7109375" style="128" customWidth="1"/>
    <col min="3074" max="3074" width="12.42578125" style="128" customWidth="1"/>
    <col min="3075" max="3075" width="13.42578125" style="128" customWidth="1"/>
    <col min="3076" max="3324" width="9.140625" style="128"/>
    <col min="3325" max="3325" width="49.140625" style="128" customWidth="1"/>
    <col min="3326" max="3326" width="20.7109375" style="128" customWidth="1"/>
    <col min="3327" max="3327" width="9.140625" style="128"/>
    <col min="3328" max="3328" width="11.85546875" style="128" customWidth="1"/>
    <col min="3329" max="3329" width="11.7109375" style="128" customWidth="1"/>
    <col min="3330" max="3330" width="12.42578125" style="128" customWidth="1"/>
    <col min="3331" max="3331" width="13.42578125" style="128" customWidth="1"/>
    <col min="3332" max="3580" width="9.140625" style="128"/>
    <col min="3581" max="3581" width="49.140625" style="128" customWidth="1"/>
    <col min="3582" max="3582" width="20.7109375" style="128" customWidth="1"/>
    <col min="3583" max="3583" width="9.140625" style="128"/>
    <col min="3584" max="3584" width="11.85546875" style="128" customWidth="1"/>
    <col min="3585" max="3585" width="11.7109375" style="128" customWidth="1"/>
    <col min="3586" max="3586" width="12.42578125" style="128" customWidth="1"/>
    <col min="3587" max="3587" width="13.42578125" style="128" customWidth="1"/>
    <col min="3588" max="3836" width="9.140625" style="128"/>
    <col min="3837" max="3837" width="49.140625" style="128" customWidth="1"/>
    <col min="3838" max="3838" width="20.7109375" style="128" customWidth="1"/>
    <col min="3839" max="3839" width="9.140625" style="128"/>
    <col min="3840" max="3840" width="11.85546875" style="128" customWidth="1"/>
    <col min="3841" max="3841" width="11.7109375" style="128" customWidth="1"/>
    <col min="3842" max="3842" width="12.42578125" style="128" customWidth="1"/>
    <col min="3843" max="3843" width="13.42578125" style="128" customWidth="1"/>
    <col min="3844" max="4092" width="9.140625" style="128"/>
    <col min="4093" max="4093" width="49.140625" style="128" customWidth="1"/>
    <col min="4094" max="4094" width="20.7109375" style="128" customWidth="1"/>
    <col min="4095" max="4095" width="9.140625" style="128"/>
    <col min="4096" max="4096" width="11.85546875" style="128" customWidth="1"/>
    <col min="4097" max="4097" width="11.7109375" style="128" customWidth="1"/>
    <col min="4098" max="4098" width="12.42578125" style="128" customWidth="1"/>
    <col min="4099" max="4099" width="13.42578125" style="128" customWidth="1"/>
    <col min="4100" max="4348" width="9.140625" style="128"/>
    <col min="4349" max="4349" width="49.140625" style="128" customWidth="1"/>
    <col min="4350" max="4350" width="20.7109375" style="128" customWidth="1"/>
    <col min="4351" max="4351" width="9.140625" style="128"/>
    <col min="4352" max="4352" width="11.85546875" style="128" customWidth="1"/>
    <col min="4353" max="4353" width="11.7109375" style="128" customWidth="1"/>
    <col min="4354" max="4354" width="12.42578125" style="128" customWidth="1"/>
    <col min="4355" max="4355" width="13.42578125" style="128" customWidth="1"/>
    <col min="4356" max="4604" width="9.140625" style="128"/>
    <col min="4605" max="4605" width="49.140625" style="128" customWidth="1"/>
    <col min="4606" max="4606" width="20.7109375" style="128" customWidth="1"/>
    <col min="4607" max="4607" width="9.140625" style="128"/>
    <col min="4608" max="4608" width="11.85546875" style="128" customWidth="1"/>
    <col min="4609" max="4609" width="11.7109375" style="128" customWidth="1"/>
    <col min="4610" max="4610" width="12.42578125" style="128" customWidth="1"/>
    <col min="4611" max="4611" width="13.42578125" style="128" customWidth="1"/>
    <col min="4612" max="4860" width="9.140625" style="128"/>
    <col min="4861" max="4861" width="49.140625" style="128" customWidth="1"/>
    <col min="4862" max="4862" width="20.7109375" style="128" customWidth="1"/>
    <col min="4863" max="4863" width="9.140625" style="128"/>
    <col min="4864" max="4864" width="11.85546875" style="128" customWidth="1"/>
    <col min="4865" max="4865" width="11.7109375" style="128" customWidth="1"/>
    <col min="4866" max="4866" width="12.42578125" style="128" customWidth="1"/>
    <col min="4867" max="4867" width="13.42578125" style="128" customWidth="1"/>
    <col min="4868" max="5116" width="9.140625" style="128"/>
    <col min="5117" max="5117" width="49.140625" style="128" customWidth="1"/>
    <col min="5118" max="5118" width="20.7109375" style="128" customWidth="1"/>
    <col min="5119" max="5119" width="9.140625" style="128"/>
    <col min="5120" max="5120" width="11.85546875" style="128" customWidth="1"/>
    <col min="5121" max="5121" width="11.7109375" style="128" customWidth="1"/>
    <col min="5122" max="5122" width="12.42578125" style="128" customWidth="1"/>
    <col min="5123" max="5123" width="13.42578125" style="128" customWidth="1"/>
    <col min="5124" max="5372" width="9.140625" style="128"/>
    <col min="5373" max="5373" width="49.140625" style="128" customWidth="1"/>
    <col min="5374" max="5374" width="20.7109375" style="128" customWidth="1"/>
    <col min="5375" max="5375" width="9.140625" style="128"/>
    <col min="5376" max="5376" width="11.85546875" style="128" customWidth="1"/>
    <col min="5377" max="5377" width="11.7109375" style="128" customWidth="1"/>
    <col min="5378" max="5378" width="12.42578125" style="128" customWidth="1"/>
    <col min="5379" max="5379" width="13.42578125" style="128" customWidth="1"/>
    <col min="5380" max="5628" width="9.140625" style="128"/>
    <col min="5629" max="5629" width="49.140625" style="128" customWidth="1"/>
    <col min="5630" max="5630" width="20.7109375" style="128" customWidth="1"/>
    <col min="5631" max="5631" width="9.140625" style="128"/>
    <col min="5632" max="5632" width="11.85546875" style="128" customWidth="1"/>
    <col min="5633" max="5633" width="11.7109375" style="128" customWidth="1"/>
    <col min="5634" max="5634" width="12.42578125" style="128" customWidth="1"/>
    <col min="5635" max="5635" width="13.42578125" style="128" customWidth="1"/>
    <col min="5636" max="5884" width="9.140625" style="128"/>
    <col min="5885" max="5885" width="49.140625" style="128" customWidth="1"/>
    <col min="5886" max="5886" width="20.7109375" style="128" customWidth="1"/>
    <col min="5887" max="5887" width="9.140625" style="128"/>
    <col min="5888" max="5888" width="11.85546875" style="128" customWidth="1"/>
    <col min="5889" max="5889" width="11.7109375" style="128" customWidth="1"/>
    <col min="5890" max="5890" width="12.42578125" style="128" customWidth="1"/>
    <col min="5891" max="5891" width="13.42578125" style="128" customWidth="1"/>
    <col min="5892" max="6140" width="9.140625" style="128"/>
    <col min="6141" max="6141" width="49.140625" style="128" customWidth="1"/>
    <col min="6142" max="6142" width="20.7109375" style="128" customWidth="1"/>
    <col min="6143" max="6143" width="9.140625" style="128"/>
    <col min="6144" max="6144" width="11.85546875" style="128" customWidth="1"/>
    <col min="6145" max="6145" width="11.7109375" style="128" customWidth="1"/>
    <col min="6146" max="6146" width="12.42578125" style="128" customWidth="1"/>
    <col min="6147" max="6147" width="13.42578125" style="128" customWidth="1"/>
    <col min="6148" max="6396" width="9.140625" style="128"/>
    <col min="6397" max="6397" width="49.140625" style="128" customWidth="1"/>
    <col min="6398" max="6398" width="20.7109375" style="128" customWidth="1"/>
    <col min="6399" max="6399" width="9.140625" style="128"/>
    <col min="6400" max="6400" width="11.85546875" style="128" customWidth="1"/>
    <col min="6401" max="6401" width="11.7109375" style="128" customWidth="1"/>
    <col min="6402" max="6402" width="12.42578125" style="128" customWidth="1"/>
    <col min="6403" max="6403" width="13.42578125" style="128" customWidth="1"/>
    <col min="6404" max="6652" width="9.140625" style="128"/>
    <col min="6653" max="6653" width="49.140625" style="128" customWidth="1"/>
    <col min="6654" max="6654" width="20.7109375" style="128" customWidth="1"/>
    <col min="6655" max="6655" width="9.140625" style="128"/>
    <col min="6656" max="6656" width="11.85546875" style="128" customWidth="1"/>
    <col min="6657" max="6657" width="11.7109375" style="128" customWidth="1"/>
    <col min="6658" max="6658" width="12.42578125" style="128" customWidth="1"/>
    <col min="6659" max="6659" width="13.42578125" style="128" customWidth="1"/>
    <col min="6660" max="6908" width="9.140625" style="128"/>
    <col min="6909" max="6909" width="49.140625" style="128" customWidth="1"/>
    <col min="6910" max="6910" width="20.7109375" style="128" customWidth="1"/>
    <col min="6911" max="6911" width="9.140625" style="128"/>
    <col min="6912" max="6912" width="11.85546875" style="128" customWidth="1"/>
    <col min="6913" max="6913" width="11.7109375" style="128" customWidth="1"/>
    <col min="6914" max="6914" width="12.42578125" style="128" customWidth="1"/>
    <col min="6915" max="6915" width="13.42578125" style="128" customWidth="1"/>
    <col min="6916" max="7164" width="9.140625" style="128"/>
    <col min="7165" max="7165" width="49.140625" style="128" customWidth="1"/>
    <col min="7166" max="7166" width="20.7109375" style="128" customWidth="1"/>
    <col min="7167" max="7167" width="9.140625" style="128"/>
    <col min="7168" max="7168" width="11.85546875" style="128" customWidth="1"/>
    <col min="7169" max="7169" width="11.7109375" style="128" customWidth="1"/>
    <col min="7170" max="7170" width="12.42578125" style="128" customWidth="1"/>
    <col min="7171" max="7171" width="13.42578125" style="128" customWidth="1"/>
    <col min="7172" max="7420" width="9.140625" style="128"/>
    <col min="7421" max="7421" width="49.140625" style="128" customWidth="1"/>
    <col min="7422" max="7422" width="20.7109375" style="128" customWidth="1"/>
    <col min="7423" max="7423" width="9.140625" style="128"/>
    <col min="7424" max="7424" width="11.85546875" style="128" customWidth="1"/>
    <col min="7425" max="7425" width="11.7109375" style="128" customWidth="1"/>
    <col min="7426" max="7426" width="12.42578125" style="128" customWidth="1"/>
    <col min="7427" max="7427" width="13.42578125" style="128" customWidth="1"/>
    <col min="7428" max="7676" width="9.140625" style="128"/>
    <col min="7677" max="7677" width="49.140625" style="128" customWidth="1"/>
    <col min="7678" max="7678" width="20.7109375" style="128" customWidth="1"/>
    <col min="7679" max="7679" width="9.140625" style="128"/>
    <col min="7680" max="7680" width="11.85546875" style="128" customWidth="1"/>
    <col min="7681" max="7681" width="11.7109375" style="128" customWidth="1"/>
    <col min="7682" max="7682" width="12.42578125" style="128" customWidth="1"/>
    <col min="7683" max="7683" width="13.42578125" style="128" customWidth="1"/>
    <col min="7684" max="7932" width="9.140625" style="128"/>
    <col min="7933" max="7933" width="49.140625" style="128" customWidth="1"/>
    <col min="7934" max="7934" width="20.7109375" style="128" customWidth="1"/>
    <col min="7935" max="7935" width="9.140625" style="128"/>
    <col min="7936" max="7936" width="11.85546875" style="128" customWidth="1"/>
    <col min="7937" max="7937" width="11.7109375" style="128" customWidth="1"/>
    <col min="7938" max="7938" width="12.42578125" style="128" customWidth="1"/>
    <col min="7939" max="7939" width="13.42578125" style="128" customWidth="1"/>
    <col min="7940" max="8188" width="9.140625" style="128"/>
    <col min="8189" max="8189" width="49.140625" style="128" customWidth="1"/>
    <col min="8190" max="8190" width="20.7109375" style="128" customWidth="1"/>
    <col min="8191" max="8191" width="9.140625" style="128"/>
    <col min="8192" max="8192" width="11.85546875" style="128" customWidth="1"/>
    <col min="8193" max="8193" width="11.7109375" style="128" customWidth="1"/>
    <col min="8194" max="8194" width="12.42578125" style="128" customWidth="1"/>
    <col min="8195" max="8195" width="13.42578125" style="128" customWidth="1"/>
    <col min="8196" max="8444" width="9.140625" style="128"/>
    <col min="8445" max="8445" width="49.140625" style="128" customWidth="1"/>
    <col min="8446" max="8446" width="20.7109375" style="128" customWidth="1"/>
    <col min="8447" max="8447" width="9.140625" style="128"/>
    <col min="8448" max="8448" width="11.85546875" style="128" customWidth="1"/>
    <col min="8449" max="8449" width="11.7109375" style="128" customWidth="1"/>
    <col min="8450" max="8450" width="12.42578125" style="128" customWidth="1"/>
    <col min="8451" max="8451" width="13.42578125" style="128" customWidth="1"/>
    <col min="8452" max="8700" width="9.140625" style="128"/>
    <col min="8701" max="8701" width="49.140625" style="128" customWidth="1"/>
    <col min="8702" max="8702" width="20.7109375" style="128" customWidth="1"/>
    <col min="8703" max="8703" width="9.140625" style="128"/>
    <col min="8704" max="8704" width="11.85546875" style="128" customWidth="1"/>
    <col min="8705" max="8705" width="11.7109375" style="128" customWidth="1"/>
    <col min="8706" max="8706" width="12.42578125" style="128" customWidth="1"/>
    <col min="8707" max="8707" width="13.42578125" style="128" customWidth="1"/>
    <col min="8708" max="8956" width="9.140625" style="128"/>
    <col min="8957" max="8957" width="49.140625" style="128" customWidth="1"/>
    <col min="8958" max="8958" width="20.7109375" style="128" customWidth="1"/>
    <col min="8959" max="8959" width="9.140625" style="128"/>
    <col min="8960" max="8960" width="11.85546875" style="128" customWidth="1"/>
    <col min="8961" max="8961" width="11.7109375" style="128" customWidth="1"/>
    <col min="8962" max="8962" width="12.42578125" style="128" customWidth="1"/>
    <col min="8963" max="8963" width="13.42578125" style="128" customWidth="1"/>
    <col min="8964" max="9212" width="9.140625" style="128"/>
    <col min="9213" max="9213" width="49.140625" style="128" customWidth="1"/>
    <col min="9214" max="9214" width="20.7109375" style="128" customWidth="1"/>
    <col min="9215" max="9215" width="9.140625" style="128"/>
    <col min="9216" max="9216" width="11.85546875" style="128" customWidth="1"/>
    <col min="9217" max="9217" width="11.7109375" style="128" customWidth="1"/>
    <col min="9218" max="9218" width="12.42578125" style="128" customWidth="1"/>
    <col min="9219" max="9219" width="13.42578125" style="128" customWidth="1"/>
    <col min="9220" max="9468" width="9.140625" style="128"/>
    <col min="9469" max="9469" width="49.140625" style="128" customWidth="1"/>
    <col min="9470" max="9470" width="20.7109375" style="128" customWidth="1"/>
    <col min="9471" max="9471" width="9.140625" style="128"/>
    <col min="9472" max="9472" width="11.85546875" style="128" customWidth="1"/>
    <col min="9473" max="9473" width="11.7109375" style="128" customWidth="1"/>
    <col min="9474" max="9474" width="12.42578125" style="128" customWidth="1"/>
    <col min="9475" max="9475" width="13.42578125" style="128" customWidth="1"/>
    <col min="9476" max="9724" width="9.140625" style="128"/>
    <col min="9725" max="9725" width="49.140625" style="128" customWidth="1"/>
    <col min="9726" max="9726" width="20.7109375" style="128" customWidth="1"/>
    <col min="9727" max="9727" width="9.140625" style="128"/>
    <col min="9728" max="9728" width="11.85546875" style="128" customWidth="1"/>
    <col min="9729" max="9729" width="11.7109375" style="128" customWidth="1"/>
    <col min="9730" max="9730" width="12.42578125" style="128" customWidth="1"/>
    <col min="9731" max="9731" width="13.42578125" style="128" customWidth="1"/>
    <col min="9732" max="9980" width="9.140625" style="128"/>
    <col min="9981" max="9981" width="49.140625" style="128" customWidth="1"/>
    <col min="9982" max="9982" width="20.7109375" style="128" customWidth="1"/>
    <col min="9983" max="9983" width="9.140625" style="128"/>
    <col min="9984" max="9984" width="11.85546875" style="128" customWidth="1"/>
    <col min="9985" max="9985" width="11.7109375" style="128" customWidth="1"/>
    <col min="9986" max="9986" width="12.42578125" style="128" customWidth="1"/>
    <col min="9987" max="9987" width="13.42578125" style="128" customWidth="1"/>
    <col min="9988" max="10236" width="9.140625" style="128"/>
    <col min="10237" max="10237" width="49.140625" style="128" customWidth="1"/>
    <col min="10238" max="10238" width="20.7109375" style="128" customWidth="1"/>
    <col min="10239" max="10239" width="9.140625" style="128"/>
    <col min="10240" max="10240" width="11.85546875" style="128" customWidth="1"/>
    <col min="10241" max="10241" width="11.7109375" style="128" customWidth="1"/>
    <col min="10242" max="10242" width="12.42578125" style="128" customWidth="1"/>
    <col min="10243" max="10243" width="13.42578125" style="128" customWidth="1"/>
    <col min="10244" max="10492" width="9.140625" style="128"/>
    <col min="10493" max="10493" width="49.140625" style="128" customWidth="1"/>
    <col min="10494" max="10494" width="20.7109375" style="128" customWidth="1"/>
    <col min="10495" max="10495" width="9.140625" style="128"/>
    <col min="10496" max="10496" width="11.85546875" style="128" customWidth="1"/>
    <col min="10497" max="10497" width="11.7109375" style="128" customWidth="1"/>
    <col min="10498" max="10498" width="12.42578125" style="128" customWidth="1"/>
    <col min="10499" max="10499" width="13.42578125" style="128" customWidth="1"/>
    <col min="10500" max="10748" width="9.140625" style="128"/>
    <col min="10749" max="10749" width="49.140625" style="128" customWidth="1"/>
    <col min="10750" max="10750" width="20.7109375" style="128" customWidth="1"/>
    <col min="10751" max="10751" width="9.140625" style="128"/>
    <col min="10752" max="10752" width="11.85546875" style="128" customWidth="1"/>
    <col min="10753" max="10753" width="11.7109375" style="128" customWidth="1"/>
    <col min="10754" max="10754" width="12.42578125" style="128" customWidth="1"/>
    <col min="10755" max="10755" width="13.42578125" style="128" customWidth="1"/>
    <col min="10756" max="11004" width="9.140625" style="128"/>
    <col min="11005" max="11005" width="49.140625" style="128" customWidth="1"/>
    <col min="11006" max="11006" width="20.7109375" style="128" customWidth="1"/>
    <col min="11007" max="11007" width="9.140625" style="128"/>
    <col min="11008" max="11008" width="11.85546875" style="128" customWidth="1"/>
    <col min="11009" max="11009" width="11.7109375" style="128" customWidth="1"/>
    <col min="11010" max="11010" width="12.42578125" style="128" customWidth="1"/>
    <col min="11011" max="11011" width="13.42578125" style="128" customWidth="1"/>
    <col min="11012" max="11260" width="9.140625" style="128"/>
    <col min="11261" max="11261" width="49.140625" style="128" customWidth="1"/>
    <col min="11262" max="11262" width="20.7109375" style="128" customWidth="1"/>
    <col min="11263" max="11263" width="9.140625" style="128"/>
    <col min="11264" max="11264" width="11.85546875" style="128" customWidth="1"/>
    <col min="11265" max="11265" width="11.7109375" style="128" customWidth="1"/>
    <col min="11266" max="11266" width="12.42578125" style="128" customWidth="1"/>
    <col min="11267" max="11267" width="13.42578125" style="128" customWidth="1"/>
    <col min="11268" max="11516" width="9.140625" style="128"/>
    <col min="11517" max="11517" width="49.140625" style="128" customWidth="1"/>
    <col min="11518" max="11518" width="20.7109375" style="128" customWidth="1"/>
    <col min="11519" max="11519" width="9.140625" style="128"/>
    <col min="11520" max="11520" width="11.85546875" style="128" customWidth="1"/>
    <col min="11521" max="11521" width="11.7109375" style="128" customWidth="1"/>
    <col min="11522" max="11522" width="12.42578125" style="128" customWidth="1"/>
    <col min="11523" max="11523" width="13.42578125" style="128" customWidth="1"/>
    <col min="11524" max="11772" width="9.140625" style="128"/>
    <col min="11773" max="11773" width="49.140625" style="128" customWidth="1"/>
    <col min="11774" max="11774" width="20.7109375" style="128" customWidth="1"/>
    <col min="11775" max="11775" width="9.140625" style="128"/>
    <col min="11776" max="11776" width="11.85546875" style="128" customWidth="1"/>
    <col min="11777" max="11777" width="11.7109375" style="128" customWidth="1"/>
    <col min="11778" max="11778" width="12.42578125" style="128" customWidth="1"/>
    <col min="11779" max="11779" width="13.42578125" style="128" customWidth="1"/>
    <col min="11780" max="12028" width="9.140625" style="128"/>
    <col min="12029" max="12029" width="49.140625" style="128" customWidth="1"/>
    <col min="12030" max="12030" width="20.7109375" style="128" customWidth="1"/>
    <col min="12031" max="12031" width="9.140625" style="128"/>
    <col min="12032" max="12032" width="11.85546875" style="128" customWidth="1"/>
    <col min="12033" max="12033" width="11.7109375" style="128" customWidth="1"/>
    <col min="12034" max="12034" width="12.42578125" style="128" customWidth="1"/>
    <col min="12035" max="12035" width="13.42578125" style="128" customWidth="1"/>
    <col min="12036" max="12284" width="9.140625" style="128"/>
    <col min="12285" max="12285" width="49.140625" style="128" customWidth="1"/>
    <col min="12286" max="12286" width="20.7109375" style="128" customWidth="1"/>
    <col min="12287" max="12287" width="9.140625" style="128"/>
    <col min="12288" max="12288" width="11.85546875" style="128" customWidth="1"/>
    <col min="12289" max="12289" width="11.7109375" style="128" customWidth="1"/>
    <col min="12290" max="12290" width="12.42578125" style="128" customWidth="1"/>
    <col min="12291" max="12291" width="13.42578125" style="128" customWidth="1"/>
    <col min="12292" max="12540" width="9.140625" style="128"/>
    <col min="12541" max="12541" width="49.140625" style="128" customWidth="1"/>
    <col min="12542" max="12542" width="20.7109375" style="128" customWidth="1"/>
    <col min="12543" max="12543" width="9.140625" style="128"/>
    <col min="12544" max="12544" width="11.85546875" style="128" customWidth="1"/>
    <col min="12545" max="12545" width="11.7109375" style="128" customWidth="1"/>
    <col min="12546" max="12546" width="12.42578125" style="128" customWidth="1"/>
    <col min="12547" max="12547" width="13.42578125" style="128" customWidth="1"/>
    <col min="12548" max="12796" width="9.140625" style="128"/>
    <col min="12797" max="12797" width="49.140625" style="128" customWidth="1"/>
    <col min="12798" max="12798" width="20.7109375" style="128" customWidth="1"/>
    <col min="12799" max="12799" width="9.140625" style="128"/>
    <col min="12800" max="12800" width="11.85546875" style="128" customWidth="1"/>
    <col min="12801" max="12801" width="11.7109375" style="128" customWidth="1"/>
    <col min="12802" max="12802" width="12.42578125" style="128" customWidth="1"/>
    <col min="12803" max="12803" width="13.42578125" style="128" customWidth="1"/>
    <col min="12804" max="13052" width="9.140625" style="128"/>
    <col min="13053" max="13053" width="49.140625" style="128" customWidth="1"/>
    <col min="13054" max="13054" width="20.7109375" style="128" customWidth="1"/>
    <col min="13055" max="13055" width="9.140625" style="128"/>
    <col min="13056" max="13056" width="11.85546875" style="128" customWidth="1"/>
    <col min="13057" max="13057" width="11.7109375" style="128" customWidth="1"/>
    <col min="13058" max="13058" width="12.42578125" style="128" customWidth="1"/>
    <col min="13059" max="13059" width="13.42578125" style="128" customWidth="1"/>
    <col min="13060" max="13308" width="9.140625" style="128"/>
    <col min="13309" max="13309" width="49.140625" style="128" customWidth="1"/>
    <col min="13310" max="13310" width="20.7109375" style="128" customWidth="1"/>
    <col min="13311" max="13311" width="9.140625" style="128"/>
    <col min="13312" max="13312" width="11.85546875" style="128" customWidth="1"/>
    <col min="13313" max="13313" width="11.7109375" style="128" customWidth="1"/>
    <col min="13314" max="13314" width="12.42578125" style="128" customWidth="1"/>
    <col min="13315" max="13315" width="13.42578125" style="128" customWidth="1"/>
    <col min="13316" max="13564" width="9.140625" style="128"/>
    <col min="13565" max="13565" width="49.140625" style="128" customWidth="1"/>
    <col min="13566" max="13566" width="20.7109375" style="128" customWidth="1"/>
    <col min="13567" max="13567" width="9.140625" style="128"/>
    <col min="13568" max="13568" width="11.85546875" style="128" customWidth="1"/>
    <col min="13569" max="13569" width="11.7109375" style="128" customWidth="1"/>
    <col min="13570" max="13570" width="12.42578125" style="128" customWidth="1"/>
    <col min="13571" max="13571" width="13.42578125" style="128" customWidth="1"/>
    <col min="13572" max="13820" width="9.140625" style="128"/>
    <col min="13821" max="13821" width="49.140625" style="128" customWidth="1"/>
    <col min="13822" max="13822" width="20.7109375" style="128" customWidth="1"/>
    <col min="13823" max="13823" width="9.140625" style="128"/>
    <col min="13824" max="13824" width="11.85546875" style="128" customWidth="1"/>
    <col min="13825" max="13825" width="11.7109375" style="128" customWidth="1"/>
    <col min="13826" max="13826" width="12.42578125" style="128" customWidth="1"/>
    <col min="13827" max="13827" width="13.42578125" style="128" customWidth="1"/>
    <col min="13828" max="14076" width="9.140625" style="128"/>
    <col min="14077" max="14077" width="49.140625" style="128" customWidth="1"/>
    <col min="14078" max="14078" width="20.7109375" style="128" customWidth="1"/>
    <col min="14079" max="14079" width="9.140625" style="128"/>
    <col min="14080" max="14080" width="11.85546875" style="128" customWidth="1"/>
    <col min="14081" max="14081" width="11.7109375" style="128" customWidth="1"/>
    <col min="14082" max="14082" width="12.42578125" style="128" customWidth="1"/>
    <col min="14083" max="14083" width="13.42578125" style="128" customWidth="1"/>
    <col min="14084" max="14332" width="9.140625" style="128"/>
    <col min="14333" max="14333" width="49.140625" style="128" customWidth="1"/>
    <col min="14334" max="14334" width="20.7109375" style="128" customWidth="1"/>
    <col min="14335" max="14335" width="9.140625" style="128"/>
    <col min="14336" max="14336" width="11.85546875" style="128" customWidth="1"/>
    <col min="14337" max="14337" width="11.7109375" style="128" customWidth="1"/>
    <col min="14338" max="14338" width="12.42578125" style="128" customWidth="1"/>
    <col min="14339" max="14339" width="13.42578125" style="128" customWidth="1"/>
    <col min="14340" max="14588" width="9.140625" style="128"/>
    <col min="14589" max="14589" width="49.140625" style="128" customWidth="1"/>
    <col min="14590" max="14590" width="20.7109375" style="128" customWidth="1"/>
    <col min="14591" max="14591" width="9.140625" style="128"/>
    <col min="14592" max="14592" width="11.85546875" style="128" customWidth="1"/>
    <col min="14593" max="14593" width="11.7109375" style="128" customWidth="1"/>
    <col min="14594" max="14594" width="12.42578125" style="128" customWidth="1"/>
    <col min="14595" max="14595" width="13.42578125" style="128" customWidth="1"/>
    <col min="14596" max="14844" width="9.140625" style="128"/>
    <col min="14845" max="14845" width="49.140625" style="128" customWidth="1"/>
    <col min="14846" max="14846" width="20.7109375" style="128" customWidth="1"/>
    <col min="14847" max="14847" width="9.140625" style="128"/>
    <col min="14848" max="14848" width="11.85546875" style="128" customWidth="1"/>
    <col min="14849" max="14849" width="11.7109375" style="128" customWidth="1"/>
    <col min="14850" max="14850" width="12.42578125" style="128" customWidth="1"/>
    <col min="14851" max="14851" width="13.42578125" style="128" customWidth="1"/>
    <col min="14852" max="15100" width="9.140625" style="128"/>
    <col min="15101" max="15101" width="49.140625" style="128" customWidth="1"/>
    <col min="15102" max="15102" width="20.7109375" style="128" customWidth="1"/>
    <col min="15103" max="15103" width="9.140625" style="128"/>
    <col min="15104" max="15104" width="11.85546875" style="128" customWidth="1"/>
    <col min="15105" max="15105" width="11.7109375" style="128" customWidth="1"/>
    <col min="15106" max="15106" width="12.42578125" style="128" customWidth="1"/>
    <col min="15107" max="15107" width="13.42578125" style="128" customWidth="1"/>
    <col min="15108" max="15356" width="9.140625" style="128"/>
    <col min="15357" max="15357" width="49.140625" style="128" customWidth="1"/>
    <col min="15358" max="15358" width="20.7109375" style="128" customWidth="1"/>
    <col min="15359" max="15359" width="9.140625" style="128"/>
    <col min="15360" max="15360" width="11.85546875" style="128" customWidth="1"/>
    <col min="15361" max="15361" width="11.7109375" style="128" customWidth="1"/>
    <col min="15362" max="15362" width="12.42578125" style="128" customWidth="1"/>
    <col min="15363" max="15363" width="13.42578125" style="128" customWidth="1"/>
    <col min="15364" max="15612" width="9.140625" style="128"/>
    <col min="15613" max="15613" width="49.140625" style="128" customWidth="1"/>
    <col min="15614" max="15614" width="20.7109375" style="128" customWidth="1"/>
    <col min="15615" max="15615" width="9.140625" style="128"/>
    <col min="15616" max="15616" width="11.85546875" style="128" customWidth="1"/>
    <col min="15617" max="15617" width="11.7109375" style="128" customWidth="1"/>
    <col min="15618" max="15618" width="12.42578125" style="128" customWidth="1"/>
    <col min="15619" max="15619" width="13.42578125" style="128" customWidth="1"/>
    <col min="15620" max="15868" width="9.140625" style="128"/>
    <col min="15869" max="15869" width="49.140625" style="128" customWidth="1"/>
    <col min="15870" max="15870" width="20.7109375" style="128" customWidth="1"/>
    <col min="15871" max="15871" width="9.140625" style="128"/>
    <col min="15872" max="15872" width="11.85546875" style="128" customWidth="1"/>
    <col min="15873" max="15873" width="11.7109375" style="128" customWidth="1"/>
    <col min="15874" max="15874" width="12.42578125" style="128" customWidth="1"/>
    <col min="15875" max="15875" width="13.42578125" style="128" customWidth="1"/>
    <col min="15876" max="16124" width="9.140625" style="128"/>
    <col min="16125" max="16125" width="49.140625" style="128" customWidth="1"/>
    <col min="16126" max="16126" width="20.7109375" style="128" customWidth="1"/>
    <col min="16127" max="16127" width="9.140625" style="128"/>
    <col min="16128" max="16128" width="11.85546875" style="128" customWidth="1"/>
    <col min="16129" max="16129" width="11.7109375" style="128" customWidth="1"/>
    <col min="16130" max="16130" width="12.42578125" style="128" customWidth="1"/>
    <col min="16131" max="16131" width="13.42578125" style="128" customWidth="1"/>
    <col min="16132" max="16384" width="9.140625" style="128"/>
  </cols>
  <sheetData>
    <row r="1" spans="1:8" ht="20.100000000000001" customHeight="1" x14ac:dyDescent="0.25">
      <c r="A1" s="722" t="s">
        <v>229</v>
      </c>
      <c r="B1" s="723"/>
      <c r="C1" s="127"/>
      <c r="D1" s="127"/>
      <c r="E1" s="127"/>
      <c r="F1" s="127"/>
      <c r="G1" s="127"/>
      <c r="H1" s="127"/>
    </row>
    <row r="2" spans="1:8" ht="20.100000000000001" customHeight="1" x14ac:dyDescent="0.2">
      <c r="A2" s="724" t="s">
        <v>244</v>
      </c>
      <c r="B2" s="725"/>
    </row>
    <row r="3" spans="1:8" ht="20.100000000000001" customHeight="1" x14ac:dyDescent="0.2">
      <c r="A3" s="43" t="s">
        <v>73</v>
      </c>
      <c r="B3" s="44">
        <f>'Cashflow '!I12</f>
        <v>379.37163199999998</v>
      </c>
      <c r="C3" s="129"/>
    </row>
    <row r="4" spans="1:8" ht="20.100000000000001" customHeight="1" x14ac:dyDescent="0.2">
      <c r="A4" s="43" t="s">
        <v>74</v>
      </c>
      <c r="B4" s="47">
        <f>'Cashflow '!I18</f>
        <v>159.21070765664064</v>
      </c>
      <c r="C4" s="131"/>
    </row>
    <row r="5" spans="1:8" ht="20.100000000000001" customHeight="1" x14ac:dyDescent="0.2">
      <c r="A5" s="43" t="s">
        <v>241</v>
      </c>
      <c r="B5" s="44">
        <f>+B3-B4</f>
        <v>220.16092434335934</v>
      </c>
      <c r="C5" s="132"/>
      <c r="D5" s="130"/>
    </row>
    <row r="6" spans="1:8" ht="20.100000000000001" customHeight="1" x14ac:dyDescent="0.2">
      <c r="A6" s="43" t="s">
        <v>77</v>
      </c>
      <c r="B6" s="45"/>
      <c r="C6" s="131"/>
      <c r="D6" s="130"/>
    </row>
    <row r="7" spans="1:8" ht="20.100000000000001" customHeight="1" x14ac:dyDescent="0.2">
      <c r="A7" s="46" t="s">
        <v>4</v>
      </c>
      <c r="B7" s="47">
        <f>'Cashflow '!I19</f>
        <v>17.452987816671875</v>
      </c>
      <c r="C7" s="130"/>
      <c r="D7" s="130"/>
    </row>
    <row r="8" spans="1:8" ht="20.100000000000001" customHeight="1" x14ac:dyDescent="0.2">
      <c r="A8" s="46" t="s">
        <v>131</v>
      </c>
      <c r="B8" s="47" t="e">
        <f>Norms!#REF!</f>
        <v>#REF!</v>
      </c>
      <c r="C8" s="130"/>
      <c r="D8" s="130"/>
    </row>
    <row r="9" spans="1:8" ht="20.100000000000001" customHeight="1" x14ac:dyDescent="0.2">
      <c r="A9" s="46" t="s">
        <v>10</v>
      </c>
      <c r="B9" s="47" t="e">
        <f>Opex!#REF!</f>
        <v>#REF!</v>
      </c>
      <c r="C9" s="130"/>
      <c r="D9" s="133"/>
    </row>
    <row r="10" spans="1:8" ht="20.100000000000001" customHeight="1" x14ac:dyDescent="0.2">
      <c r="A10" s="46" t="s">
        <v>44</v>
      </c>
      <c r="B10" s="44" t="e">
        <f>SUM(B7:B9)</f>
        <v>#REF!</v>
      </c>
      <c r="C10" s="130"/>
      <c r="D10" s="133"/>
    </row>
    <row r="11" spans="1:8" ht="20.100000000000001" customHeight="1" x14ac:dyDescent="0.25">
      <c r="A11" s="49" t="s">
        <v>78</v>
      </c>
      <c r="B11" s="50" t="e">
        <f>B10/B5</f>
        <v>#REF!</v>
      </c>
      <c r="C11" s="134"/>
      <c r="D11" s="133"/>
      <c r="E11" s="127"/>
    </row>
    <row r="12" spans="1:8" ht="20.100000000000001" hidden="1" customHeight="1" x14ac:dyDescent="0.2">
      <c r="A12" s="727" t="s">
        <v>242</v>
      </c>
      <c r="B12" s="728"/>
      <c r="C12" s="728"/>
      <c r="D12" s="728"/>
      <c r="E12" s="728"/>
      <c r="F12" s="728"/>
    </row>
    <row r="13" spans="1:8" ht="20.100000000000001" hidden="1" customHeight="1" x14ac:dyDescent="0.2">
      <c r="A13" s="729" t="s">
        <v>244</v>
      </c>
      <c r="B13" s="730"/>
      <c r="C13" s="730"/>
      <c r="D13" s="730"/>
      <c r="E13" s="730"/>
      <c r="F13" s="731"/>
    </row>
    <row r="14" spans="1:8" ht="20.100000000000001" hidden="1" customHeight="1" x14ac:dyDescent="0.2">
      <c r="A14" s="43"/>
      <c r="B14" s="198"/>
      <c r="C14" s="55">
        <v>1</v>
      </c>
      <c r="D14" s="55">
        <v>2</v>
      </c>
      <c r="E14" s="55">
        <v>3</v>
      </c>
      <c r="F14" s="56">
        <v>4</v>
      </c>
    </row>
    <row r="15" spans="1:8" ht="17.25" hidden="1" customHeight="1" x14ac:dyDescent="0.2">
      <c r="A15" s="43" t="s">
        <v>73</v>
      </c>
      <c r="B15" s="10">
        <f>B3</f>
        <v>379.37163199999998</v>
      </c>
      <c r="C15" s="10">
        <f>B15-B15*0.11</f>
        <v>337.64075248</v>
      </c>
      <c r="D15" s="10">
        <f>B15</f>
        <v>379.37163199999998</v>
      </c>
      <c r="E15" s="10">
        <f>B15-B15*0.05</f>
        <v>360.40305039999998</v>
      </c>
      <c r="F15" s="44">
        <f>B15</f>
        <v>379.37163199999998</v>
      </c>
    </row>
    <row r="16" spans="1:8" ht="17.25" hidden="1" customHeight="1" x14ac:dyDescent="0.2">
      <c r="A16" s="43" t="s">
        <v>74</v>
      </c>
      <c r="B16" s="11"/>
      <c r="C16" s="12"/>
      <c r="D16" s="12"/>
      <c r="E16" s="12"/>
      <c r="F16" s="47"/>
    </row>
    <row r="17" spans="1:6" ht="17.25" hidden="1" customHeight="1" x14ac:dyDescent="0.2">
      <c r="A17" s="46" t="s">
        <v>128</v>
      </c>
      <c r="B17" s="12" t="e">
        <f>#REF!</f>
        <v>#REF!</v>
      </c>
      <c r="C17" s="12" t="e">
        <f>B17</f>
        <v>#REF!</v>
      </c>
      <c r="D17" s="12" t="e">
        <f>C17+C17*16.5%</f>
        <v>#REF!</v>
      </c>
      <c r="E17" s="12" t="e">
        <f>B17+B17*0.09</f>
        <v>#REF!</v>
      </c>
      <c r="F17" s="47" t="e">
        <f>B17</f>
        <v>#REF!</v>
      </c>
    </row>
    <row r="18" spans="1:6" ht="17.25" hidden="1" customHeight="1" x14ac:dyDescent="0.2">
      <c r="A18" s="46" t="s">
        <v>3</v>
      </c>
      <c r="B18" s="12" t="e">
        <f>#REF!</f>
        <v>#REF!</v>
      </c>
      <c r="C18" s="12" t="e">
        <f>B18</f>
        <v>#REF!</v>
      </c>
      <c r="D18" s="12" t="e">
        <f t="shared" ref="D18:F20" si="0">C18</f>
        <v>#REF!</v>
      </c>
      <c r="E18" s="12" t="e">
        <f t="shared" si="0"/>
        <v>#REF!</v>
      </c>
      <c r="F18" s="47" t="e">
        <f t="shared" si="0"/>
        <v>#REF!</v>
      </c>
    </row>
    <row r="19" spans="1:6" ht="17.25" hidden="1" customHeight="1" x14ac:dyDescent="0.2">
      <c r="A19" s="46" t="s">
        <v>2</v>
      </c>
      <c r="B19" s="12" t="e">
        <f>#REF!</f>
        <v>#REF!</v>
      </c>
      <c r="C19" s="12" t="e">
        <f>B19</f>
        <v>#REF!</v>
      </c>
      <c r="D19" s="12" t="e">
        <f t="shared" si="0"/>
        <v>#REF!</v>
      </c>
      <c r="E19" s="12" t="e">
        <f t="shared" si="0"/>
        <v>#REF!</v>
      </c>
      <c r="F19" s="47" t="e">
        <f t="shared" si="0"/>
        <v>#REF!</v>
      </c>
    </row>
    <row r="20" spans="1:6" ht="17.25" hidden="1" customHeight="1" x14ac:dyDescent="0.2">
      <c r="A20" s="46" t="s">
        <v>5</v>
      </c>
      <c r="B20" s="12" t="e">
        <f>#REF!</f>
        <v>#REF!</v>
      </c>
      <c r="C20" s="12" t="e">
        <f>B20</f>
        <v>#REF!</v>
      </c>
      <c r="D20" s="12" t="e">
        <f t="shared" si="0"/>
        <v>#REF!</v>
      </c>
      <c r="E20" s="12" t="e">
        <f t="shared" si="0"/>
        <v>#REF!</v>
      </c>
      <c r="F20" s="47" t="e">
        <f t="shared" si="0"/>
        <v>#REF!</v>
      </c>
    </row>
    <row r="21" spans="1:6" ht="17.25" hidden="1" customHeight="1" x14ac:dyDescent="0.2">
      <c r="A21" s="48" t="s">
        <v>75</v>
      </c>
      <c r="B21" s="10" t="e">
        <f>SUM(B17:B20)</f>
        <v>#REF!</v>
      </c>
      <c r="C21" s="10" t="e">
        <f>SUM(C17:C20)</f>
        <v>#REF!</v>
      </c>
      <c r="D21" s="10" t="e">
        <f>SUM(D17:D20)</f>
        <v>#REF!</v>
      </c>
      <c r="E21" s="10" t="e">
        <f>SUM(E17:E20)</f>
        <v>#REF!</v>
      </c>
      <c r="F21" s="44" t="e">
        <f>SUM(F17:F20)+SUM(F17:F20)*14.5%</f>
        <v>#REF!</v>
      </c>
    </row>
    <row r="22" spans="1:6" ht="17.25" hidden="1" customHeight="1" x14ac:dyDescent="0.2">
      <c r="A22" s="43" t="s">
        <v>76</v>
      </c>
      <c r="B22" s="10" t="e">
        <f>+B15-B21</f>
        <v>#REF!</v>
      </c>
      <c r="C22" s="10" t="e">
        <f>+C15-C21</f>
        <v>#REF!</v>
      </c>
      <c r="D22" s="10" t="e">
        <f>+D15-D21</f>
        <v>#REF!</v>
      </c>
      <c r="E22" s="10" t="e">
        <f>+E15-E21</f>
        <v>#REF!</v>
      </c>
      <c r="F22" s="44" t="e">
        <f>+F15-F21</f>
        <v>#REF!</v>
      </c>
    </row>
    <row r="23" spans="1:6" ht="17.25" hidden="1" customHeight="1" x14ac:dyDescent="0.2">
      <c r="A23" s="43" t="s">
        <v>77</v>
      </c>
      <c r="B23" s="11"/>
      <c r="C23" s="51"/>
      <c r="D23" s="51"/>
      <c r="E23" s="52"/>
      <c r="F23" s="53"/>
    </row>
    <row r="24" spans="1:6" ht="17.25" hidden="1" customHeight="1" x14ac:dyDescent="0.2">
      <c r="A24" s="46" t="s">
        <v>4</v>
      </c>
      <c r="B24" s="12">
        <f>B7</f>
        <v>17.452987816671875</v>
      </c>
      <c r="C24" s="12">
        <f>B24</f>
        <v>17.452987816671875</v>
      </c>
      <c r="D24" s="12">
        <f t="shared" ref="D24:F25" si="1">C24</f>
        <v>17.452987816671875</v>
      </c>
      <c r="E24" s="12">
        <f t="shared" si="1"/>
        <v>17.452987816671875</v>
      </c>
      <c r="F24" s="47">
        <f t="shared" si="1"/>
        <v>17.452987816671875</v>
      </c>
    </row>
    <row r="25" spans="1:6" ht="17.25" hidden="1" customHeight="1" x14ac:dyDescent="0.2">
      <c r="A25" s="46" t="s">
        <v>10</v>
      </c>
      <c r="B25" s="12" t="e">
        <f>B8</f>
        <v>#REF!</v>
      </c>
      <c r="C25" s="12" t="e">
        <f>B25</f>
        <v>#REF!</v>
      </c>
      <c r="D25" s="12" t="e">
        <f t="shared" si="1"/>
        <v>#REF!</v>
      </c>
      <c r="E25" s="12" t="e">
        <f t="shared" si="1"/>
        <v>#REF!</v>
      </c>
      <c r="F25" s="47" t="e">
        <f t="shared" si="1"/>
        <v>#REF!</v>
      </c>
    </row>
    <row r="26" spans="1:6" ht="17.25" hidden="1" customHeight="1" x14ac:dyDescent="0.2">
      <c r="A26" s="46" t="s">
        <v>131</v>
      </c>
      <c r="B26" s="12" t="e">
        <f>B9</f>
        <v>#REF!</v>
      </c>
      <c r="C26" s="12" t="e">
        <f>B26</f>
        <v>#REF!</v>
      </c>
      <c r="D26" s="12" t="e">
        <f>C26</f>
        <v>#REF!</v>
      </c>
      <c r="E26" s="12" t="e">
        <f>C26</f>
        <v>#REF!</v>
      </c>
      <c r="F26" s="47" t="e">
        <f>D26</f>
        <v>#REF!</v>
      </c>
    </row>
    <row r="27" spans="1:6" ht="17.25" hidden="1" customHeight="1" x14ac:dyDescent="0.2">
      <c r="A27" s="46" t="s">
        <v>44</v>
      </c>
      <c r="B27" s="10" t="e">
        <f>SUM(B24:B26)</f>
        <v>#REF!</v>
      </c>
      <c r="C27" s="10" t="e">
        <f>SUM(C24:C26)</f>
        <v>#REF!</v>
      </c>
      <c r="D27" s="10" t="e">
        <f>SUM(D24:D26)</f>
        <v>#REF!</v>
      </c>
      <c r="E27" s="10" t="e">
        <f>SUM(E24:E26)</f>
        <v>#REF!</v>
      </c>
      <c r="F27" s="44" t="e">
        <f>SUM(F24:F26)</f>
        <v>#REF!</v>
      </c>
    </row>
    <row r="28" spans="1:6" ht="17.25" hidden="1" customHeight="1" x14ac:dyDescent="0.2">
      <c r="A28" s="49" t="s">
        <v>78</v>
      </c>
      <c r="B28" s="54" t="e">
        <f>B27/B22</f>
        <v>#REF!</v>
      </c>
      <c r="C28" s="54" t="e">
        <f>C27/C22</f>
        <v>#REF!</v>
      </c>
      <c r="D28" s="54" t="e">
        <f>D27/D22</f>
        <v>#REF!</v>
      </c>
      <c r="E28" s="54" t="e">
        <f>E27/E22</f>
        <v>#REF!</v>
      </c>
      <c r="F28" s="50" t="e">
        <f>F27/F22</f>
        <v>#REF!</v>
      </c>
    </row>
    <row r="29" spans="1:6" hidden="1" x14ac:dyDescent="0.2">
      <c r="A29" s="199" t="s">
        <v>38</v>
      </c>
      <c r="B29" s="726" t="s">
        <v>115</v>
      </c>
      <c r="C29" s="726"/>
    </row>
    <row r="30" spans="1:6" hidden="1" x14ac:dyDescent="0.2">
      <c r="A30" s="57"/>
      <c r="B30" s="32" t="s">
        <v>109</v>
      </c>
      <c r="C30" s="65" t="s">
        <v>110</v>
      </c>
    </row>
    <row r="31" spans="1:6" hidden="1" x14ac:dyDescent="0.2">
      <c r="A31" s="58"/>
      <c r="B31" s="33" t="s">
        <v>124</v>
      </c>
      <c r="C31" s="202" t="e">
        <f>B28</f>
        <v>#REF!</v>
      </c>
    </row>
    <row r="32" spans="1:6" hidden="1" x14ac:dyDescent="0.2">
      <c r="A32" s="58"/>
      <c r="B32" s="33"/>
      <c r="C32" s="203"/>
    </row>
    <row r="33" spans="1:3" hidden="1" x14ac:dyDescent="0.2">
      <c r="A33" s="200">
        <v>1</v>
      </c>
      <c r="B33" s="33" t="s">
        <v>111</v>
      </c>
      <c r="C33" s="204" t="e">
        <f>C28</f>
        <v>#REF!</v>
      </c>
    </row>
    <row r="34" spans="1:3" hidden="1" x14ac:dyDescent="0.2">
      <c r="A34" s="200">
        <v>2</v>
      </c>
      <c r="B34" s="33" t="s">
        <v>112</v>
      </c>
      <c r="C34" s="204" t="e">
        <f>D28</f>
        <v>#REF!</v>
      </c>
    </row>
    <row r="35" spans="1:3" hidden="1" x14ac:dyDescent="0.2">
      <c r="A35" s="200">
        <v>3</v>
      </c>
      <c r="B35" s="33" t="s">
        <v>113</v>
      </c>
      <c r="C35" s="204" t="e">
        <f>E28</f>
        <v>#REF!</v>
      </c>
    </row>
    <row r="36" spans="1:3" hidden="1" x14ac:dyDescent="0.2">
      <c r="A36" s="201">
        <v>4</v>
      </c>
      <c r="B36" s="34" t="s">
        <v>114</v>
      </c>
      <c r="C36" s="205" t="e">
        <f>F28</f>
        <v>#REF!</v>
      </c>
    </row>
  </sheetData>
  <mergeCells count="5">
    <mergeCell ref="A1:B1"/>
    <mergeCell ref="A2:B2"/>
    <mergeCell ref="B29:C29"/>
    <mergeCell ref="A12:F12"/>
    <mergeCell ref="A13:F13"/>
  </mergeCells>
  <printOptions horizontalCentered="1" gridLines="1"/>
  <pageMargins left="1"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39"/>
  <sheetViews>
    <sheetView showGridLines="0" zoomScaleNormal="100" zoomScaleSheetLayoutView="100" workbookViewId="0">
      <selection activeCell="I18" sqref="I18"/>
    </sheetView>
  </sheetViews>
  <sheetFormatPr defaultRowHeight="12.75" x14ac:dyDescent="0.2"/>
  <cols>
    <col min="1" max="1" width="38.140625" style="115" customWidth="1"/>
    <col min="2" max="3" width="9.7109375" style="115" bestFit="1" customWidth="1"/>
    <col min="4" max="4" width="9.5703125" style="115" bestFit="1" customWidth="1"/>
    <col min="5" max="10" width="9.7109375" style="115" bestFit="1" customWidth="1"/>
    <col min="11" max="255" width="9.140625" style="115"/>
    <col min="256" max="256" width="38.140625" style="115" customWidth="1"/>
    <col min="257" max="258" width="9.5703125" style="115" bestFit="1" customWidth="1"/>
    <col min="259" max="259" width="9.28515625" style="115" bestFit="1" customWidth="1"/>
    <col min="260" max="265" width="9.5703125" style="115" bestFit="1" customWidth="1"/>
    <col min="266" max="266" width="10.28515625" style="115" bestFit="1" customWidth="1"/>
    <col min="267" max="511" width="9.140625" style="115"/>
    <col min="512" max="512" width="38.140625" style="115" customWidth="1"/>
    <col min="513" max="514" width="9.5703125" style="115" bestFit="1" customWidth="1"/>
    <col min="515" max="515" width="9.28515625" style="115" bestFit="1" customWidth="1"/>
    <col min="516" max="521" width="9.5703125" style="115" bestFit="1" customWidth="1"/>
    <col min="522" max="522" width="10.28515625" style="115" bestFit="1" customWidth="1"/>
    <col min="523" max="767" width="9.140625" style="115"/>
    <col min="768" max="768" width="38.140625" style="115" customWidth="1"/>
    <col min="769" max="770" width="9.5703125" style="115" bestFit="1" customWidth="1"/>
    <col min="771" max="771" width="9.28515625" style="115" bestFit="1" customWidth="1"/>
    <col min="772" max="777" width="9.5703125" style="115" bestFit="1" customWidth="1"/>
    <col min="778" max="778" width="10.28515625" style="115" bestFit="1" customWidth="1"/>
    <col min="779" max="1023" width="9.140625" style="115"/>
    <col min="1024" max="1024" width="38.140625" style="115" customWidth="1"/>
    <col min="1025" max="1026" width="9.5703125" style="115" bestFit="1" customWidth="1"/>
    <col min="1027" max="1027" width="9.28515625" style="115" bestFit="1" customWidth="1"/>
    <col min="1028" max="1033" width="9.5703125" style="115" bestFit="1" customWidth="1"/>
    <col min="1034" max="1034" width="10.28515625" style="115" bestFit="1" customWidth="1"/>
    <col min="1035" max="1279" width="9.140625" style="115"/>
    <col min="1280" max="1280" width="38.140625" style="115" customWidth="1"/>
    <col min="1281" max="1282" width="9.5703125" style="115" bestFit="1" customWidth="1"/>
    <col min="1283" max="1283" width="9.28515625" style="115" bestFit="1" customWidth="1"/>
    <col min="1284" max="1289" width="9.5703125" style="115" bestFit="1" customWidth="1"/>
    <col min="1290" max="1290" width="10.28515625" style="115" bestFit="1" customWidth="1"/>
    <col min="1291" max="1535" width="9.140625" style="115"/>
    <col min="1536" max="1536" width="38.140625" style="115" customWidth="1"/>
    <col min="1537" max="1538" width="9.5703125" style="115" bestFit="1" customWidth="1"/>
    <col min="1539" max="1539" width="9.28515625" style="115" bestFit="1" customWidth="1"/>
    <col min="1540" max="1545" width="9.5703125" style="115" bestFit="1" customWidth="1"/>
    <col min="1546" max="1546" width="10.28515625" style="115" bestFit="1" customWidth="1"/>
    <col min="1547" max="1791" width="9.140625" style="115"/>
    <col min="1792" max="1792" width="38.140625" style="115" customWidth="1"/>
    <col min="1793" max="1794" width="9.5703125" style="115" bestFit="1" customWidth="1"/>
    <col min="1795" max="1795" width="9.28515625" style="115" bestFit="1" customWidth="1"/>
    <col min="1796" max="1801" width="9.5703125" style="115" bestFit="1" customWidth="1"/>
    <col min="1802" max="1802" width="10.28515625" style="115" bestFit="1" customWidth="1"/>
    <col min="1803" max="2047" width="9.140625" style="115"/>
    <col min="2048" max="2048" width="38.140625" style="115" customWidth="1"/>
    <col min="2049" max="2050" width="9.5703125" style="115" bestFit="1" customWidth="1"/>
    <col min="2051" max="2051" width="9.28515625" style="115" bestFit="1" customWidth="1"/>
    <col min="2052" max="2057" width="9.5703125" style="115" bestFit="1" customWidth="1"/>
    <col min="2058" max="2058" width="10.28515625" style="115" bestFit="1" customWidth="1"/>
    <col min="2059" max="2303" width="9.140625" style="115"/>
    <col min="2304" max="2304" width="38.140625" style="115" customWidth="1"/>
    <col min="2305" max="2306" width="9.5703125" style="115" bestFit="1" customWidth="1"/>
    <col min="2307" max="2307" width="9.28515625" style="115" bestFit="1" customWidth="1"/>
    <col min="2308" max="2313" width="9.5703125" style="115" bestFit="1" customWidth="1"/>
    <col min="2314" max="2314" width="10.28515625" style="115" bestFit="1" customWidth="1"/>
    <col min="2315" max="2559" width="9.140625" style="115"/>
    <col min="2560" max="2560" width="38.140625" style="115" customWidth="1"/>
    <col min="2561" max="2562" width="9.5703125" style="115" bestFit="1" customWidth="1"/>
    <col min="2563" max="2563" width="9.28515625" style="115" bestFit="1" customWidth="1"/>
    <col min="2564" max="2569" width="9.5703125" style="115" bestFit="1" customWidth="1"/>
    <col min="2570" max="2570" width="10.28515625" style="115" bestFit="1" customWidth="1"/>
    <col min="2571" max="2815" width="9.140625" style="115"/>
    <col min="2816" max="2816" width="38.140625" style="115" customWidth="1"/>
    <col min="2817" max="2818" width="9.5703125" style="115" bestFit="1" customWidth="1"/>
    <col min="2819" max="2819" width="9.28515625" style="115" bestFit="1" customWidth="1"/>
    <col min="2820" max="2825" width="9.5703125" style="115" bestFit="1" customWidth="1"/>
    <col min="2826" max="2826" width="10.28515625" style="115" bestFit="1" customWidth="1"/>
    <col min="2827" max="3071" width="9.140625" style="115"/>
    <col min="3072" max="3072" width="38.140625" style="115" customWidth="1"/>
    <col min="3073" max="3074" width="9.5703125" style="115" bestFit="1" customWidth="1"/>
    <col min="3075" max="3075" width="9.28515625" style="115" bestFit="1" customWidth="1"/>
    <col min="3076" max="3081" width="9.5703125" style="115" bestFit="1" customWidth="1"/>
    <col min="3082" max="3082" width="10.28515625" style="115" bestFit="1" customWidth="1"/>
    <col min="3083" max="3327" width="9.140625" style="115"/>
    <col min="3328" max="3328" width="38.140625" style="115" customWidth="1"/>
    <col min="3329" max="3330" width="9.5703125" style="115" bestFit="1" customWidth="1"/>
    <col min="3331" max="3331" width="9.28515625" style="115" bestFit="1" customWidth="1"/>
    <col min="3332" max="3337" width="9.5703125" style="115" bestFit="1" customWidth="1"/>
    <col min="3338" max="3338" width="10.28515625" style="115" bestFit="1" customWidth="1"/>
    <col min="3339" max="3583" width="9.140625" style="115"/>
    <col min="3584" max="3584" width="38.140625" style="115" customWidth="1"/>
    <col min="3585" max="3586" width="9.5703125" style="115" bestFit="1" customWidth="1"/>
    <col min="3587" max="3587" width="9.28515625" style="115" bestFit="1" customWidth="1"/>
    <col min="3588" max="3593" width="9.5703125" style="115" bestFit="1" customWidth="1"/>
    <col min="3594" max="3594" width="10.28515625" style="115" bestFit="1" customWidth="1"/>
    <col min="3595" max="3839" width="9.140625" style="115"/>
    <col min="3840" max="3840" width="38.140625" style="115" customWidth="1"/>
    <col min="3841" max="3842" width="9.5703125" style="115" bestFit="1" customWidth="1"/>
    <col min="3843" max="3843" width="9.28515625" style="115" bestFit="1" customWidth="1"/>
    <col min="3844" max="3849" width="9.5703125" style="115" bestFit="1" customWidth="1"/>
    <col min="3850" max="3850" width="10.28515625" style="115" bestFit="1" customWidth="1"/>
    <col min="3851" max="4095" width="9.140625" style="115"/>
    <col min="4096" max="4096" width="38.140625" style="115" customWidth="1"/>
    <col min="4097" max="4098" width="9.5703125" style="115" bestFit="1" customWidth="1"/>
    <col min="4099" max="4099" width="9.28515625" style="115" bestFit="1" customWidth="1"/>
    <col min="4100" max="4105" width="9.5703125" style="115" bestFit="1" customWidth="1"/>
    <col min="4106" max="4106" width="10.28515625" style="115" bestFit="1" customWidth="1"/>
    <col min="4107" max="4351" width="9.140625" style="115"/>
    <col min="4352" max="4352" width="38.140625" style="115" customWidth="1"/>
    <col min="4353" max="4354" width="9.5703125" style="115" bestFit="1" customWidth="1"/>
    <col min="4355" max="4355" width="9.28515625" style="115" bestFit="1" customWidth="1"/>
    <col min="4356" max="4361" width="9.5703125" style="115" bestFit="1" customWidth="1"/>
    <col min="4362" max="4362" width="10.28515625" style="115" bestFit="1" customWidth="1"/>
    <col min="4363" max="4607" width="9.140625" style="115"/>
    <col min="4608" max="4608" width="38.140625" style="115" customWidth="1"/>
    <col min="4609" max="4610" width="9.5703125" style="115" bestFit="1" customWidth="1"/>
    <col min="4611" max="4611" width="9.28515625" style="115" bestFit="1" customWidth="1"/>
    <col min="4612" max="4617" width="9.5703125" style="115" bestFit="1" customWidth="1"/>
    <col min="4618" max="4618" width="10.28515625" style="115" bestFit="1" customWidth="1"/>
    <col min="4619" max="4863" width="9.140625" style="115"/>
    <col min="4864" max="4864" width="38.140625" style="115" customWidth="1"/>
    <col min="4865" max="4866" width="9.5703125" style="115" bestFit="1" customWidth="1"/>
    <col min="4867" max="4867" width="9.28515625" style="115" bestFit="1" customWidth="1"/>
    <col min="4868" max="4873" width="9.5703125" style="115" bestFit="1" customWidth="1"/>
    <col min="4874" max="4874" width="10.28515625" style="115" bestFit="1" customWidth="1"/>
    <col min="4875" max="5119" width="9.140625" style="115"/>
    <col min="5120" max="5120" width="38.140625" style="115" customWidth="1"/>
    <col min="5121" max="5122" width="9.5703125" style="115" bestFit="1" customWidth="1"/>
    <col min="5123" max="5123" width="9.28515625" style="115" bestFit="1" customWidth="1"/>
    <col min="5124" max="5129" width="9.5703125" style="115" bestFit="1" customWidth="1"/>
    <col min="5130" max="5130" width="10.28515625" style="115" bestFit="1" customWidth="1"/>
    <col min="5131" max="5375" width="9.140625" style="115"/>
    <col min="5376" max="5376" width="38.140625" style="115" customWidth="1"/>
    <col min="5377" max="5378" width="9.5703125" style="115" bestFit="1" customWidth="1"/>
    <col min="5379" max="5379" width="9.28515625" style="115" bestFit="1" customWidth="1"/>
    <col min="5380" max="5385" width="9.5703125" style="115" bestFit="1" customWidth="1"/>
    <col min="5386" max="5386" width="10.28515625" style="115" bestFit="1" customWidth="1"/>
    <col min="5387" max="5631" width="9.140625" style="115"/>
    <col min="5632" max="5632" width="38.140625" style="115" customWidth="1"/>
    <col min="5633" max="5634" width="9.5703125" style="115" bestFit="1" customWidth="1"/>
    <col min="5635" max="5635" width="9.28515625" style="115" bestFit="1" customWidth="1"/>
    <col min="5636" max="5641" width="9.5703125" style="115" bestFit="1" customWidth="1"/>
    <col min="5642" max="5642" width="10.28515625" style="115" bestFit="1" customWidth="1"/>
    <col min="5643" max="5887" width="9.140625" style="115"/>
    <col min="5888" max="5888" width="38.140625" style="115" customWidth="1"/>
    <col min="5889" max="5890" width="9.5703125" style="115" bestFit="1" customWidth="1"/>
    <col min="5891" max="5891" width="9.28515625" style="115" bestFit="1" customWidth="1"/>
    <col min="5892" max="5897" width="9.5703125" style="115" bestFit="1" customWidth="1"/>
    <col min="5898" max="5898" width="10.28515625" style="115" bestFit="1" customWidth="1"/>
    <col min="5899" max="6143" width="9.140625" style="115"/>
    <col min="6144" max="6144" width="38.140625" style="115" customWidth="1"/>
    <col min="6145" max="6146" width="9.5703125" style="115" bestFit="1" customWidth="1"/>
    <col min="6147" max="6147" width="9.28515625" style="115" bestFit="1" customWidth="1"/>
    <col min="6148" max="6153" width="9.5703125" style="115" bestFit="1" customWidth="1"/>
    <col min="6154" max="6154" width="10.28515625" style="115" bestFit="1" customWidth="1"/>
    <col min="6155" max="6399" width="9.140625" style="115"/>
    <col min="6400" max="6400" width="38.140625" style="115" customWidth="1"/>
    <col min="6401" max="6402" width="9.5703125" style="115" bestFit="1" customWidth="1"/>
    <col min="6403" max="6403" width="9.28515625" style="115" bestFit="1" customWidth="1"/>
    <col min="6404" max="6409" width="9.5703125" style="115" bestFit="1" customWidth="1"/>
    <col min="6410" max="6410" width="10.28515625" style="115" bestFit="1" customWidth="1"/>
    <col min="6411" max="6655" width="9.140625" style="115"/>
    <col min="6656" max="6656" width="38.140625" style="115" customWidth="1"/>
    <col min="6657" max="6658" width="9.5703125" style="115" bestFit="1" customWidth="1"/>
    <col min="6659" max="6659" width="9.28515625" style="115" bestFit="1" customWidth="1"/>
    <col min="6660" max="6665" width="9.5703125" style="115" bestFit="1" customWidth="1"/>
    <col min="6666" max="6666" width="10.28515625" style="115" bestFit="1" customWidth="1"/>
    <col min="6667" max="6911" width="9.140625" style="115"/>
    <col min="6912" max="6912" width="38.140625" style="115" customWidth="1"/>
    <col min="6913" max="6914" width="9.5703125" style="115" bestFit="1" customWidth="1"/>
    <col min="6915" max="6915" width="9.28515625" style="115" bestFit="1" customWidth="1"/>
    <col min="6916" max="6921" width="9.5703125" style="115" bestFit="1" customWidth="1"/>
    <col min="6922" max="6922" width="10.28515625" style="115" bestFit="1" customWidth="1"/>
    <col min="6923" max="7167" width="9.140625" style="115"/>
    <col min="7168" max="7168" width="38.140625" style="115" customWidth="1"/>
    <col min="7169" max="7170" width="9.5703125" style="115" bestFit="1" customWidth="1"/>
    <col min="7171" max="7171" width="9.28515625" style="115" bestFit="1" customWidth="1"/>
    <col min="7172" max="7177" width="9.5703125" style="115" bestFit="1" customWidth="1"/>
    <col min="7178" max="7178" width="10.28515625" style="115" bestFit="1" customWidth="1"/>
    <col min="7179" max="7423" width="9.140625" style="115"/>
    <col min="7424" max="7424" width="38.140625" style="115" customWidth="1"/>
    <col min="7425" max="7426" width="9.5703125" style="115" bestFit="1" customWidth="1"/>
    <col min="7427" max="7427" width="9.28515625" style="115" bestFit="1" customWidth="1"/>
    <col min="7428" max="7433" width="9.5703125" style="115" bestFit="1" customWidth="1"/>
    <col min="7434" max="7434" width="10.28515625" style="115" bestFit="1" customWidth="1"/>
    <col min="7435" max="7679" width="9.140625" style="115"/>
    <col min="7680" max="7680" width="38.140625" style="115" customWidth="1"/>
    <col min="7681" max="7682" width="9.5703125" style="115" bestFit="1" customWidth="1"/>
    <col min="7683" max="7683" width="9.28515625" style="115" bestFit="1" customWidth="1"/>
    <col min="7684" max="7689" width="9.5703125" style="115" bestFit="1" customWidth="1"/>
    <col min="7690" max="7690" width="10.28515625" style="115" bestFit="1" customWidth="1"/>
    <col min="7691" max="7935" width="9.140625" style="115"/>
    <col min="7936" max="7936" width="38.140625" style="115" customWidth="1"/>
    <col min="7937" max="7938" width="9.5703125" style="115" bestFit="1" customWidth="1"/>
    <col min="7939" max="7939" width="9.28515625" style="115" bestFit="1" customWidth="1"/>
    <col min="7940" max="7945" width="9.5703125" style="115" bestFit="1" customWidth="1"/>
    <col min="7946" max="7946" width="10.28515625" style="115" bestFit="1" customWidth="1"/>
    <col min="7947" max="8191" width="9.140625" style="115"/>
    <col min="8192" max="8192" width="38.140625" style="115" customWidth="1"/>
    <col min="8193" max="8194" width="9.5703125" style="115" bestFit="1" customWidth="1"/>
    <col min="8195" max="8195" width="9.28515625" style="115" bestFit="1" customWidth="1"/>
    <col min="8196" max="8201" width="9.5703125" style="115" bestFit="1" customWidth="1"/>
    <col min="8202" max="8202" width="10.28515625" style="115" bestFit="1" customWidth="1"/>
    <col min="8203" max="8447" width="9.140625" style="115"/>
    <col min="8448" max="8448" width="38.140625" style="115" customWidth="1"/>
    <col min="8449" max="8450" width="9.5703125" style="115" bestFit="1" customWidth="1"/>
    <col min="8451" max="8451" width="9.28515625" style="115" bestFit="1" customWidth="1"/>
    <col min="8452" max="8457" width="9.5703125" style="115" bestFit="1" customWidth="1"/>
    <col min="8458" max="8458" width="10.28515625" style="115" bestFit="1" customWidth="1"/>
    <col min="8459" max="8703" width="9.140625" style="115"/>
    <col min="8704" max="8704" width="38.140625" style="115" customWidth="1"/>
    <col min="8705" max="8706" width="9.5703125" style="115" bestFit="1" customWidth="1"/>
    <col min="8707" max="8707" width="9.28515625" style="115" bestFit="1" customWidth="1"/>
    <col min="8708" max="8713" width="9.5703125" style="115" bestFit="1" customWidth="1"/>
    <col min="8714" max="8714" width="10.28515625" style="115" bestFit="1" customWidth="1"/>
    <col min="8715" max="8959" width="9.140625" style="115"/>
    <col min="8960" max="8960" width="38.140625" style="115" customWidth="1"/>
    <col min="8961" max="8962" width="9.5703125" style="115" bestFit="1" customWidth="1"/>
    <col min="8963" max="8963" width="9.28515625" style="115" bestFit="1" customWidth="1"/>
    <col min="8964" max="8969" width="9.5703125" style="115" bestFit="1" customWidth="1"/>
    <col min="8970" max="8970" width="10.28515625" style="115" bestFit="1" customWidth="1"/>
    <col min="8971" max="9215" width="9.140625" style="115"/>
    <col min="9216" max="9216" width="38.140625" style="115" customWidth="1"/>
    <col min="9217" max="9218" width="9.5703125" style="115" bestFit="1" customWidth="1"/>
    <col min="9219" max="9219" width="9.28515625" style="115" bestFit="1" customWidth="1"/>
    <col min="9220" max="9225" width="9.5703125" style="115" bestFit="1" customWidth="1"/>
    <col min="9226" max="9226" width="10.28515625" style="115" bestFit="1" customWidth="1"/>
    <col min="9227" max="9471" width="9.140625" style="115"/>
    <col min="9472" max="9472" width="38.140625" style="115" customWidth="1"/>
    <col min="9473" max="9474" width="9.5703125" style="115" bestFit="1" customWidth="1"/>
    <col min="9475" max="9475" width="9.28515625" style="115" bestFit="1" customWidth="1"/>
    <col min="9476" max="9481" width="9.5703125" style="115" bestFit="1" customWidth="1"/>
    <col min="9482" max="9482" width="10.28515625" style="115" bestFit="1" customWidth="1"/>
    <col min="9483" max="9727" width="9.140625" style="115"/>
    <col min="9728" max="9728" width="38.140625" style="115" customWidth="1"/>
    <col min="9729" max="9730" width="9.5703125" style="115" bestFit="1" customWidth="1"/>
    <col min="9731" max="9731" width="9.28515625" style="115" bestFit="1" customWidth="1"/>
    <col min="9732" max="9737" width="9.5703125" style="115" bestFit="1" customWidth="1"/>
    <col min="9738" max="9738" width="10.28515625" style="115" bestFit="1" customWidth="1"/>
    <col min="9739" max="9983" width="9.140625" style="115"/>
    <col min="9984" max="9984" width="38.140625" style="115" customWidth="1"/>
    <col min="9985" max="9986" width="9.5703125" style="115" bestFit="1" customWidth="1"/>
    <col min="9987" max="9987" width="9.28515625" style="115" bestFit="1" customWidth="1"/>
    <col min="9988" max="9993" width="9.5703125" style="115" bestFit="1" customWidth="1"/>
    <col min="9994" max="9994" width="10.28515625" style="115" bestFit="1" customWidth="1"/>
    <col min="9995" max="10239" width="9.140625" style="115"/>
    <col min="10240" max="10240" width="38.140625" style="115" customWidth="1"/>
    <col min="10241" max="10242" width="9.5703125" style="115" bestFit="1" customWidth="1"/>
    <col min="10243" max="10243" width="9.28515625" style="115" bestFit="1" customWidth="1"/>
    <col min="10244" max="10249" width="9.5703125" style="115" bestFit="1" customWidth="1"/>
    <col min="10250" max="10250" width="10.28515625" style="115" bestFit="1" customWidth="1"/>
    <col min="10251" max="10495" width="9.140625" style="115"/>
    <col min="10496" max="10496" width="38.140625" style="115" customWidth="1"/>
    <col min="10497" max="10498" width="9.5703125" style="115" bestFit="1" customWidth="1"/>
    <col min="10499" max="10499" width="9.28515625" style="115" bestFit="1" customWidth="1"/>
    <col min="10500" max="10505" width="9.5703125" style="115" bestFit="1" customWidth="1"/>
    <col min="10506" max="10506" width="10.28515625" style="115" bestFit="1" customWidth="1"/>
    <col min="10507" max="10751" width="9.140625" style="115"/>
    <col min="10752" max="10752" width="38.140625" style="115" customWidth="1"/>
    <col min="10753" max="10754" width="9.5703125" style="115" bestFit="1" customWidth="1"/>
    <col min="10755" max="10755" width="9.28515625" style="115" bestFit="1" customWidth="1"/>
    <col min="10756" max="10761" width="9.5703125" style="115" bestFit="1" customWidth="1"/>
    <col min="10762" max="10762" width="10.28515625" style="115" bestFit="1" customWidth="1"/>
    <col min="10763" max="11007" width="9.140625" style="115"/>
    <col min="11008" max="11008" width="38.140625" style="115" customWidth="1"/>
    <col min="11009" max="11010" width="9.5703125" style="115" bestFit="1" customWidth="1"/>
    <col min="11011" max="11011" width="9.28515625" style="115" bestFit="1" customWidth="1"/>
    <col min="11012" max="11017" width="9.5703125" style="115" bestFit="1" customWidth="1"/>
    <col min="11018" max="11018" width="10.28515625" style="115" bestFit="1" customWidth="1"/>
    <col min="11019" max="11263" width="9.140625" style="115"/>
    <col min="11264" max="11264" width="38.140625" style="115" customWidth="1"/>
    <col min="11265" max="11266" width="9.5703125" style="115" bestFit="1" customWidth="1"/>
    <col min="11267" max="11267" width="9.28515625" style="115" bestFit="1" customWidth="1"/>
    <col min="11268" max="11273" width="9.5703125" style="115" bestFit="1" customWidth="1"/>
    <col min="11274" max="11274" width="10.28515625" style="115" bestFit="1" customWidth="1"/>
    <col min="11275" max="11519" width="9.140625" style="115"/>
    <col min="11520" max="11520" width="38.140625" style="115" customWidth="1"/>
    <col min="11521" max="11522" width="9.5703125" style="115" bestFit="1" customWidth="1"/>
    <col min="11523" max="11523" width="9.28515625" style="115" bestFit="1" customWidth="1"/>
    <col min="11524" max="11529" width="9.5703125" style="115" bestFit="1" customWidth="1"/>
    <col min="11530" max="11530" width="10.28515625" style="115" bestFit="1" customWidth="1"/>
    <col min="11531" max="11775" width="9.140625" style="115"/>
    <col min="11776" max="11776" width="38.140625" style="115" customWidth="1"/>
    <col min="11777" max="11778" width="9.5703125" style="115" bestFit="1" customWidth="1"/>
    <col min="11779" max="11779" width="9.28515625" style="115" bestFit="1" customWidth="1"/>
    <col min="11780" max="11785" width="9.5703125" style="115" bestFit="1" customWidth="1"/>
    <col min="11786" max="11786" width="10.28515625" style="115" bestFit="1" customWidth="1"/>
    <col min="11787" max="12031" width="9.140625" style="115"/>
    <col min="12032" max="12032" width="38.140625" style="115" customWidth="1"/>
    <col min="12033" max="12034" width="9.5703125" style="115" bestFit="1" customWidth="1"/>
    <col min="12035" max="12035" width="9.28515625" style="115" bestFit="1" customWidth="1"/>
    <col min="12036" max="12041" width="9.5703125" style="115" bestFit="1" customWidth="1"/>
    <col min="12042" max="12042" width="10.28515625" style="115" bestFit="1" customWidth="1"/>
    <col min="12043" max="12287" width="9.140625" style="115"/>
    <col min="12288" max="12288" width="38.140625" style="115" customWidth="1"/>
    <col min="12289" max="12290" width="9.5703125" style="115" bestFit="1" customWidth="1"/>
    <col min="12291" max="12291" width="9.28515625" style="115" bestFit="1" customWidth="1"/>
    <col min="12292" max="12297" width="9.5703125" style="115" bestFit="1" customWidth="1"/>
    <col min="12298" max="12298" width="10.28515625" style="115" bestFit="1" customWidth="1"/>
    <col min="12299" max="12543" width="9.140625" style="115"/>
    <col min="12544" max="12544" width="38.140625" style="115" customWidth="1"/>
    <col min="12545" max="12546" width="9.5703125" style="115" bestFit="1" customWidth="1"/>
    <col min="12547" max="12547" width="9.28515625" style="115" bestFit="1" customWidth="1"/>
    <col min="12548" max="12553" width="9.5703125" style="115" bestFit="1" customWidth="1"/>
    <col min="12554" max="12554" width="10.28515625" style="115" bestFit="1" customWidth="1"/>
    <col min="12555" max="12799" width="9.140625" style="115"/>
    <col min="12800" max="12800" width="38.140625" style="115" customWidth="1"/>
    <col min="12801" max="12802" width="9.5703125" style="115" bestFit="1" customWidth="1"/>
    <col min="12803" max="12803" width="9.28515625" style="115" bestFit="1" customWidth="1"/>
    <col min="12804" max="12809" width="9.5703125" style="115" bestFit="1" customWidth="1"/>
    <col min="12810" max="12810" width="10.28515625" style="115" bestFit="1" customWidth="1"/>
    <col min="12811" max="13055" width="9.140625" style="115"/>
    <col min="13056" max="13056" width="38.140625" style="115" customWidth="1"/>
    <col min="13057" max="13058" width="9.5703125" style="115" bestFit="1" customWidth="1"/>
    <col min="13059" max="13059" width="9.28515625" style="115" bestFit="1" customWidth="1"/>
    <col min="13060" max="13065" width="9.5703125" style="115" bestFit="1" customWidth="1"/>
    <col min="13066" max="13066" width="10.28515625" style="115" bestFit="1" customWidth="1"/>
    <col min="13067" max="13311" width="9.140625" style="115"/>
    <col min="13312" max="13312" width="38.140625" style="115" customWidth="1"/>
    <col min="13313" max="13314" width="9.5703125" style="115" bestFit="1" customWidth="1"/>
    <col min="13315" max="13315" width="9.28515625" style="115" bestFit="1" customWidth="1"/>
    <col min="13316" max="13321" width="9.5703125" style="115" bestFit="1" customWidth="1"/>
    <col min="13322" max="13322" width="10.28515625" style="115" bestFit="1" customWidth="1"/>
    <col min="13323" max="13567" width="9.140625" style="115"/>
    <col min="13568" max="13568" width="38.140625" style="115" customWidth="1"/>
    <col min="13569" max="13570" width="9.5703125" style="115" bestFit="1" customWidth="1"/>
    <col min="13571" max="13571" width="9.28515625" style="115" bestFit="1" customWidth="1"/>
    <col min="13572" max="13577" width="9.5703125" style="115" bestFit="1" customWidth="1"/>
    <col min="13578" max="13578" width="10.28515625" style="115" bestFit="1" customWidth="1"/>
    <col min="13579" max="13823" width="9.140625" style="115"/>
    <col min="13824" max="13824" width="38.140625" style="115" customWidth="1"/>
    <col min="13825" max="13826" width="9.5703125" style="115" bestFit="1" customWidth="1"/>
    <col min="13827" max="13827" width="9.28515625" style="115" bestFit="1" customWidth="1"/>
    <col min="13828" max="13833" width="9.5703125" style="115" bestFit="1" customWidth="1"/>
    <col min="13834" max="13834" width="10.28515625" style="115" bestFit="1" customWidth="1"/>
    <col min="13835" max="14079" width="9.140625" style="115"/>
    <col min="14080" max="14080" width="38.140625" style="115" customWidth="1"/>
    <col min="14081" max="14082" width="9.5703125" style="115" bestFit="1" customWidth="1"/>
    <col min="14083" max="14083" width="9.28515625" style="115" bestFit="1" customWidth="1"/>
    <col min="14084" max="14089" width="9.5703125" style="115" bestFit="1" customWidth="1"/>
    <col min="14090" max="14090" width="10.28515625" style="115" bestFit="1" customWidth="1"/>
    <col min="14091" max="14335" width="9.140625" style="115"/>
    <col min="14336" max="14336" width="38.140625" style="115" customWidth="1"/>
    <col min="14337" max="14338" width="9.5703125" style="115" bestFit="1" customWidth="1"/>
    <col min="14339" max="14339" width="9.28515625" style="115" bestFit="1" customWidth="1"/>
    <col min="14340" max="14345" width="9.5703125" style="115" bestFit="1" customWidth="1"/>
    <col min="14346" max="14346" width="10.28515625" style="115" bestFit="1" customWidth="1"/>
    <col min="14347" max="14591" width="9.140625" style="115"/>
    <col min="14592" max="14592" width="38.140625" style="115" customWidth="1"/>
    <col min="14593" max="14594" width="9.5703125" style="115" bestFit="1" customWidth="1"/>
    <col min="14595" max="14595" width="9.28515625" style="115" bestFit="1" customWidth="1"/>
    <col min="14596" max="14601" width="9.5703125" style="115" bestFit="1" customWidth="1"/>
    <col min="14602" max="14602" width="10.28515625" style="115" bestFit="1" customWidth="1"/>
    <col min="14603" max="14847" width="9.140625" style="115"/>
    <col min="14848" max="14848" width="38.140625" style="115" customWidth="1"/>
    <col min="14849" max="14850" width="9.5703125" style="115" bestFit="1" customWidth="1"/>
    <col min="14851" max="14851" width="9.28515625" style="115" bestFit="1" customWidth="1"/>
    <col min="14852" max="14857" width="9.5703125" style="115" bestFit="1" customWidth="1"/>
    <col min="14858" max="14858" width="10.28515625" style="115" bestFit="1" customWidth="1"/>
    <col min="14859" max="15103" width="9.140625" style="115"/>
    <col min="15104" max="15104" width="38.140625" style="115" customWidth="1"/>
    <col min="15105" max="15106" width="9.5703125" style="115" bestFit="1" customWidth="1"/>
    <col min="15107" max="15107" width="9.28515625" style="115" bestFit="1" customWidth="1"/>
    <col min="15108" max="15113" width="9.5703125" style="115" bestFit="1" customWidth="1"/>
    <col min="15114" max="15114" width="10.28515625" style="115" bestFit="1" customWidth="1"/>
    <col min="15115" max="15359" width="9.140625" style="115"/>
    <col min="15360" max="15360" width="38.140625" style="115" customWidth="1"/>
    <col min="15361" max="15362" width="9.5703125" style="115" bestFit="1" customWidth="1"/>
    <col min="15363" max="15363" width="9.28515625" style="115" bestFit="1" customWidth="1"/>
    <col min="15364" max="15369" width="9.5703125" style="115" bestFit="1" customWidth="1"/>
    <col min="15370" max="15370" width="10.28515625" style="115" bestFit="1" customWidth="1"/>
    <col min="15371" max="15615" width="9.140625" style="115"/>
    <col min="15616" max="15616" width="38.140625" style="115" customWidth="1"/>
    <col min="15617" max="15618" width="9.5703125" style="115" bestFit="1" customWidth="1"/>
    <col min="15619" max="15619" width="9.28515625" style="115" bestFit="1" customWidth="1"/>
    <col min="15620" max="15625" width="9.5703125" style="115" bestFit="1" customWidth="1"/>
    <col min="15626" max="15626" width="10.28515625" style="115" bestFit="1" customWidth="1"/>
    <col min="15627" max="15871" width="9.140625" style="115"/>
    <col min="15872" max="15872" width="38.140625" style="115" customWidth="1"/>
    <col min="15873" max="15874" width="9.5703125" style="115" bestFit="1" customWidth="1"/>
    <col min="15875" max="15875" width="9.28515625" style="115" bestFit="1" customWidth="1"/>
    <col min="15876" max="15881" width="9.5703125" style="115" bestFit="1" customWidth="1"/>
    <col min="15882" max="15882" width="10.28515625" style="115" bestFit="1" customWidth="1"/>
    <col min="15883" max="16127" width="9.140625" style="115"/>
    <col min="16128" max="16128" width="38.140625" style="115" customWidth="1"/>
    <col min="16129" max="16130" width="9.5703125" style="115" bestFit="1" customWidth="1"/>
    <col min="16131" max="16131" width="9.28515625" style="115" bestFit="1" customWidth="1"/>
    <col min="16132" max="16137" width="9.5703125" style="115" bestFit="1" customWidth="1"/>
    <col min="16138" max="16138" width="10.28515625" style="115" bestFit="1" customWidth="1"/>
    <col min="16139" max="16384" width="9.140625" style="115"/>
  </cols>
  <sheetData>
    <row r="1" spans="1:12" ht="17.100000000000001" customHeight="1" x14ac:dyDescent="0.2">
      <c r="A1" s="701" t="s">
        <v>79</v>
      </c>
      <c r="B1" s="702"/>
      <c r="C1" s="702"/>
      <c r="D1" s="702"/>
      <c r="E1" s="702"/>
      <c r="F1" s="702"/>
      <c r="G1" s="702"/>
      <c r="H1" s="702"/>
      <c r="I1" s="702"/>
      <c r="J1" s="703"/>
    </row>
    <row r="2" spans="1:12" ht="17.100000000000001" customHeight="1" x14ac:dyDescent="0.2">
      <c r="A2" s="719" t="s">
        <v>60</v>
      </c>
      <c r="B2" s="720"/>
      <c r="C2" s="720"/>
      <c r="D2" s="720"/>
      <c r="E2" s="720"/>
      <c r="F2" s="720"/>
      <c r="G2" s="720"/>
      <c r="H2" s="720"/>
      <c r="I2" s="720"/>
      <c r="J2" s="721"/>
    </row>
    <row r="3" spans="1:12" ht="17.100000000000001" customHeight="1" x14ac:dyDescent="0.2">
      <c r="A3" s="69" t="s">
        <v>80</v>
      </c>
      <c r="B3" s="40" t="s">
        <v>61</v>
      </c>
      <c r="C3" s="40" t="s">
        <v>62</v>
      </c>
      <c r="D3" s="40" t="s">
        <v>63</v>
      </c>
      <c r="E3" s="40" t="s">
        <v>64</v>
      </c>
      <c r="F3" s="40" t="s">
        <v>65</v>
      </c>
      <c r="G3" s="40" t="s">
        <v>66</v>
      </c>
      <c r="H3" s="40" t="s">
        <v>67</v>
      </c>
      <c r="I3" s="40" t="s">
        <v>68</v>
      </c>
      <c r="J3" s="41" t="s">
        <v>69</v>
      </c>
      <c r="K3" s="116"/>
    </row>
    <row r="4" spans="1:12" ht="17.100000000000001" customHeight="1" x14ac:dyDescent="0.2">
      <c r="A4" s="732"/>
      <c r="B4" s="733"/>
      <c r="C4" s="733"/>
      <c r="D4" s="733"/>
      <c r="E4" s="733"/>
      <c r="F4" s="733"/>
      <c r="G4" s="733"/>
      <c r="H4" s="733"/>
      <c r="I4" s="733"/>
      <c r="J4" s="734"/>
    </row>
    <row r="5" spans="1:12" ht="17.100000000000001" customHeight="1" x14ac:dyDescent="0.2">
      <c r="A5" s="70" t="s">
        <v>81</v>
      </c>
      <c r="B5" s="67" t="e">
        <f>Profitability!B13</f>
        <v>#REF!</v>
      </c>
      <c r="C5" s="67" t="e">
        <f>Profitability!C13</f>
        <v>#REF!</v>
      </c>
      <c r="D5" s="67" t="e">
        <f>Profitability!D13</f>
        <v>#REF!</v>
      </c>
      <c r="E5" s="67" t="e">
        <f>Profitability!E13</f>
        <v>#REF!</v>
      </c>
      <c r="F5" s="67" t="e">
        <f>Profitability!F13</f>
        <v>#REF!</v>
      </c>
      <c r="G5" s="67" t="e">
        <f>Profitability!G13</f>
        <v>#REF!</v>
      </c>
      <c r="H5" s="67" t="e">
        <f>Profitability!H13</f>
        <v>#REF!</v>
      </c>
      <c r="I5" s="67" t="e">
        <f>Profitability!I13</f>
        <v>#REF!</v>
      </c>
      <c r="J5" s="71" t="e">
        <f>Profitability!J13</f>
        <v>#REF!</v>
      </c>
    </row>
    <row r="6" spans="1:12" ht="17.100000000000001" customHeight="1" x14ac:dyDescent="0.2">
      <c r="A6" s="70" t="s">
        <v>82</v>
      </c>
      <c r="B6" s="67" t="e">
        <f>Norms!#REF!</f>
        <v>#REF!</v>
      </c>
      <c r="C6" s="67" t="e">
        <f>Norms!#REF!</f>
        <v>#REF!</v>
      </c>
      <c r="D6" s="67" t="e">
        <f>Norms!#REF!</f>
        <v>#REF!</v>
      </c>
      <c r="E6" s="67" t="e">
        <f>Norms!#REF!</f>
        <v>#REF!</v>
      </c>
      <c r="F6" s="67" t="e">
        <f>Norms!#REF!</f>
        <v>#REF!</v>
      </c>
      <c r="G6" s="67" t="e">
        <f>Norms!#REF!</f>
        <v>#REF!</v>
      </c>
      <c r="H6" s="67" t="e">
        <f>Norms!#REF!</f>
        <v>#REF!</v>
      </c>
      <c r="I6" s="67" t="e">
        <f>Norms!#REF!</f>
        <v>#REF!</v>
      </c>
      <c r="J6" s="71" t="e">
        <f>Norms!#REF!</f>
        <v>#REF!</v>
      </c>
    </row>
    <row r="7" spans="1:12" ht="17.100000000000001" customHeight="1" x14ac:dyDescent="0.2">
      <c r="A7" s="732"/>
      <c r="B7" s="733"/>
      <c r="C7" s="733"/>
      <c r="D7" s="733"/>
      <c r="E7" s="733"/>
      <c r="F7" s="733"/>
      <c r="G7" s="733"/>
      <c r="H7" s="733"/>
      <c r="I7" s="733"/>
      <c r="J7" s="734"/>
    </row>
    <row r="8" spans="1:12" s="117" customFormat="1" ht="17.100000000000001" customHeight="1" x14ac:dyDescent="0.2">
      <c r="A8" s="38" t="s">
        <v>116</v>
      </c>
      <c r="B8" s="68" t="e">
        <f t="shared" ref="B8:J8" si="0">SUM(B5:B6)</f>
        <v>#REF!</v>
      </c>
      <c r="C8" s="68" t="e">
        <f t="shared" si="0"/>
        <v>#REF!</v>
      </c>
      <c r="D8" s="68" t="e">
        <f t="shared" si="0"/>
        <v>#REF!</v>
      </c>
      <c r="E8" s="68" t="e">
        <f t="shared" si="0"/>
        <v>#REF!</v>
      </c>
      <c r="F8" s="68" t="e">
        <f t="shared" si="0"/>
        <v>#REF!</v>
      </c>
      <c r="G8" s="68" t="e">
        <f t="shared" si="0"/>
        <v>#REF!</v>
      </c>
      <c r="H8" s="68" t="e">
        <f t="shared" si="0"/>
        <v>#REF!</v>
      </c>
      <c r="I8" s="68" t="e">
        <f t="shared" si="0"/>
        <v>#REF!</v>
      </c>
      <c r="J8" s="72" t="e">
        <f t="shared" si="0"/>
        <v>#REF!</v>
      </c>
      <c r="L8" s="118"/>
    </row>
    <row r="9" spans="1:12" ht="17.100000000000001" customHeight="1" x14ac:dyDescent="0.2">
      <c r="A9" s="732"/>
      <c r="B9" s="733"/>
      <c r="C9" s="733"/>
      <c r="D9" s="733"/>
      <c r="E9" s="733"/>
      <c r="F9" s="733"/>
      <c r="G9" s="733"/>
      <c r="H9" s="733"/>
      <c r="I9" s="733"/>
      <c r="J9" s="734"/>
    </row>
    <row r="10" spans="1:12" ht="17.100000000000001" customHeight="1" x14ac:dyDescent="0.2">
      <c r="A10" s="70" t="s">
        <v>117</v>
      </c>
      <c r="B10" s="67" t="e">
        <f t="shared" ref="B10:J10" si="1">+B6</f>
        <v>#REF!</v>
      </c>
      <c r="C10" s="67" t="e">
        <f t="shared" si="1"/>
        <v>#REF!</v>
      </c>
      <c r="D10" s="67" t="e">
        <f t="shared" si="1"/>
        <v>#REF!</v>
      </c>
      <c r="E10" s="67" t="e">
        <f t="shared" si="1"/>
        <v>#REF!</v>
      </c>
      <c r="F10" s="67" t="e">
        <f t="shared" si="1"/>
        <v>#REF!</v>
      </c>
      <c r="G10" s="67" t="e">
        <f t="shared" si="1"/>
        <v>#REF!</v>
      </c>
      <c r="H10" s="67" t="e">
        <f t="shared" si="1"/>
        <v>#REF!</v>
      </c>
      <c r="I10" s="67" t="e">
        <f t="shared" si="1"/>
        <v>#REF!</v>
      </c>
      <c r="J10" s="71" t="e">
        <f t="shared" si="1"/>
        <v>#REF!</v>
      </c>
    </row>
    <row r="11" spans="1:12" ht="17.100000000000001" customHeight="1" x14ac:dyDescent="0.2">
      <c r="A11" s="70" t="s">
        <v>118</v>
      </c>
      <c r="B11" s="67" t="e">
        <f>Norms!#REF!</f>
        <v>#REF!</v>
      </c>
      <c r="C11" s="67" t="e">
        <f>Norms!#REF!</f>
        <v>#REF!</v>
      </c>
      <c r="D11" s="67" t="e">
        <f>Norms!#REF!</f>
        <v>#REF!</v>
      </c>
      <c r="E11" s="67" t="e">
        <f>Norms!#REF!</f>
        <v>#REF!</v>
      </c>
      <c r="F11" s="67" t="e">
        <f>Norms!#REF!</f>
        <v>#REF!</v>
      </c>
      <c r="G11" s="67" t="e">
        <f>Norms!#REF!</f>
        <v>#REF!</v>
      </c>
      <c r="H11" s="67" t="e">
        <f>Norms!#REF!</f>
        <v>#REF!</v>
      </c>
      <c r="I11" s="67" t="e">
        <f>Norms!#REF!</f>
        <v>#REF!</v>
      </c>
      <c r="J11" s="71" t="e">
        <f>Norms!#REF!</f>
        <v>#REF!</v>
      </c>
    </row>
    <row r="12" spans="1:12" ht="17.100000000000001" customHeight="1" x14ac:dyDescent="0.2">
      <c r="A12" s="732"/>
      <c r="B12" s="733"/>
      <c r="C12" s="733"/>
      <c r="D12" s="733"/>
      <c r="E12" s="733"/>
      <c r="F12" s="733"/>
      <c r="G12" s="733"/>
      <c r="H12" s="733"/>
      <c r="I12" s="733"/>
      <c r="J12" s="734"/>
    </row>
    <row r="13" spans="1:12" s="117" customFormat="1" ht="17.100000000000001" customHeight="1" x14ac:dyDescent="0.2">
      <c r="A13" s="38" t="s">
        <v>119</v>
      </c>
      <c r="B13" s="68" t="e">
        <f t="shared" ref="B13:J13" si="2">SUM(B10:B11)</f>
        <v>#REF!</v>
      </c>
      <c r="C13" s="68" t="e">
        <f t="shared" si="2"/>
        <v>#REF!</v>
      </c>
      <c r="D13" s="68" t="e">
        <f t="shared" si="2"/>
        <v>#REF!</v>
      </c>
      <c r="E13" s="68" t="e">
        <f t="shared" si="2"/>
        <v>#REF!</v>
      </c>
      <c r="F13" s="68" t="e">
        <f t="shared" si="2"/>
        <v>#REF!</v>
      </c>
      <c r="G13" s="68" t="e">
        <f t="shared" si="2"/>
        <v>#REF!</v>
      </c>
      <c r="H13" s="68" t="e">
        <f t="shared" si="2"/>
        <v>#REF!</v>
      </c>
      <c r="I13" s="68" t="e">
        <f t="shared" si="2"/>
        <v>#REF!</v>
      </c>
      <c r="J13" s="72" t="e">
        <f t="shared" si="2"/>
        <v>#REF!</v>
      </c>
      <c r="L13" s="118"/>
    </row>
    <row r="14" spans="1:12" ht="17.100000000000001" customHeight="1" x14ac:dyDescent="0.2">
      <c r="A14" s="732"/>
      <c r="B14" s="733"/>
      <c r="C14" s="733"/>
      <c r="D14" s="733"/>
      <c r="E14" s="733"/>
      <c r="F14" s="733"/>
      <c r="G14" s="733"/>
      <c r="H14" s="733"/>
      <c r="I14" s="733"/>
      <c r="J14" s="734"/>
    </row>
    <row r="15" spans="1:12" s="117" customFormat="1" ht="17.100000000000001" customHeight="1" x14ac:dyDescent="0.2">
      <c r="A15" s="69" t="s">
        <v>120</v>
      </c>
      <c r="B15" s="68" t="e">
        <f t="shared" ref="B15:J15" si="3">+B8/B13</f>
        <v>#REF!</v>
      </c>
      <c r="C15" s="68" t="e">
        <f t="shared" si="3"/>
        <v>#REF!</v>
      </c>
      <c r="D15" s="68" t="e">
        <f t="shared" si="3"/>
        <v>#REF!</v>
      </c>
      <c r="E15" s="68" t="e">
        <f t="shared" si="3"/>
        <v>#REF!</v>
      </c>
      <c r="F15" s="68" t="e">
        <f t="shared" si="3"/>
        <v>#REF!</v>
      </c>
      <c r="G15" s="68" t="e">
        <f t="shared" si="3"/>
        <v>#REF!</v>
      </c>
      <c r="H15" s="68" t="e">
        <f t="shared" si="3"/>
        <v>#REF!</v>
      </c>
      <c r="I15" s="68" t="e">
        <f t="shared" si="3"/>
        <v>#REF!</v>
      </c>
      <c r="J15" s="72" t="e">
        <f t="shared" si="3"/>
        <v>#REF!</v>
      </c>
    </row>
    <row r="16" spans="1:12" ht="17.100000000000001" customHeight="1" x14ac:dyDescent="0.2">
      <c r="A16" s="732"/>
      <c r="B16" s="733"/>
      <c r="C16" s="733"/>
      <c r="D16" s="733"/>
      <c r="E16" s="733"/>
      <c r="F16" s="733"/>
      <c r="G16" s="733"/>
      <c r="H16" s="733"/>
      <c r="I16" s="733"/>
      <c r="J16" s="734"/>
    </row>
    <row r="17" spans="1:10" ht="17.100000000000001" customHeight="1" x14ac:dyDescent="0.2">
      <c r="A17" s="73" t="s">
        <v>83</v>
      </c>
      <c r="B17" s="74" t="e">
        <f>SUM(B8:I8)/SUM(B13:I13)</f>
        <v>#REF!</v>
      </c>
      <c r="C17" s="75"/>
      <c r="D17" s="75"/>
      <c r="E17" s="75"/>
      <c r="F17" s="75"/>
      <c r="G17" s="75"/>
      <c r="H17" s="75"/>
      <c r="I17" s="75"/>
      <c r="J17" s="76"/>
    </row>
    <row r="18" spans="1:10" ht="17.100000000000001" customHeight="1" x14ac:dyDescent="0.2">
      <c r="A18" s="119"/>
      <c r="B18" s="119"/>
      <c r="C18" s="119"/>
      <c r="D18" s="119"/>
      <c r="E18" s="119"/>
      <c r="F18" s="119"/>
      <c r="G18" s="119"/>
      <c r="H18" s="119"/>
      <c r="I18" s="119"/>
      <c r="J18" s="119"/>
    </row>
    <row r="21" spans="1:10" x14ac:dyDescent="0.2">
      <c r="B21" s="120"/>
      <c r="D21" s="121"/>
      <c r="E21" s="121"/>
      <c r="F21" s="121"/>
      <c r="G21" s="121"/>
      <c r="H21" s="121"/>
      <c r="I21" s="121"/>
      <c r="J21" s="121"/>
    </row>
    <row r="22" spans="1:10" x14ac:dyDescent="0.2">
      <c r="D22" s="121"/>
      <c r="E22" s="121"/>
      <c r="F22" s="121"/>
      <c r="G22" s="121"/>
      <c r="H22" s="121"/>
      <c r="I22" s="121"/>
      <c r="J22" s="121"/>
    </row>
    <row r="23" spans="1:10" x14ac:dyDescent="0.2">
      <c r="D23" s="121"/>
      <c r="E23" s="121"/>
      <c r="F23" s="121"/>
      <c r="G23" s="121"/>
      <c r="H23" s="121"/>
      <c r="I23" s="121"/>
      <c r="J23" s="121"/>
    </row>
    <row r="24" spans="1:10" x14ac:dyDescent="0.2">
      <c r="D24" s="121"/>
      <c r="E24" s="121"/>
      <c r="F24" s="121"/>
      <c r="G24" s="121"/>
      <c r="H24" s="121"/>
      <c r="I24" s="121"/>
      <c r="J24" s="121"/>
    </row>
    <row r="25" spans="1:10" x14ac:dyDescent="0.2">
      <c r="D25" s="121"/>
      <c r="E25" s="121"/>
      <c r="F25" s="121"/>
      <c r="G25" s="121"/>
      <c r="H25" s="121"/>
      <c r="I25" s="121"/>
      <c r="J25" s="121"/>
    </row>
    <row r="26" spans="1:10" x14ac:dyDescent="0.2">
      <c r="D26" s="121"/>
      <c r="E26" s="121"/>
      <c r="F26" s="121"/>
      <c r="G26" s="121"/>
      <c r="H26" s="121"/>
      <c r="I26" s="121"/>
      <c r="J26" s="121"/>
    </row>
    <row r="27" spans="1:10" x14ac:dyDescent="0.2">
      <c r="D27" s="121"/>
      <c r="E27" s="121"/>
      <c r="F27" s="121"/>
      <c r="G27" s="121"/>
      <c r="H27" s="121"/>
      <c r="I27" s="121"/>
      <c r="J27" s="121"/>
    </row>
    <row r="28" spans="1:10" x14ac:dyDescent="0.2">
      <c r="D28" s="121"/>
      <c r="E28" s="121"/>
      <c r="F28" s="121"/>
      <c r="G28" s="121"/>
      <c r="H28" s="121"/>
      <c r="I28" s="121"/>
      <c r="J28" s="121"/>
    </row>
    <row r="29" spans="1:10" x14ac:dyDescent="0.2">
      <c r="D29" s="121"/>
      <c r="E29" s="121"/>
      <c r="F29" s="121"/>
      <c r="G29" s="121"/>
      <c r="H29" s="121"/>
      <c r="I29" s="121"/>
      <c r="J29" s="121"/>
    </row>
    <row r="30" spans="1:10" x14ac:dyDescent="0.2">
      <c r="D30" s="121"/>
      <c r="E30" s="121"/>
      <c r="F30" s="121"/>
      <c r="G30" s="121"/>
      <c r="H30" s="121"/>
      <c r="I30" s="121"/>
      <c r="J30" s="121"/>
    </row>
    <row r="31" spans="1:10" x14ac:dyDescent="0.2">
      <c r="D31" s="121"/>
      <c r="E31" s="121"/>
      <c r="F31" s="121"/>
      <c r="G31" s="121"/>
      <c r="H31" s="121"/>
      <c r="I31" s="121"/>
      <c r="J31" s="121"/>
    </row>
    <row r="32" spans="1:10" x14ac:dyDescent="0.2">
      <c r="D32" s="121"/>
      <c r="E32" s="121"/>
      <c r="F32" s="121"/>
      <c r="G32" s="121"/>
      <c r="H32" s="121"/>
      <c r="I32" s="121"/>
      <c r="J32" s="121"/>
    </row>
    <row r="33" spans="4:10" x14ac:dyDescent="0.2">
      <c r="D33" s="121"/>
      <c r="E33" s="121"/>
      <c r="F33" s="121"/>
      <c r="G33" s="121"/>
      <c r="H33" s="121"/>
      <c r="I33" s="121"/>
      <c r="J33" s="121"/>
    </row>
    <row r="34" spans="4:10" x14ac:dyDescent="0.2">
      <c r="D34" s="121"/>
      <c r="E34" s="121"/>
      <c r="F34" s="121"/>
      <c r="G34" s="121"/>
      <c r="H34" s="121"/>
      <c r="I34" s="121"/>
      <c r="J34" s="121"/>
    </row>
    <row r="35" spans="4:10" x14ac:dyDescent="0.2">
      <c r="D35" s="121"/>
      <c r="E35" s="121"/>
      <c r="F35" s="121"/>
      <c r="G35" s="121"/>
      <c r="H35" s="121"/>
      <c r="I35" s="121"/>
      <c r="J35" s="121"/>
    </row>
    <row r="36" spans="4:10" x14ac:dyDescent="0.2">
      <c r="D36" s="121"/>
      <c r="E36" s="121"/>
      <c r="F36" s="121"/>
      <c r="G36" s="121"/>
      <c r="H36" s="121"/>
      <c r="I36" s="121"/>
      <c r="J36" s="121"/>
    </row>
    <row r="37" spans="4:10" x14ac:dyDescent="0.2">
      <c r="D37" s="121"/>
      <c r="E37" s="121"/>
      <c r="F37" s="121"/>
      <c r="G37" s="121"/>
      <c r="H37" s="121"/>
      <c r="I37" s="121"/>
      <c r="J37" s="121"/>
    </row>
    <row r="38" spans="4:10" x14ac:dyDescent="0.2">
      <c r="D38" s="121"/>
      <c r="E38" s="121"/>
      <c r="F38" s="121"/>
      <c r="G38" s="121"/>
      <c r="H38" s="121"/>
      <c r="I38" s="121"/>
      <c r="J38" s="121"/>
    </row>
    <row r="39" spans="4:10" x14ac:dyDescent="0.2">
      <c r="D39" s="121"/>
      <c r="E39" s="121"/>
      <c r="F39" s="121"/>
      <c r="G39" s="121"/>
      <c r="H39" s="121"/>
      <c r="I39" s="121"/>
      <c r="J39" s="121"/>
    </row>
  </sheetData>
  <mergeCells count="8">
    <mergeCell ref="A14:J14"/>
    <mergeCell ref="A16:J16"/>
    <mergeCell ref="A1:J1"/>
    <mergeCell ref="A2:J2"/>
    <mergeCell ref="A4:J4"/>
    <mergeCell ref="A7:J7"/>
    <mergeCell ref="A9:J9"/>
    <mergeCell ref="A12:J12"/>
  </mergeCells>
  <printOptions gridLines="1"/>
  <pageMargins left="0.75" right="0.75" top="1" bottom="1" header="0.5" footer="0.5"/>
  <pageSetup paperSize="9" scale="95"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U119"/>
  <sheetViews>
    <sheetView showGridLines="0" zoomScale="90" zoomScaleNormal="100" workbookViewId="0">
      <pane ySplit="8" topLeftCell="A11" activePane="bottomLeft" state="frozen"/>
      <selection activeCell="E28" sqref="E28"/>
      <selection pane="bottomLeft" activeCell="F22" sqref="F22"/>
    </sheetView>
  </sheetViews>
  <sheetFormatPr defaultColWidth="8.7109375" defaultRowHeight="12.75" x14ac:dyDescent="0.2"/>
  <cols>
    <col min="1" max="1" width="8.85546875" style="93" bestFit="1" customWidth="1"/>
    <col min="2" max="2" width="60.7109375" style="94" customWidth="1"/>
    <col min="3" max="3" width="8.7109375" style="94" customWidth="1"/>
    <col min="4" max="4" width="16.28515625" style="94" customWidth="1"/>
    <col min="5" max="5" width="11.140625" style="94" customWidth="1"/>
    <col min="6" max="6" width="18" style="95" bestFit="1" customWidth="1"/>
    <col min="7" max="7" width="17.140625" style="95" customWidth="1"/>
    <col min="8" max="8" width="18.5703125" style="95" bestFit="1" customWidth="1"/>
    <col min="9" max="9" width="18.7109375" style="95" bestFit="1" customWidth="1"/>
    <col min="10" max="10" width="18.5703125" style="95" bestFit="1" customWidth="1"/>
    <col min="11" max="12" width="18.7109375" style="95" bestFit="1" customWidth="1"/>
    <col min="13" max="16" width="18.5703125" style="95" customWidth="1"/>
    <col min="17" max="18" width="18.5703125" style="9" customWidth="1"/>
    <col min="19" max="20" width="18.5703125" style="94" hidden="1" customWidth="1"/>
    <col min="21" max="16384" width="8.7109375" style="94"/>
  </cols>
  <sheetData>
    <row r="1" spans="1:20" ht="21" customHeight="1" x14ac:dyDescent="0.2">
      <c r="A1" s="713" t="s">
        <v>286</v>
      </c>
      <c r="B1" s="714"/>
      <c r="C1" s="714"/>
      <c r="D1" s="714"/>
      <c r="E1" s="66"/>
      <c r="F1" s="66"/>
      <c r="G1" s="66"/>
      <c r="H1" s="66"/>
      <c r="I1" s="66"/>
      <c r="J1" s="66"/>
      <c r="K1" s="66"/>
      <c r="L1" s="66"/>
      <c r="M1" s="66"/>
      <c r="N1" s="66"/>
      <c r="O1" s="66"/>
      <c r="P1" s="66"/>
      <c r="Q1" s="66"/>
      <c r="R1" s="66"/>
      <c r="S1" s="66"/>
      <c r="T1" s="66"/>
    </row>
    <row r="2" spans="1:20" s="97" customFormat="1" ht="15" customHeight="1" x14ac:dyDescent="0.2">
      <c r="A2" s="713" t="s">
        <v>125</v>
      </c>
      <c r="B2" s="714"/>
      <c r="C2" s="109">
        <v>1</v>
      </c>
      <c r="D2" s="109">
        <v>2</v>
      </c>
      <c r="E2" s="109"/>
      <c r="F2" s="109">
        <v>3</v>
      </c>
      <c r="G2" s="109">
        <v>4</v>
      </c>
      <c r="H2" s="109">
        <v>5</v>
      </c>
      <c r="I2" s="109">
        <v>6</v>
      </c>
      <c r="J2" s="109">
        <v>7</v>
      </c>
      <c r="K2" s="109">
        <v>8</v>
      </c>
      <c r="L2" s="109">
        <v>9</v>
      </c>
      <c r="M2" s="109">
        <v>10</v>
      </c>
      <c r="N2" s="109">
        <v>11</v>
      </c>
      <c r="O2" s="109">
        <v>12</v>
      </c>
      <c r="P2" s="109">
        <v>13</v>
      </c>
      <c r="Q2" s="109">
        <v>14</v>
      </c>
      <c r="R2" s="109">
        <v>15</v>
      </c>
      <c r="S2" s="109">
        <v>16</v>
      </c>
      <c r="T2" s="109">
        <v>17</v>
      </c>
    </row>
    <row r="3" spans="1:20" s="97" customFormat="1" ht="15" customHeight="1" x14ac:dyDescent="0.2">
      <c r="A3" s="741" t="s">
        <v>53</v>
      </c>
      <c r="B3" s="742"/>
      <c r="C3" s="14"/>
      <c r="D3" s="14"/>
      <c r="E3" s="14"/>
      <c r="F3" s="291">
        <v>0.7</v>
      </c>
      <c r="G3" s="291">
        <v>0.8</v>
      </c>
      <c r="H3" s="291">
        <v>0.95</v>
      </c>
      <c r="I3" s="291">
        <v>0.95</v>
      </c>
      <c r="J3" s="291">
        <v>0.95</v>
      </c>
      <c r="K3" s="291">
        <v>0.95</v>
      </c>
      <c r="L3" s="291">
        <v>0.95</v>
      </c>
      <c r="M3" s="291">
        <v>0.95</v>
      </c>
      <c r="N3" s="291">
        <v>0.95</v>
      </c>
      <c r="O3" s="291">
        <v>0.95</v>
      </c>
      <c r="P3" s="291">
        <v>0.95</v>
      </c>
      <c r="Q3" s="291">
        <v>0.95</v>
      </c>
      <c r="R3" s="291">
        <v>0.95</v>
      </c>
      <c r="S3" s="291">
        <v>0.95</v>
      </c>
      <c r="T3" s="291">
        <v>0.95</v>
      </c>
    </row>
    <row r="4" spans="1:20" ht="15" customHeight="1" x14ac:dyDescent="0.2">
      <c r="A4" s="739" t="s">
        <v>6</v>
      </c>
      <c r="B4" s="740"/>
      <c r="C4" s="156"/>
      <c r="D4" s="156"/>
      <c r="E4" s="112"/>
      <c r="F4" s="736" t="s">
        <v>7</v>
      </c>
      <c r="G4" s="736"/>
      <c r="H4" s="736"/>
      <c r="I4" s="736"/>
      <c r="J4" s="736"/>
      <c r="K4" s="736"/>
      <c r="L4" s="736"/>
      <c r="M4" s="736"/>
      <c r="N4" s="736"/>
      <c r="O4" s="736"/>
      <c r="P4" s="736"/>
      <c r="Q4" s="736"/>
      <c r="R4" s="736"/>
      <c r="S4" s="736"/>
      <c r="T4" s="736"/>
    </row>
    <row r="5" spans="1:20" x14ac:dyDescent="0.2">
      <c r="A5" s="392"/>
      <c r="B5" s="737"/>
      <c r="C5" s="393">
        <v>2023</v>
      </c>
      <c r="D5" s="393">
        <v>2024</v>
      </c>
      <c r="E5" s="393" t="s">
        <v>47</v>
      </c>
      <c r="F5" s="393">
        <v>2025</v>
      </c>
      <c r="G5" s="393">
        <v>2026</v>
      </c>
      <c r="H5" s="393">
        <v>2027</v>
      </c>
      <c r="I5" s="393">
        <v>2028</v>
      </c>
      <c r="J5" s="393">
        <v>2029</v>
      </c>
      <c r="K5" s="393">
        <v>2030</v>
      </c>
      <c r="L5" s="393">
        <v>2031</v>
      </c>
      <c r="M5" s="113">
        <v>2032</v>
      </c>
      <c r="N5" s="113">
        <v>2033</v>
      </c>
      <c r="O5" s="113">
        <v>2034</v>
      </c>
      <c r="P5" s="113">
        <v>2035</v>
      </c>
      <c r="Q5" s="113">
        <v>2036</v>
      </c>
      <c r="R5" s="113">
        <v>2037</v>
      </c>
      <c r="S5" s="113">
        <v>2038</v>
      </c>
      <c r="T5" s="113">
        <v>2039</v>
      </c>
    </row>
    <row r="6" spans="1:20" x14ac:dyDescent="0.2">
      <c r="A6" s="392"/>
      <c r="B6" s="737"/>
      <c r="C6" s="551">
        <v>0.5</v>
      </c>
      <c r="D6" s="551">
        <v>0.5</v>
      </c>
      <c r="E6" s="394"/>
      <c r="F6" s="395"/>
      <c r="G6" s="395"/>
      <c r="H6" s="395"/>
      <c r="I6" s="395"/>
      <c r="J6" s="395"/>
      <c r="K6" s="395"/>
      <c r="L6" s="396"/>
      <c r="M6" s="110"/>
      <c r="N6" s="111"/>
      <c r="O6" s="110"/>
      <c r="P6" s="114"/>
      <c r="Q6" s="114"/>
      <c r="R6" s="114"/>
      <c r="S6" s="114"/>
      <c r="T6" s="114"/>
    </row>
    <row r="7" spans="1:20" x14ac:dyDescent="0.2">
      <c r="A7" s="738" t="s">
        <v>57</v>
      </c>
      <c r="B7" s="738"/>
      <c r="C7" s="738"/>
      <c r="D7" s="738"/>
      <c r="E7" s="738"/>
      <c r="F7" s="397"/>
      <c r="G7" s="397"/>
      <c r="H7" s="397"/>
      <c r="I7" s="397"/>
      <c r="J7" s="397"/>
      <c r="K7" s="397"/>
      <c r="L7" s="398"/>
      <c r="M7" s="397"/>
      <c r="N7" s="398"/>
      <c r="O7" s="397"/>
      <c r="P7" s="419"/>
      <c r="Q7" s="419"/>
      <c r="R7" s="419"/>
      <c r="S7" s="15"/>
      <c r="T7" s="15"/>
    </row>
    <row r="8" spans="1:20" x14ac:dyDescent="0.2">
      <c r="A8" s="264">
        <v>1</v>
      </c>
      <c r="B8" s="399" t="s">
        <v>55</v>
      </c>
      <c r="C8" s="400">
        <f>ROUND($E8*C$6,2)</f>
        <v>313.33</v>
      </c>
      <c r="D8" s="400">
        <f>ROUND($E8*D$6,2)</f>
        <v>313.33</v>
      </c>
      <c r="E8" s="401">
        <f>Capex!B13</f>
        <v>626.65072456250005</v>
      </c>
      <c r="F8" s="402"/>
      <c r="G8" s="403"/>
      <c r="H8" s="404"/>
      <c r="I8" s="404"/>
      <c r="J8" s="404"/>
      <c r="K8" s="404"/>
      <c r="L8" s="405"/>
      <c r="M8" s="404"/>
      <c r="N8" s="404"/>
      <c r="O8" s="404"/>
      <c r="P8" s="142"/>
      <c r="Q8" s="142"/>
      <c r="R8" s="142"/>
      <c r="S8" s="16"/>
      <c r="T8" s="16"/>
    </row>
    <row r="9" spans="1:20" s="97" customFormat="1" x14ac:dyDescent="0.2">
      <c r="A9" s="264"/>
      <c r="B9" s="151" t="s">
        <v>56</v>
      </c>
      <c r="C9" s="406">
        <f>SUM(C8:C8)</f>
        <v>313.33</v>
      </c>
      <c r="D9" s="406">
        <f>SUM(D8:D8)</f>
        <v>313.33</v>
      </c>
      <c r="E9" s="407">
        <f>-E8</f>
        <v>-626.65072456250005</v>
      </c>
      <c r="F9" s="142"/>
      <c r="G9" s="142"/>
      <c r="H9" s="142"/>
      <c r="I9" s="142"/>
      <c r="J9" s="142"/>
      <c r="K9" s="142"/>
      <c r="L9" s="408"/>
      <c r="M9" s="408"/>
      <c r="N9" s="408"/>
      <c r="O9" s="408"/>
      <c r="P9" s="420"/>
      <c r="Q9" s="420"/>
      <c r="R9" s="420"/>
      <c r="S9" s="18"/>
      <c r="T9" s="18"/>
    </row>
    <row r="10" spans="1:20" s="97" customFormat="1" x14ac:dyDescent="0.2">
      <c r="A10" s="142"/>
      <c r="B10" s="142"/>
      <c r="C10" s="142"/>
      <c r="D10" s="142"/>
      <c r="E10" s="142"/>
      <c r="F10" s="142"/>
      <c r="G10" s="142"/>
      <c r="H10" s="142"/>
      <c r="I10" s="142"/>
      <c r="J10" s="142"/>
      <c r="K10" s="142"/>
      <c r="L10" s="408"/>
      <c r="M10" s="408"/>
      <c r="N10" s="408"/>
      <c r="O10" s="408"/>
      <c r="P10" s="420"/>
      <c r="Q10" s="420"/>
      <c r="R10" s="420"/>
      <c r="S10" s="298"/>
      <c r="T10" s="298"/>
    </row>
    <row r="11" spans="1:20" s="317" customFormat="1" ht="25.5" customHeight="1" x14ac:dyDescent="0.2">
      <c r="A11" s="409"/>
      <c r="B11" s="520" t="s">
        <v>497</v>
      </c>
      <c r="C11" s="520"/>
      <c r="D11" s="520"/>
      <c r="E11" s="520"/>
      <c r="F11" s="552">
        <f>Opex!D4-Opex!D22*Norms!$D$5</f>
        <v>5459.9999999999927</v>
      </c>
      <c r="G11" s="552">
        <f>Opex!E4-Opex!E22*Norms!$D$5</f>
        <v>6240</v>
      </c>
      <c r="H11" s="552">
        <f>Opex!F4-Opex!F22*Norms!$D$5</f>
        <v>7410</v>
      </c>
      <c r="I11" s="552">
        <f>Opex!G4-Opex!G22*Norms!$D$5</f>
        <v>7410</v>
      </c>
      <c r="J11" s="552">
        <f>Opex!H4-Opex!H22*Norms!$D$5</f>
        <v>7410</v>
      </c>
      <c r="K11" s="552">
        <f>Opex!I4-Opex!I22*Norms!$D$5</f>
        <v>7410</v>
      </c>
      <c r="L11" s="552">
        <f>Opex!J4-Opex!J22*Norms!$D$5</f>
        <v>7410</v>
      </c>
      <c r="M11" s="552">
        <f>Opex!K4-Opex!K22*Norms!$D$5</f>
        <v>7410</v>
      </c>
      <c r="N11" s="552">
        <f>Opex!L4-Opex!L22*Norms!$D$5</f>
        <v>7410</v>
      </c>
      <c r="O11" s="552">
        <f>Opex!M4-Opex!M22*Norms!$D$5</f>
        <v>7410</v>
      </c>
      <c r="P11" s="552">
        <f>Opex!N4-Opex!N22*Norms!$D$5</f>
        <v>7410</v>
      </c>
      <c r="Q11" s="552">
        <f>Opex!O4-Opex!O22*Norms!$D$5</f>
        <v>7410</v>
      </c>
      <c r="R11" s="552">
        <f>Opex!P4-Opex!P22*Norms!$D$5</f>
        <v>7410</v>
      </c>
      <c r="S11" s="318">
        <f>Opex!Q4-Opex!Q22*Norms!$D$5</f>
        <v>7410</v>
      </c>
      <c r="T11" s="318">
        <f>Opex!R4-Opex!R22*Norms!$D$5</f>
        <v>7410</v>
      </c>
    </row>
    <row r="12" spans="1:20" x14ac:dyDescent="0.2">
      <c r="A12" s="348">
        <v>1</v>
      </c>
      <c r="B12" s="412" t="s">
        <v>8</v>
      </c>
      <c r="C12" s="381" t="s">
        <v>547</v>
      </c>
      <c r="D12" s="413"/>
      <c r="E12" s="414"/>
      <c r="F12" s="408">
        <f>F14+F15-F13</f>
        <v>279.536992</v>
      </c>
      <c r="G12" s="408">
        <f t="shared" ref="G12:R12" si="0">G14+G15-G13</f>
        <v>319.47084799999999</v>
      </c>
      <c r="H12" s="408">
        <f t="shared" si="0"/>
        <v>379.37163199999998</v>
      </c>
      <c r="I12" s="408">
        <f t="shared" si="0"/>
        <v>379.37163199999998</v>
      </c>
      <c r="J12" s="408">
        <f t="shared" si="0"/>
        <v>379.37163199999998</v>
      </c>
      <c r="K12" s="408">
        <f t="shared" si="0"/>
        <v>379.37163199999998</v>
      </c>
      <c r="L12" s="408">
        <f t="shared" si="0"/>
        <v>379.37163199999998</v>
      </c>
      <c r="M12" s="408">
        <f t="shared" si="0"/>
        <v>379.37163199999998</v>
      </c>
      <c r="N12" s="408">
        <f t="shared" si="0"/>
        <v>379.37163199999998</v>
      </c>
      <c r="O12" s="408">
        <f t="shared" si="0"/>
        <v>379.37163199999998</v>
      </c>
      <c r="P12" s="408">
        <f t="shared" si="0"/>
        <v>371.1661074179687</v>
      </c>
      <c r="Q12" s="408">
        <f t="shared" si="0"/>
        <v>371.1661074179687</v>
      </c>
      <c r="R12" s="408">
        <f t="shared" si="0"/>
        <v>371.1661074179687</v>
      </c>
      <c r="S12" s="19">
        <f t="shared" ref="S12:T12" si="1">S14+S15</f>
        <v>379.37163199999998</v>
      </c>
      <c r="T12" s="19">
        <f t="shared" si="1"/>
        <v>379.37163199999998</v>
      </c>
    </row>
    <row r="13" spans="1:20" x14ac:dyDescent="0.2">
      <c r="A13" s="411"/>
      <c r="B13" s="412" t="s">
        <v>576</v>
      </c>
      <c r="C13" s="381" t="s">
        <v>547</v>
      </c>
      <c r="D13" s="413"/>
      <c r="E13" s="414"/>
      <c r="F13" s="408">
        <f>'ITC-GST'!D25</f>
        <v>0</v>
      </c>
      <c r="G13" s="408">
        <f>'ITC-GST'!E25</f>
        <v>0</v>
      </c>
      <c r="H13" s="408">
        <f>'ITC-GST'!F25</f>
        <v>0</v>
      </c>
      <c r="I13" s="408">
        <f>'ITC-GST'!G25</f>
        <v>0</v>
      </c>
      <c r="J13" s="408">
        <f>'ITC-GST'!H25</f>
        <v>0</v>
      </c>
      <c r="K13" s="408">
        <f>'ITC-GST'!I25</f>
        <v>0</v>
      </c>
      <c r="L13" s="408">
        <f>'ITC-GST'!J25</f>
        <v>0</v>
      </c>
      <c r="M13" s="408">
        <f>'ITC-GST'!K25</f>
        <v>0</v>
      </c>
      <c r="N13" s="408">
        <f>'ITC-GST'!L25</f>
        <v>0</v>
      </c>
      <c r="O13" s="408">
        <f>'ITC-GST'!M25</f>
        <v>0</v>
      </c>
      <c r="P13" s="408">
        <f>'ITC-GST'!N25</f>
        <v>8.2055245820312503</v>
      </c>
      <c r="Q13" s="408">
        <f>'ITC-GST'!O25</f>
        <v>8.2055245820312503</v>
      </c>
      <c r="R13" s="408">
        <f>'ITC-GST'!P25</f>
        <v>8.2055245820312503</v>
      </c>
      <c r="S13" s="297"/>
      <c r="T13" s="297"/>
    </row>
    <row r="14" spans="1:20" s="317" customFormat="1" x14ac:dyDescent="0.2">
      <c r="A14" s="411"/>
      <c r="B14" s="348" t="s">
        <v>134</v>
      </c>
      <c r="C14" s="411"/>
      <c r="D14" s="411"/>
      <c r="E14" s="553">
        <f>Norms!C35</f>
        <v>20652</v>
      </c>
      <c r="F14" s="532">
        <f>F11*$E$14/10^7</f>
        <v>11.275991999999984</v>
      </c>
      <c r="G14" s="532">
        <f>G11*$E$14/10^7</f>
        <v>12.886848000000001</v>
      </c>
      <c r="H14" s="532">
        <f>H11*$E$14/10^7</f>
        <v>15.303132</v>
      </c>
      <c r="I14" s="532">
        <f t="shared" ref="I14:T14" si="2">I11*$E$14/10^7</f>
        <v>15.303132</v>
      </c>
      <c r="J14" s="532">
        <f t="shared" si="2"/>
        <v>15.303132</v>
      </c>
      <c r="K14" s="532">
        <f t="shared" si="2"/>
        <v>15.303132</v>
      </c>
      <c r="L14" s="532">
        <f t="shared" si="2"/>
        <v>15.303132</v>
      </c>
      <c r="M14" s="532">
        <f t="shared" si="2"/>
        <v>15.303132</v>
      </c>
      <c r="N14" s="532">
        <f t="shared" si="2"/>
        <v>15.303132</v>
      </c>
      <c r="O14" s="532">
        <f t="shared" si="2"/>
        <v>15.303132</v>
      </c>
      <c r="P14" s="532">
        <f t="shared" si="2"/>
        <v>15.303132</v>
      </c>
      <c r="Q14" s="532">
        <f t="shared" si="2"/>
        <v>15.303132</v>
      </c>
      <c r="R14" s="532">
        <f t="shared" si="2"/>
        <v>15.303132</v>
      </c>
      <c r="S14" s="296">
        <f t="shared" si="2"/>
        <v>15.303132</v>
      </c>
      <c r="T14" s="296">
        <f t="shared" si="2"/>
        <v>15.303132</v>
      </c>
    </row>
    <row r="15" spans="1:20" s="317" customFormat="1" x14ac:dyDescent="0.2">
      <c r="A15" s="411"/>
      <c r="B15" s="348" t="s">
        <v>177</v>
      </c>
      <c r="C15" s="411"/>
      <c r="D15" s="411"/>
      <c r="E15" s="553">
        <f>Norms!C39</f>
        <v>38323</v>
      </c>
      <c r="F15" s="532">
        <f>Opex!D22*'Cashflow '!$E$15/10^7</f>
        <v>268.26100000000002</v>
      </c>
      <c r="G15" s="532">
        <f>Opex!E22*'Cashflow '!$E$15/10^7</f>
        <v>306.584</v>
      </c>
      <c r="H15" s="532">
        <f>Opex!F22*'Cashflow '!$E$15/10^7</f>
        <v>364.06849999999997</v>
      </c>
      <c r="I15" s="532">
        <f>Opex!G22*'Cashflow '!$E$15/10^7</f>
        <v>364.06849999999997</v>
      </c>
      <c r="J15" s="532">
        <f>Opex!H22*'Cashflow '!$E$15/10^7</f>
        <v>364.06849999999997</v>
      </c>
      <c r="K15" s="532">
        <f>Opex!I22*'Cashflow '!$E$15/10^7</f>
        <v>364.06849999999997</v>
      </c>
      <c r="L15" s="532">
        <f>Opex!J22*'Cashflow '!$E$15/10^7</f>
        <v>364.06849999999997</v>
      </c>
      <c r="M15" s="532">
        <f>Opex!K22*'Cashflow '!$E$15/10^7</f>
        <v>364.06849999999997</v>
      </c>
      <c r="N15" s="532">
        <f>Opex!L22*'Cashflow '!$E$15/10^7</f>
        <v>364.06849999999997</v>
      </c>
      <c r="O15" s="532">
        <f>Opex!M22*'Cashflow '!$E$15/10^7</f>
        <v>364.06849999999997</v>
      </c>
      <c r="P15" s="532">
        <f>Opex!N22*'Cashflow '!$E$15/10^7</f>
        <v>364.06849999999997</v>
      </c>
      <c r="Q15" s="532">
        <f>Opex!O22*'Cashflow '!$E$15/10^7</f>
        <v>364.06849999999997</v>
      </c>
      <c r="R15" s="532">
        <f>Opex!P22*'Cashflow '!$E$15/10^7</f>
        <v>364.06849999999997</v>
      </c>
      <c r="S15" s="296">
        <f>Opex!Q22*'Cashflow '!$E$15/10^7</f>
        <v>364.06849999999997</v>
      </c>
      <c r="T15" s="296">
        <f>Opex!R22*'Cashflow '!$E$15/10^7</f>
        <v>364.06849999999997</v>
      </c>
    </row>
    <row r="16" spans="1:20" x14ac:dyDescent="0.2">
      <c r="A16" s="348"/>
      <c r="B16" s="554"/>
      <c r="C16" s="415"/>
      <c r="D16" s="415"/>
      <c r="E16" s="416"/>
      <c r="F16" s="417"/>
      <c r="G16" s="417"/>
      <c r="H16" s="417"/>
      <c r="I16" s="417"/>
      <c r="J16" s="417"/>
      <c r="K16" s="417"/>
      <c r="L16" s="417"/>
      <c r="M16" s="417"/>
      <c r="N16" s="417"/>
      <c r="O16" s="417"/>
      <c r="P16" s="417"/>
      <c r="Q16" s="417"/>
      <c r="R16" s="417"/>
      <c r="S16" s="23"/>
      <c r="T16" s="23"/>
    </row>
    <row r="17" spans="1:20" x14ac:dyDescent="0.2">
      <c r="A17" s="348">
        <v>2</v>
      </c>
      <c r="B17" s="381" t="s">
        <v>35</v>
      </c>
      <c r="C17" s="412"/>
      <c r="D17" s="412"/>
      <c r="E17" s="416"/>
      <c r="F17" s="404"/>
      <c r="G17" s="404"/>
      <c r="H17" s="404"/>
      <c r="I17" s="404"/>
      <c r="J17" s="404"/>
      <c r="K17" s="404"/>
      <c r="L17" s="404"/>
      <c r="M17" s="404"/>
      <c r="N17" s="404"/>
      <c r="O17" s="404"/>
      <c r="P17" s="142"/>
      <c r="Q17" s="142"/>
      <c r="R17" s="142"/>
      <c r="S17" s="16"/>
      <c r="T17" s="16"/>
    </row>
    <row r="18" spans="1:20" x14ac:dyDescent="0.2">
      <c r="A18" s="348"/>
      <c r="B18" s="348" t="s">
        <v>498</v>
      </c>
      <c r="C18" s="264"/>
      <c r="D18" s="264"/>
      <c r="E18" s="418">
        <f>H18/$H$20</f>
        <v>0.90120784143050836</v>
      </c>
      <c r="F18" s="404">
        <f>Opex!D6+Opex!D23</f>
        <v>123.48752948437499</v>
      </c>
      <c r="G18" s="404">
        <f>IF(G$2&lt;=$C$117,0,(Opex!E6+Opex!E23)*G$3*(1+$C$116)^(G$2-$C$117-1))</f>
        <v>112.90288410000001</v>
      </c>
      <c r="H18" s="404">
        <f>IF(H$2&lt;=$C$117,0,(Opex!F6+Opex!F23)*H$3*(1+$C$116)^(H$2-$C$117-1))</f>
        <v>159.21070765664064</v>
      </c>
      <c r="I18" s="404">
        <f>IF(I$2&lt;=$C$117,0,(Opex!G6+Opex!G23)*I$3*(1+$C$116)^(I$2-$C$117-1))</f>
        <v>159.21070765664064</v>
      </c>
      <c r="J18" s="404">
        <f>IF(J$2&lt;=$C$117,0,(Opex!H6+Opex!H23)*J$3*(1+$C$116)^(J$2-$C$117-1))</f>
        <v>159.21070765664064</v>
      </c>
      <c r="K18" s="404">
        <f>IF(K$2&lt;=$C$117,0,(Opex!I6+Opex!I23)*K$3*(1+$C$116)^(K$2-$C$117-1))</f>
        <v>159.21070765664064</v>
      </c>
      <c r="L18" s="404">
        <f>IF(L$2&lt;=$C$117,0,(Opex!J6+Opex!J23)*L$3*(1+$C$116)^(L$2-$C$117-1))</f>
        <v>159.21070765664064</v>
      </c>
      <c r="M18" s="404">
        <f>IF(M$2&lt;=$C$117,0,(Opex!K6+Opex!K23)*M$3*(1+$C$116)^(M$2-$C$117-1))</f>
        <v>159.21070765664064</v>
      </c>
      <c r="N18" s="404">
        <f>IF(N$2&lt;=$C$117,0,(Opex!L6+Opex!L23)*N$3*(1+$C$116)^(N$2-$C$117-1))</f>
        <v>159.21070765664064</v>
      </c>
      <c r="O18" s="404">
        <f>IF(O$2&lt;=$C$117,0,(Opex!M6+Opex!M23)*O$3*(1+$C$116)^(O$2-$C$117-1))</f>
        <v>159.21070765664064</v>
      </c>
      <c r="P18" s="404">
        <f>IF(P$2&lt;=$C$117,0,(Opex!N6+Opex!N23)*P$3*(1+$C$116)^(P$2-$C$117-1))</f>
        <v>159.21070765664064</v>
      </c>
      <c r="Q18" s="404">
        <f>IF(Q$2&lt;=$C$117,0,(Opex!O6+Opex!O23)*Q$3*(1+$C$116)^(Q$2-$C$117-1))</f>
        <v>159.21070765664064</v>
      </c>
      <c r="R18" s="404">
        <f>IF(R$2&lt;=$C$117,0,(Opex!P6+Opex!P23)*R$3*(1+$C$116)^(R$2-$C$117-1))</f>
        <v>159.21070765664064</v>
      </c>
      <c r="S18" s="21">
        <f>IF(S$2&lt;=$C$117,0,(Opex!Q6+Opex!Q23)*S$3*(1+$C$116)^(S$2-$C$117-1))</f>
        <v>159.21070765664064</v>
      </c>
      <c r="T18" s="21">
        <f>IF(T$2&lt;=$C$117,0,(Opex!R6+Opex!R23)*T$3*(1+$C$116)^(T$2-$C$117-1))</f>
        <v>159.21070765664064</v>
      </c>
    </row>
    <row r="19" spans="1:20" x14ac:dyDescent="0.2">
      <c r="A19" s="348"/>
      <c r="B19" s="348" t="s">
        <v>499</v>
      </c>
      <c r="C19" s="264"/>
      <c r="D19" s="264"/>
      <c r="E19" s="418">
        <f>H19/$H$20</f>
        <v>9.8792158569491653E-2</v>
      </c>
      <c r="F19" s="404">
        <f>Opex!D11</f>
        <v>17.845628622812498</v>
      </c>
      <c r="G19" s="404">
        <f>IF(G$2&lt;=$C$117,0,(Opex!E11)*G$3*(1+$C$116)^(G$2-$C$117-1))</f>
        <v>14.444802898250002</v>
      </c>
      <c r="H19" s="404">
        <f>IF(H$2&lt;=$C$117,0,(Opex!F11)*H$3*(1+$C$116)^(H$2-$C$117-1))</f>
        <v>17.452987816671875</v>
      </c>
      <c r="I19" s="404">
        <f>IF(I$2&lt;=$C$117,0,(Opex!G11)*I$3*(1+$C$116)^(I$2-$C$117-1))</f>
        <v>17.452987816671875</v>
      </c>
      <c r="J19" s="404">
        <f>IF(J$2&lt;=$C$117,0,(Opex!H11)*J$3*(1+$C$116)^(J$2-$C$117-1))</f>
        <v>17.452987816671875</v>
      </c>
      <c r="K19" s="404">
        <f>IF(K$2&lt;=$C$117,0,(Opex!I11)*K$3*(1+$C$116)^(K$2-$C$117-1))</f>
        <v>17.452987816671875</v>
      </c>
      <c r="L19" s="404">
        <f>IF(L$2&lt;=$C$117,0,(Opex!J11)*L$3*(1+$C$116)^(L$2-$C$117-1))</f>
        <v>17.452987816671875</v>
      </c>
      <c r="M19" s="404">
        <f>IF(M$2&lt;=$C$117,0,(Opex!K11)*M$3*(1+$C$116)^(M$2-$C$117-1))</f>
        <v>17.452987816671875</v>
      </c>
      <c r="N19" s="404">
        <f>IF(N$2&lt;=$C$117,0,(Opex!L11)*N$3*(1+$C$116)^(N$2-$C$117-1))</f>
        <v>17.452987816671875</v>
      </c>
      <c r="O19" s="404">
        <f>IF(O$2&lt;=$C$117,0,(Opex!M11)*O$3*(1+$C$116)^(O$2-$C$117-1))</f>
        <v>17.452987816671875</v>
      </c>
      <c r="P19" s="404">
        <f>IF(P$2&lt;=$C$117,0,(Opex!N11)*P$3*(1+$C$116)^(P$2-$C$117-1))</f>
        <v>17.452987816671875</v>
      </c>
      <c r="Q19" s="404">
        <f>IF(Q$2&lt;=$C$117,0,(Opex!O11)*Q$3*(1+$C$116)^(Q$2-$C$117-1))</f>
        <v>17.452987816671875</v>
      </c>
      <c r="R19" s="404">
        <f>IF(R$2&lt;=$C$117,0,(Opex!P11)*R$3*(1+$C$116)^(R$2-$C$117-1))</f>
        <v>17.452987816671875</v>
      </c>
      <c r="S19" s="21">
        <f>IF(S$2&lt;=$C$117,0,(Opex!Q11)*S$3*(1+$C$116)^(S$2-$C$117-1))</f>
        <v>17.452987816671875</v>
      </c>
      <c r="T19" s="21">
        <f>IF(T$2&lt;=$C$117,0,(Opex!R11)*T$3*(1+$C$116)^(T$2-$C$117-1))</f>
        <v>17.452987816671875</v>
      </c>
    </row>
    <row r="20" spans="1:20" s="97" customFormat="1" x14ac:dyDescent="0.2">
      <c r="A20" s="348"/>
      <c r="B20" s="381" t="s">
        <v>9</v>
      </c>
      <c r="C20" s="412"/>
      <c r="D20" s="412"/>
      <c r="E20" s="401"/>
      <c r="F20" s="408">
        <f t="shared" ref="F20:T20" si="3">SUM(F18:F19)</f>
        <v>141.3331581071875</v>
      </c>
      <c r="G20" s="408">
        <f t="shared" si="3"/>
        <v>127.34768699825001</v>
      </c>
      <c r="H20" s="408">
        <f t="shared" si="3"/>
        <v>176.66369547331252</v>
      </c>
      <c r="I20" s="408">
        <f t="shared" si="3"/>
        <v>176.66369547331252</v>
      </c>
      <c r="J20" s="408">
        <f t="shared" si="3"/>
        <v>176.66369547331252</v>
      </c>
      <c r="K20" s="408">
        <f t="shared" si="3"/>
        <v>176.66369547331252</v>
      </c>
      <c r="L20" s="408">
        <f t="shared" si="3"/>
        <v>176.66369547331252</v>
      </c>
      <c r="M20" s="408">
        <f t="shared" si="3"/>
        <v>176.66369547331252</v>
      </c>
      <c r="N20" s="408">
        <f t="shared" si="3"/>
        <v>176.66369547331252</v>
      </c>
      <c r="O20" s="408">
        <f t="shared" si="3"/>
        <v>176.66369547331252</v>
      </c>
      <c r="P20" s="408">
        <f t="shared" si="3"/>
        <v>176.66369547331252</v>
      </c>
      <c r="Q20" s="408">
        <f t="shared" si="3"/>
        <v>176.66369547331252</v>
      </c>
      <c r="R20" s="408">
        <f t="shared" si="3"/>
        <v>176.66369547331252</v>
      </c>
      <c r="S20" s="17">
        <f t="shared" si="3"/>
        <v>176.66369547331252</v>
      </c>
      <c r="T20" s="17">
        <f t="shared" si="3"/>
        <v>176.66369547331252</v>
      </c>
    </row>
    <row r="21" spans="1:20" x14ac:dyDescent="0.2">
      <c r="A21" s="511"/>
      <c r="B21" s="379"/>
      <c r="C21" s="152"/>
      <c r="D21" s="152"/>
      <c r="E21" s="22"/>
      <c r="F21" s="21"/>
      <c r="G21" s="21"/>
      <c r="H21" s="21"/>
      <c r="I21" s="21"/>
      <c r="J21" s="21"/>
      <c r="K21" s="21"/>
      <c r="L21" s="21"/>
      <c r="M21" s="21"/>
      <c r="N21" s="21"/>
      <c r="O21" s="21"/>
      <c r="P21" s="9"/>
      <c r="S21" s="9"/>
      <c r="T21" s="9"/>
    </row>
    <row r="22" spans="1:20" x14ac:dyDescent="0.2">
      <c r="A22" s="555">
        <v>3</v>
      </c>
      <c r="B22" s="381" t="s">
        <v>121</v>
      </c>
      <c r="C22" s="24"/>
      <c r="D22" s="24"/>
      <c r="E22" s="25"/>
      <c r="F22" s="26">
        <f t="shared" ref="F22:T22" si="4">F12-F20</f>
        <v>138.2038338928125</v>
      </c>
      <c r="G22" s="26">
        <f t="shared" si="4"/>
        <v>192.12316100174996</v>
      </c>
      <c r="H22" s="26">
        <f t="shared" si="4"/>
        <v>202.70793652668746</v>
      </c>
      <c r="I22" s="26">
        <f t="shared" si="4"/>
        <v>202.70793652668746</v>
      </c>
      <c r="J22" s="26">
        <f t="shared" si="4"/>
        <v>202.70793652668746</v>
      </c>
      <c r="K22" s="26">
        <f t="shared" si="4"/>
        <v>202.70793652668746</v>
      </c>
      <c r="L22" s="26">
        <f t="shared" si="4"/>
        <v>202.70793652668746</v>
      </c>
      <c r="M22" s="26">
        <f t="shared" si="4"/>
        <v>202.70793652668746</v>
      </c>
      <c r="N22" s="26">
        <f t="shared" si="4"/>
        <v>202.70793652668746</v>
      </c>
      <c r="O22" s="26">
        <f t="shared" si="4"/>
        <v>202.70793652668746</v>
      </c>
      <c r="P22" s="26">
        <f t="shared" si="4"/>
        <v>194.50241194465619</v>
      </c>
      <c r="Q22" s="26">
        <f t="shared" si="4"/>
        <v>194.50241194465619</v>
      </c>
      <c r="R22" s="26">
        <f t="shared" si="4"/>
        <v>194.50241194465619</v>
      </c>
      <c r="S22" s="26">
        <f t="shared" si="4"/>
        <v>202.70793652668746</v>
      </c>
      <c r="T22" s="26">
        <f t="shared" si="4"/>
        <v>202.70793652668746</v>
      </c>
    </row>
    <row r="23" spans="1:20" ht="16.5" customHeight="1" x14ac:dyDescent="0.2">
      <c r="A23" s="206"/>
      <c r="B23" s="584"/>
      <c r="C23" s="1"/>
      <c r="D23" s="1"/>
      <c r="E23" s="1"/>
      <c r="F23" s="27"/>
      <c r="G23" s="27"/>
      <c r="H23" s="27"/>
      <c r="I23" s="27"/>
      <c r="J23" s="27"/>
      <c r="K23" s="27"/>
      <c r="L23" s="27"/>
      <c r="M23" s="27"/>
      <c r="N23" s="27"/>
      <c r="O23" s="27"/>
      <c r="P23" s="27"/>
      <c r="Q23" s="27"/>
      <c r="R23" s="27"/>
      <c r="S23" s="27"/>
      <c r="T23" s="27"/>
    </row>
    <row r="24" spans="1:20" s="319" customFormat="1" ht="16.5" customHeight="1" x14ac:dyDescent="0.2">
      <c r="A24" s="391">
        <v>4</v>
      </c>
      <c r="B24" s="347" t="s">
        <v>353</v>
      </c>
      <c r="C24" s="410"/>
      <c r="D24" s="410"/>
      <c r="E24" s="410"/>
      <c r="F24" s="520">
        <f t="shared" ref="F24:T24" si="5">F22</f>
        <v>138.2038338928125</v>
      </c>
      <c r="G24" s="520">
        <f t="shared" si="5"/>
        <v>192.12316100174996</v>
      </c>
      <c r="H24" s="520">
        <f t="shared" si="5"/>
        <v>202.70793652668746</v>
      </c>
      <c r="I24" s="520">
        <f t="shared" si="5"/>
        <v>202.70793652668746</v>
      </c>
      <c r="J24" s="520">
        <f t="shared" si="5"/>
        <v>202.70793652668746</v>
      </c>
      <c r="K24" s="520">
        <f t="shared" si="5"/>
        <v>202.70793652668746</v>
      </c>
      <c r="L24" s="520">
        <f t="shared" si="5"/>
        <v>202.70793652668746</v>
      </c>
      <c r="M24" s="520">
        <f t="shared" si="5"/>
        <v>202.70793652668746</v>
      </c>
      <c r="N24" s="520">
        <f t="shared" si="5"/>
        <v>202.70793652668746</v>
      </c>
      <c r="O24" s="520">
        <f t="shared" si="5"/>
        <v>202.70793652668746</v>
      </c>
      <c r="P24" s="520">
        <f t="shared" si="5"/>
        <v>194.50241194465619</v>
      </c>
      <c r="Q24" s="520">
        <f t="shared" si="5"/>
        <v>194.50241194465619</v>
      </c>
      <c r="R24" s="520">
        <f t="shared" si="5"/>
        <v>194.50241194465619</v>
      </c>
      <c r="S24" s="409">
        <f t="shared" si="5"/>
        <v>202.70793652668746</v>
      </c>
      <c r="T24" s="409">
        <f t="shared" si="5"/>
        <v>202.70793652668746</v>
      </c>
    </row>
    <row r="25" spans="1:20" s="281" customFormat="1" ht="16.5" customHeight="1" x14ac:dyDescent="0.2">
      <c r="A25" s="391">
        <v>5</v>
      </c>
      <c r="B25" s="347" t="s">
        <v>413</v>
      </c>
      <c r="C25" s="410"/>
      <c r="D25" s="410"/>
      <c r="E25" s="410"/>
      <c r="F25" s="628">
        <f>'Working Capital'!D19</f>
        <v>0.82964750013579536</v>
      </c>
      <c r="G25" s="628">
        <f>'Working Capital'!E19</f>
        <v>0.93541038694261347</v>
      </c>
      <c r="H25" s="628">
        <f>'Working Capital'!F19</f>
        <v>1.094054717152841</v>
      </c>
      <c r="I25" s="628">
        <f>'Working Capital'!G19</f>
        <v>1.094054717152841</v>
      </c>
      <c r="J25" s="628">
        <f>'Working Capital'!H19</f>
        <v>1.094054717152841</v>
      </c>
      <c r="K25" s="628">
        <f>'Working Capital'!I19</f>
        <v>1.094054717152841</v>
      </c>
      <c r="L25" s="628">
        <f>'Working Capital'!J19</f>
        <v>1.094054717152841</v>
      </c>
      <c r="M25" s="628">
        <f>'Working Capital'!K19</f>
        <v>1.094054717152841</v>
      </c>
      <c r="N25" s="628">
        <f>'Working Capital'!L19</f>
        <v>1.094054717152841</v>
      </c>
      <c r="O25" s="628">
        <f>'Working Capital'!M19</f>
        <v>1.094054717152841</v>
      </c>
      <c r="P25" s="628">
        <f>'Working Capital'!N19</f>
        <v>1.0716760137473014</v>
      </c>
      <c r="Q25" s="628">
        <f>'Working Capital'!O19</f>
        <v>1.0716760137473014</v>
      </c>
      <c r="R25" s="628">
        <f>'Working Capital'!P19</f>
        <v>1.0716760137473014</v>
      </c>
      <c r="S25" s="629">
        <f>'Working Capital'!Q19</f>
        <v>1.094054717152841</v>
      </c>
      <c r="T25" s="629">
        <f>'Working Capital'!R19</f>
        <v>1.094054717152841</v>
      </c>
    </row>
    <row r="26" spans="1:20" s="281" customFormat="1" ht="16.5" customHeight="1" x14ac:dyDescent="0.2">
      <c r="A26" s="391">
        <v>6</v>
      </c>
      <c r="B26" s="347" t="s">
        <v>354</v>
      </c>
      <c r="C26" s="410"/>
      <c r="D26" s="410"/>
      <c r="E26" s="410"/>
      <c r="F26" s="552">
        <f>E91</f>
        <v>43.218250835625007</v>
      </c>
      <c r="G26" s="552">
        <f t="shared" ref="G26:T26" si="6">F91</f>
        <v>37.815969481171877</v>
      </c>
      <c r="H26" s="552">
        <f t="shared" si="6"/>
        <v>32.413688126718753</v>
      </c>
      <c r="I26" s="552">
        <f t="shared" si="6"/>
        <v>27.011406772265623</v>
      </c>
      <c r="J26" s="552">
        <f t="shared" si="6"/>
        <v>21.609125417812496</v>
      </c>
      <c r="K26" s="552">
        <f t="shared" si="6"/>
        <v>16.20684406335937</v>
      </c>
      <c r="L26" s="552">
        <f t="shared" si="6"/>
        <v>10.804562708906245</v>
      </c>
      <c r="M26" s="552">
        <f t="shared" si="6"/>
        <v>5.4022813544531196</v>
      </c>
      <c r="N26" s="552">
        <f t="shared" si="6"/>
        <v>-6.394884621840901E-15</v>
      </c>
      <c r="O26" s="552">
        <f t="shared" si="6"/>
        <v>-6.394884621840901E-15</v>
      </c>
      <c r="P26" s="552">
        <f t="shared" si="6"/>
        <v>-6.394884621840901E-15</v>
      </c>
      <c r="Q26" s="552">
        <f t="shared" si="6"/>
        <v>-6.394884621840901E-15</v>
      </c>
      <c r="R26" s="552">
        <f t="shared" si="6"/>
        <v>-6.394884621840901E-15</v>
      </c>
      <c r="S26" s="410">
        <f t="shared" si="6"/>
        <v>-6.394884621840901E-15</v>
      </c>
      <c r="T26" s="410">
        <f t="shared" si="6"/>
        <v>-6.394884621840901E-15</v>
      </c>
    </row>
    <row r="27" spans="1:20" s="281" customFormat="1" ht="16.5" customHeight="1" x14ac:dyDescent="0.2">
      <c r="A27" s="391">
        <v>7</v>
      </c>
      <c r="B27" s="347" t="s">
        <v>355</v>
      </c>
      <c r="C27" s="410"/>
      <c r="D27" s="410"/>
      <c r="E27" s="410"/>
      <c r="F27" s="552">
        <f>Depreciation!D13</f>
        <v>36.819759775000009</v>
      </c>
      <c r="G27" s="552">
        <f t="shared" ref="G27" si="7">+F27</f>
        <v>36.819759775000009</v>
      </c>
      <c r="H27" s="552">
        <f t="shared" ref="H27" si="8">+G27</f>
        <v>36.819759775000009</v>
      </c>
      <c r="I27" s="552">
        <f t="shared" ref="I27" si="9">+H27</f>
        <v>36.819759775000009</v>
      </c>
      <c r="J27" s="552">
        <f t="shared" ref="J27" si="10">+I27</f>
        <v>36.819759775000009</v>
      </c>
      <c r="K27" s="552">
        <f t="shared" ref="K27" si="11">+J27</f>
        <v>36.819759775000009</v>
      </c>
      <c r="L27" s="552">
        <f t="shared" ref="L27" si="12">+K27</f>
        <v>36.819759775000009</v>
      </c>
      <c r="M27" s="552">
        <f t="shared" ref="M27" si="13">+L27</f>
        <v>36.819759775000009</v>
      </c>
      <c r="N27" s="552">
        <f t="shared" ref="N27" si="14">+M27</f>
        <v>36.819759775000009</v>
      </c>
      <c r="O27" s="552">
        <f t="shared" ref="O27" si="15">+N27</f>
        <v>36.819759775000009</v>
      </c>
      <c r="P27" s="552">
        <f t="shared" ref="P27" si="16">+O27</f>
        <v>36.819759775000009</v>
      </c>
      <c r="Q27" s="552">
        <f t="shared" ref="Q27" si="17">+P27</f>
        <v>36.819759775000009</v>
      </c>
      <c r="R27" s="552">
        <f t="shared" ref="R27" si="18">+Q27</f>
        <v>36.819759775000009</v>
      </c>
      <c r="S27" s="410">
        <f t="shared" ref="S27" si="19">+R27</f>
        <v>36.819759775000009</v>
      </c>
      <c r="T27" s="410">
        <f t="shared" ref="T27" si="20">+S27</f>
        <v>36.819759775000009</v>
      </c>
    </row>
    <row r="28" spans="1:20" s="319" customFormat="1" ht="16.5" customHeight="1" x14ac:dyDescent="0.2">
      <c r="A28" s="391">
        <v>8</v>
      </c>
      <c r="B28" s="347" t="s">
        <v>130</v>
      </c>
      <c r="C28" s="410"/>
      <c r="D28" s="410"/>
      <c r="E28" s="410"/>
      <c r="F28" s="552">
        <f t="shared" ref="F28:T28" si="21">F24-F25-F26-F27</f>
        <v>57.336175782051683</v>
      </c>
      <c r="G28" s="552">
        <f t="shared" si="21"/>
        <v>116.55202135863546</v>
      </c>
      <c r="H28" s="552">
        <f t="shared" si="21"/>
        <v>132.38043390781587</v>
      </c>
      <c r="I28" s="552">
        <f t="shared" si="21"/>
        <v>137.78271526226899</v>
      </c>
      <c r="J28" s="552">
        <f t="shared" si="21"/>
        <v>143.18499661672212</v>
      </c>
      <c r="K28" s="552">
        <f t="shared" si="21"/>
        <v>148.58727797117524</v>
      </c>
      <c r="L28" s="552">
        <f t="shared" si="21"/>
        <v>153.98955932562836</v>
      </c>
      <c r="M28" s="552">
        <f t="shared" si="21"/>
        <v>159.39184068008149</v>
      </c>
      <c r="N28" s="552">
        <f t="shared" si="21"/>
        <v>164.79412203453461</v>
      </c>
      <c r="O28" s="552">
        <f t="shared" si="21"/>
        <v>164.79412203453461</v>
      </c>
      <c r="P28" s="552">
        <f t="shared" si="21"/>
        <v>156.61097615590887</v>
      </c>
      <c r="Q28" s="552">
        <f t="shared" si="21"/>
        <v>156.61097615590887</v>
      </c>
      <c r="R28" s="552">
        <f t="shared" si="21"/>
        <v>156.61097615590887</v>
      </c>
      <c r="S28" s="410">
        <f t="shared" si="21"/>
        <v>164.79412203453461</v>
      </c>
      <c r="T28" s="410">
        <f t="shared" si="21"/>
        <v>164.79412203453461</v>
      </c>
    </row>
    <row r="29" spans="1:20" s="319" customFormat="1" ht="16.5" customHeight="1" x14ac:dyDescent="0.2">
      <c r="A29" s="391">
        <v>9</v>
      </c>
      <c r="B29" s="347" t="s">
        <v>356</v>
      </c>
      <c r="C29" s="320"/>
      <c r="D29" s="320"/>
      <c r="E29" s="320"/>
      <c r="F29" s="438">
        <f>C108</f>
        <v>30.599615563280405</v>
      </c>
      <c r="G29" s="438">
        <f t="shared" ref="G29:T29" si="22">D108</f>
        <v>54.010856443427514</v>
      </c>
      <c r="H29" s="438">
        <f t="shared" si="22"/>
        <v>61.595263249381667</v>
      </c>
      <c r="I29" s="438">
        <f t="shared" si="22"/>
        <v>64.899374751163663</v>
      </c>
      <c r="J29" s="438">
        <f t="shared" si="22"/>
        <v>67.709037801694379</v>
      </c>
      <c r="K29" s="438">
        <f t="shared" si="22"/>
        <v>70.098302841259866</v>
      </c>
      <c r="L29" s="438">
        <f t="shared" si="22"/>
        <v>72.130124426843494</v>
      </c>
      <c r="M29" s="438">
        <f t="shared" si="22"/>
        <v>73.858024446347244</v>
      </c>
      <c r="N29" s="438">
        <f t="shared" si="22"/>
        <v>75.327505967507335</v>
      </c>
      <c r="O29" s="438">
        <f t="shared" si="22"/>
        <v>76.577255114617103</v>
      </c>
      <c r="P29" s="438">
        <f t="shared" si="22"/>
        <v>74.772824248426744</v>
      </c>
      <c r="Q29" s="438">
        <f t="shared" si="22"/>
        <v>75.676854527458403</v>
      </c>
      <c r="R29" s="438">
        <f t="shared" si="22"/>
        <v>76.445783168291499</v>
      </c>
      <c r="S29" s="320">
        <f t="shared" si="22"/>
        <v>79.967163636235199</v>
      </c>
      <c r="T29" s="320">
        <f t="shared" si="22"/>
        <v>80.523506652495598</v>
      </c>
    </row>
    <row r="30" spans="1:20" s="319" customFormat="1" ht="16.5" customHeight="1" x14ac:dyDescent="0.2">
      <c r="A30" s="391">
        <v>10</v>
      </c>
      <c r="B30" s="347" t="s">
        <v>357</v>
      </c>
      <c r="C30" s="410"/>
      <c r="D30" s="410"/>
      <c r="E30" s="410"/>
      <c r="F30" s="552">
        <f t="shared" ref="F30:T30" si="23">F28-F29</f>
        <v>26.736560218771277</v>
      </c>
      <c r="G30" s="552">
        <f t="shared" si="23"/>
        <v>62.541164915207943</v>
      </c>
      <c r="H30" s="552">
        <f t="shared" si="23"/>
        <v>70.785170658434197</v>
      </c>
      <c r="I30" s="552">
        <f t="shared" si="23"/>
        <v>72.883340511105331</v>
      </c>
      <c r="J30" s="552">
        <f t="shared" si="23"/>
        <v>75.475958815027738</v>
      </c>
      <c r="K30" s="552">
        <f t="shared" si="23"/>
        <v>78.488975129915374</v>
      </c>
      <c r="L30" s="552">
        <f t="shared" si="23"/>
        <v>81.859434898784869</v>
      </c>
      <c r="M30" s="552">
        <f t="shared" si="23"/>
        <v>85.533816233734242</v>
      </c>
      <c r="N30" s="552">
        <f t="shared" si="23"/>
        <v>89.466616067027275</v>
      </c>
      <c r="O30" s="552">
        <f t="shared" si="23"/>
        <v>88.216866919917507</v>
      </c>
      <c r="P30" s="552">
        <f t="shared" si="23"/>
        <v>81.838151907482128</v>
      </c>
      <c r="Q30" s="552">
        <f t="shared" si="23"/>
        <v>80.93412162845047</v>
      </c>
      <c r="R30" s="552">
        <f t="shared" si="23"/>
        <v>80.165192987617374</v>
      </c>
      <c r="S30" s="410">
        <f t="shared" si="23"/>
        <v>84.826958398299411</v>
      </c>
      <c r="T30" s="410">
        <f t="shared" si="23"/>
        <v>84.270615382039011</v>
      </c>
    </row>
    <row r="31" spans="1:20" s="319" customFormat="1" ht="16.5" customHeight="1" x14ac:dyDescent="0.2">
      <c r="A31" s="391">
        <v>11</v>
      </c>
      <c r="B31" s="347" t="s">
        <v>351</v>
      </c>
      <c r="C31" s="410"/>
      <c r="D31" s="410"/>
      <c r="E31" s="410"/>
      <c r="F31" s="552">
        <f>F30</f>
        <v>26.736560218771277</v>
      </c>
      <c r="G31" s="552">
        <f>F31+G30</f>
        <v>89.277725133979217</v>
      </c>
      <c r="H31" s="552">
        <f t="shared" ref="H31" si="24">G31+H30</f>
        <v>160.06289579241343</v>
      </c>
      <c r="I31" s="552">
        <f t="shared" ref="I31" si="25">H31+I30</f>
        <v>232.94623630351876</v>
      </c>
      <c r="J31" s="552">
        <f t="shared" ref="J31" si="26">I31+J30</f>
        <v>308.42219511854648</v>
      </c>
      <c r="K31" s="552">
        <f t="shared" ref="K31" si="27">J31+K30</f>
        <v>386.91117024846187</v>
      </c>
      <c r="L31" s="552">
        <f t="shared" ref="L31" si="28">K31+L30</f>
        <v>468.77060514724673</v>
      </c>
      <c r="M31" s="552">
        <f t="shared" ref="M31" si="29">L31+M30</f>
        <v>554.30442138098101</v>
      </c>
      <c r="N31" s="552">
        <f t="shared" ref="N31" si="30">M31+N30</f>
        <v>643.77103744800831</v>
      </c>
      <c r="O31" s="552">
        <f t="shared" ref="O31" si="31">N31+O30</f>
        <v>731.98790436792581</v>
      </c>
      <c r="P31" s="552">
        <f t="shared" ref="P31" si="32">O31+P30</f>
        <v>813.82605627540795</v>
      </c>
      <c r="Q31" s="552">
        <f t="shared" ref="Q31" si="33">P31+Q30</f>
        <v>894.76017790385845</v>
      </c>
      <c r="R31" s="552">
        <f t="shared" ref="R31" si="34">Q31+R30</f>
        <v>974.92537089147584</v>
      </c>
      <c r="S31" s="410">
        <f t="shared" ref="S31" si="35">R31+S30</f>
        <v>1059.7523292897752</v>
      </c>
      <c r="T31" s="410">
        <f t="shared" ref="T31" si="36">S31+T30</f>
        <v>1144.0229446718142</v>
      </c>
    </row>
    <row r="32" spans="1:20" s="319" customFormat="1" ht="16.5" customHeight="1" x14ac:dyDescent="0.2">
      <c r="A32" s="391">
        <v>12</v>
      </c>
      <c r="B32" s="347" t="s">
        <v>358</v>
      </c>
      <c r="C32" s="421"/>
      <c r="D32" s="421"/>
      <c r="E32" s="421"/>
      <c r="F32" s="556">
        <f t="shared" ref="F32:T32" si="37">F24/F12</f>
        <v>0.49440266529308757</v>
      </c>
      <c r="G32" s="556">
        <f t="shared" si="37"/>
        <v>0.60137931897232133</v>
      </c>
      <c r="H32" s="556">
        <f t="shared" si="37"/>
        <v>0.53432549887306147</v>
      </c>
      <c r="I32" s="556">
        <f t="shared" si="37"/>
        <v>0.53432549887306147</v>
      </c>
      <c r="J32" s="556">
        <f t="shared" si="37"/>
        <v>0.53432549887306147</v>
      </c>
      <c r="K32" s="556">
        <f t="shared" si="37"/>
        <v>0.53432549887306147</v>
      </c>
      <c r="L32" s="556">
        <f t="shared" si="37"/>
        <v>0.53432549887306147</v>
      </c>
      <c r="M32" s="556">
        <f t="shared" si="37"/>
        <v>0.53432549887306147</v>
      </c>
      <c r="N32" s="556">
        <f t="shared" si="37"/>
        <v>0.53432549887306147</v>
      </c>
      <c r="O32" s="556">
        <f t="shared" si="37"/>
        <v>0.53432549887306147</v>
      </c>
      <c r="P32" s="556">
        <f t="shared" si="37"/>
        <v>0.52403063765094204</v>
      </c>
      <c r="Q32" s="556">
        <f t="shared" si="37"/>
        <v>0.52403063765094204</v>
      </c>
      <c r="R32" s="556">
        <f t="shared" si="37"/>
        <v>0.52403063765094204</v>
      </c>
      <c r="S32" s="422">
        <f t="shared" si="37"/>
        <v>0.53432549887306147</v>
      </c>
      <c r="T32" s="422">
        <f t="shared" si="37"/>
        <v>0.53432549887306147</v>
      </c>
    </row>
    <row r="33" spans="1:20" s="281" customFormat="1" ht="16.5" customHeight="1" x14ac:dyDescent="0.2">
      <c r="A33" s="295"/>
      <c r="B33" s="294"/>
      <c r="C33" s="319"/>
      <c r="D33" s="319"/>
      <c r="E33" s="319"/>
      <c r="F33" s="630"/>
      <c r="G33" s="630"/>
      <c r="H33" s="630"/>
      <c r="I33" s="630"/>
      <c r="J33" s="630"/>
      <c r="K33" s="630"/>
      <c r="L33" s="630"/>
      <c r="M33" s="630"/>
      <c r="N33" s="630"/>
      <c r="O33" s="630"/>
      <c r="P33" s="630"/>
      <c r="Q33" s="630"/>
      <c r="R33" s="630"/>
      <c r="S33" s="630"/>
      <c r="T33" s="630"/>
    </row>
    <row r="34" spans="1:20" ht="16.5" customHeight="1" x14ac:dyDescent="0.2">
      <c r="A34" s="13"/>
      <c r="B34" s="267"/>
      <c r="C34" s="1"/>
      <c r="D34" s="1"/>
      <c r="E34" s="1"/>
      <c r="F34" s="27"/>
      <c r="G34" s="27"/>
      <c r="H34" s="27"/>
      <c r="I34" s="27"/>
      <c r="J34" s="27"/>
      <c r="K34" s="27"/>
      <c r="L34" s="27"/>
      <c r="M34" s="27"/>
      <c r="N34" s="27"/>
      <c r="O34" s="27"/>
      <c r="P34" s="27"/>
      <c r="Q34" s="27"/>
      <c r="R34" s="27"/>
      <c r="S34" s="27"/>
      <c r="T34" s="27"/>
    </row>
    <row r="35" spans="1:20" ht="16.5" customHeight="1" x14ac:dyDescent="0.2">
      <c r="A35" s="13"/>
      <c r="B35" s="267"/>
      <c r="C35" s="1"/>
      <c r="D35" s="1"/>
      <c r="E35" s="1"/>
      <c r="F35" s="27"/>
      <c r="G35" s="27"/>
      <c r="H35" s="27"/>
      <c r="I35" s="27"/>
      <c r="J35" s="27"/>
      <c r="K35" s="27"/>
      <c r="L35" s="27"/>
      <c r="M35" s="27"/>
      <c r="N35" s="27"/>
      <c r="O35" s="27"/>
      <c r="P35" s="27"/>
      <c r="Q35" s="27"/>
      <c r="R35" s="27"/>
      <c r="S35" s="27"/>
      <c r="T35" s="27"/>
    </row>
    <row r="36" spans="1:20" ht="16.5" customHeight="1" x14ac:dyDescent="0.2">
      <c r="A36" s="1"/>
      <c r="B36" s="505" t="s">
        <v>409</v>
      </c>
      <c r="C36" s="277">
        <f>Capex!B11</f>
        <v>585.79175000000009</v>
      </c>
      <c r="D36" s="505" t="s">
        <v>39</v>
      </c>
      <c r="E36" s="1"/>
      <c r="F36" s="27"/>
      <c r="G36" s="27"/>
      <c r="H36" s="27"/>
      <c r="I36" s="27"/>
      <c r="J36" s="27"/>
      <c r="K36" s="27"/>
      <c r="L36" s="27"/>
      <c r="M36" s="27"/>
      <c r="N36" s="27"/>
      <c r="O36" s="27"/>
      <c r="P36" s="27"/>
      <c r="Q36" s="27"/>
      <c r="R36" s="27"/>
      <c r="S36" s="27"/>
      <c r="T36" s="27"/>
    </row>
    <row r="37" spans="1:20" ht="16.5" customHeight="1" x14ac:dyDescent="0.2">
      <c r="A37" s="1"/>
      <c r="B37" s="270" t="s">
        <v>410</v>
      </c>
      <c r="C37" s="269">
        <f>Capex!B12</f>
        <v>40.858974562500002</v>
      </c>
      <c r="D37" s="270"/>
      <c r="E37" s="1"/>
      <c r="F37" s="27"/>
      <c r="G37" s="27"/>
      <c r="H37" s="27"/>
      <c r="I37" s="27"/>
      <c r="J37" s="27"/>
      <c r="K37" s="27"/>
      <c r="L37" s="27"/>
      <c r="M37" s="27"/>
      <c r="N37" s="27"/>
      <c r="O37" s="27"/>
      <c r="P37" s="27"/>
      <c r="Q37" s="27"/>
      <c r="R37" s="27"/>
      <c r="S37" s="27"/>
      <c r="T37" s="27"/>
    </row>
    <row r="38" spans="1:20" ht="16.5" customHeight="1" x14ac:dyDescent="0.2">
      <c r="A38" s="1"/>
      <c r="B38" s="270" t="s">
        <v>411</v>
      </c>
      <c r="C38" s="271">
        <f>(C36*D38)</f>
        <v>0</v>
      </c>
      <c r="D38" s="272">
        <v>0</v>
      </c>
      <c r="E38" s="1"/>
      <c r="F38" s="27"/>
      <c r="G38" s="27"/>
      <c r="H38" s="27"/>
      <c r="I38" s="27"/>
      <c r="J38" s="27"/>
      <c r="K38" s="27"/>
      <c r="L38" s="27"/>
      <c r="M38" s="27"/>
      <c r="N38" s="27"/>
      <c r="O38" s="27"/>
      <c r="P38" s="27"/>
      <c r="Q38" s="27"/>
      <c r="R38" s="27"/>
      <c r="S38" s="27"/>
      <c r="T38" s="27"/>
    </row>
    <row r="39" spans="1:20" ht="16.5" customHeight="1" x14ac:dyDescent="0.2">
      <c r="A39" s="1">
        <v>4</v>
      </c>
      <c r="B39" s="101" t="s">
        <v>412</v>
      </c>
      <c r="C39" s="278">
        <f>+C36+C37+C38</f>
        <v>626.65072456250005</v>
      </c>
      <c r="D39" s="101" t="s">
        <v>39</v>
      </c>
      <c r="E39" s="1"/>
      <c r="F39" s="27"/>
      <c r="G39" s="27"/>
      <c r="H39" s="27"/>
      <c r="I39" s="27"/>
      <c r="J39" s="27"/>
      <c r="K39" s="27"/>
      <c r="L39" s="27"/>
      <c r="M39" s="27"/>
      <c r="N39" s="27"/>
      <c r="O39" s="27"/>
      <c r="P39" s="27"/>
      <c r="Q39" s="27"/>
      <c r="R39" s="27"/>
      <c r="S39" s="27"/>
      <c r="T39" s="27"/>
    </row>
    <row r="40" spans="1:20" ht="16.5" customHeight="1" x14ac:dyDescent="0.2">
      <c r="A40" s="13"/>
      <c r="B40" s="267"/>
      <c r="C40" s="1"/>
      <c r="D40" s="1"/>
      <c r="E40" s="1"/>
      <c r="F40" s="27"/>
      <c r="G40" s="27"/>
      <c r="H40" s="27"/>
      <c r="I40" s="27"/>
      <c r="J40" s="27"/>
      <c r="K40" s="27"/>
      <c r="L40" s="27"/>
      <c r="M40" s="27"/>
      <c r="N40" s="27"/>
      <c r="O40" s="27"/>
      <c r="P40" s="27"/>
      <c r="Q40" s="27"/>
      <c r="R40" s="27"/>
      <c r="S40" s="27"/>
      <c r="T40" s="27"/>
    </row>
    <row r="41" spans="1:20" ht="16.5" customHeight="1" x14ac:dyDescent="0.2">
      <c r="A41" s="13"/>
      <c r="B41" s="505" t="s">
        <v>414</v>
      </c>
      <c r="C41" s="277" t="s">
        <v>415</v>
      </c>
      <c r="D41" s="505" t="s">
        <v>416</v>
      </c>
      <c r="E41" s="1"/>
      <c r="F41" s="27"/>
      <c r="G41" s="27"/>
      <c r="H41" s="27"/>
      <c r="I41" s="27"/>
      <c r="J41" s="27"/>
      <c r="K41" s="27"/>
      <c r="L41" s="27"/>
      <c r="M41" s="27"/>
      <c r="N41" s="27"/>
      <c r="O41" s="27"/>
      <c r="P41" s="27"/>
      <c r="Q41" s="27"/>
      <c r="R41" s="27"/>
      <c r="S41" s="27"/>
      <c r="T41" s="27"/>
    </row>
    <row r="42" spans="1:20" ht="16.5" customHeight="1" x14ac:dyDescent="0.2">
      <c r="A42" s="13"/>
      <c r="B42" s="270" t="s">
        <v>417</v>
      </c>
      <c r="C42" s="272">
        <v>0.75</v>
      </c>
      <c r="D42" s="273">
        <f>C39*C42</f>
        <v>469.98804342187503</v>
      </c>
      <c r="E42" s="1"/>
      <c r="F42" s="27"/>
      <c r="G42" s="27"/>
      <c r="H42" s="27"/>
      <c r="I42" s="27"/>
      <c r="J42" s="27"/>
      <c r="K42" s="27"/>
      <c r="L42" s="27"/>
      <c r="M42" s="27"/>
      <c r="N42" s="27"/>
      <c r="O42" s="27"/>
      <c r="P42" s="27"/>
      <c r="Q42" s="27"/>
      <c r="R42" s="27"/>
      <c r="S42" s="27"/>
      <c r="T42" s="27"/>
    </row>
    <row r="43" spans="1:20" ht="16.5" customHeight="1" x14ac:dyDescent="0.2">
      <c r="A43" s="13"/>
      <c r="B43" s="270" t="s">
        <v>418</v>
      </c>
      <c r="C43" s="272">
        <v>0.25</v>
      </c>
      <c r="D43" s="273">
        <f>C43*C39</f>
        <v>156.66268114062501</v>
      </c>
      <c r="E43" s="1"/>
      <c r="F43" s="27"/>
      <c r="G43" s="27"/>
      <c r="H43" s="27"/>
      <c r="I43" s="27"/>
      <c r="J43" s="27"/>
      <c r="K43" s="27"/>
      <c r="L43" s="27"/>
      <c r="M43" s="27"/>
      <c r="N43" s="27"/>
      <c r="O43" s="27"/>
      <c r="P43" s="27"/>
      <c r="Q43" s="27"/>
      <c r="R43" s="27"/>
      <c r="S43" s="27"/>
      <c r="T43" s="27"/>
    </row>
    <row r="44" spans="1:20" ht="16.5" customHeight="1" x14ac:dyDescent="0.2">
      <c r="A44" s="13"/>
      <c r="B44" s="505" t="s">
        <v>47</v>
      </c>
      <c r="C44" s="279">
        <v>1</v>
      </c>
      <c r="D44" s="280">
        <f>SUM(D42:D43)</f>
        <v>626.65072456250005</v>
      </c>
      <c r="E44" s="1"/>
      <c r="F44" s="27"/>
      <c r="G44" s="27"/>
      <c r="H44" s="27"/>
      <c r="I44" s="27"/>
      <c r="J44" s="27"/>
      <c r="K44" s="27"/>
      <c r="L44" s="27"/>
      <c r="M44" s="27"/>
      <c r="N44" s="27"/>
      <c r="O44" s="27"/>
      <c r="P44" s="27"/>
      <c r="Q44" s="27"/>
      <c r="R44" s="27"/>
      <c r="S44" s="27"/>
      <c r="T44" s="27"/>
    </row>
    <row r="45" spans="1:20" ht="16.5" customHeight="1" x14ac:dyDescent="0.2">
      <c r="A45" s="13"/>
      <c r="B45" s="1"/>
      <c r="C45" s="275"/>
      <c r="D45" s="276"/>
      <c r="E45" s="1"/>
      <c r="F45" s="27"/>
      <c r="G45" s="27"/>
      <c r="H45" s="27"/>
      <c r="I45" s="27"/>
      <c r="J45" s="27"/>
      <c r="K45" s="27"/>
      <c r="L45" s="27"/>
      <c r="M45" s="27"/>
      <c r="N45" s="27"/>
      <c r="O45" s="27"/>
      <c r="P45" s="27"/>
      <c r="Q45" s="27"/>
      <c r="R45" s="27"/>
      <c r="S45" s="27"/>
      <c r="T45" s="27"/>
    </row>
    <row r="46" spans="1:20" ht="16.5" customHeight="1" x14ac:dyDescent="0.2">
      <c r="A46" s="13"/>
      <c r="B46" s="267"/>
      <c r="C46" s="1"/>
      <c r="D46" s="1"/>
      <c r="E46" s="1"/>
      <c r="F46" s="27"/>
      <c r="G46" s="27"/>
      <c r="H46" s="27"/>
      <c r="I46" s="27"/>
      <c r="J46" s="27"/>
      <c r="K46" s="27"/>
      <c r="L46" s="27"/>
      <c r="M46" s="27"/>
      <c r="N46" s="27"/>
      <c r="O46" s="27"/>
      <c r="P46" s="27"/>
      <c r="Q46" s="27"/>
      <c r="R46" s="27"/>
      <c r="S46" s="27"/>
      <c r="T46" s="27"/>
    </row>
    <row r="47" spans="1:20" ht="16.5" customHeight="1" x14ac:dyDescent="0.2">
      <c r="A47" s="423" t="s">
        <v>402</v>
      </c>
      <c r="B47" s="424" t="s">
        <v>403</v>
      </c>
      <c r="C47" s="424" t="s">
        <v>404</v>
      </c>
      <c r="D47" s="424" t="s">
        <v>405</v>
      </c>
      <c r="E47" s="1"/>
      <c r="F47" s="27"/>
      <c r="G47" s="27"/>
      <c r="H47" s="27"/>
      <c r="I47" s="27"/>
      <c r="J47" s="27"/>
      <c r="K47" s="27"/>
      <c r="L47" s="27"/>
      <c r="M47" s="27"/>
      <c r="N47" s="27"/>
      <c r="O47" s="27"/>
      <c r="P47" s="27"/>
      <c r="Q47" s="27"/>
      <c r="R47" s="27"/>
      <c r="S47" s="27"/>
      <c r="T47" s="27"/>
    </row>
    <row r="48" spans="1:20" ht="16.5" customHeight="1" x14ac:dyDescent="0.2">
      <c r="A48" s="425">
        <v>1</v>
      </c>
      <c r="B48" s="425" t="s">
        <v>406</v>
      </c>
      <c r="C48" s="426">
        <v>0.3</v>
      </c>
      <c r="D48" s="426">
        <v>0.15</v>
      </c>
      <c r="E48" s="1"/>
      <c r="F48" s="27"/>
      <c r="G48" s="27"/>
      <c r="H48" s="27"/>
      <c r="I48" s="27"/>
      <c r="J48" s="27"/>
      <c r="K48" s="27"/>
      <c r="L48" s="27"/>
      <c r="M48" s="27"/>
      <c r="N48" s="27"/>
      <c r="O48" s="27"/>
      <c r="P48" s="27"/>
      <c r="Q48" s="27"/>
      <c r="R48" s="27"/>
      <c r="S48" s="27"/>
      <c r="T48" s="27"/>
    </row>
    <row r="49" spans="1:20" ht="16.5" customHeight="1" x14ac:dyDescent="0.2">
      <c r="A49" s="425">
        <v>2</v>
      </c>
      <c r="B49" s="425" t="s">
        <v>407</v>
      </c>
      <c r="C49" s="426">
        <v>0.12</v>
      </c>
      <c r="D49" s="426">
        <v>0.12</v>
      </c>
      <c r="E49" s="1"/>
      <c r="F49" s="27"/>
      <c r="G49" s="27"/>
      <c r="H49" s="27"/>
      <c r="I49" s="27"/>
      <c r="J49" s="27"/>
      <c r="K49" s="27"/>
      <c r="L49" s="27"/>
      <c r="M49" s="27"/>
      <c r="N49" s="27"/>
      <c r="O49" s="27"/>
      <c r="P49" s="27"/>
      <c r="Q49" s="27"/>
      <c r="R49" s="27"/>
      <c r="S49" s="27"/>
      <c r="T49" s="27"/>
    </row>
    <row r="50" spans="1:20" ht="16.5" customHeight="1" x14ac:dyDescent="0.2">
      <c r="A50" s="425">
        <v>3</v>
      </c>
      <c r="B50" s="425" t="s">
        <v>408</v>
      </c>
      <c r="C50" s="426">
        <v>0.04</v>
      </c>
      <c r="D50" s="426">
        <v>0.04</v>
      </c>
      <c r="E50" s="1"/>
      <c r="F50" s="27"/>
      <c r="G50" s="27"/>
      <c r="H50" s="27"/>
      <c r="I50" s="27"/>
      <c r="J50" s="27"/>
      <c r="K50" s="27"/>
      <c r="L50" s="27"/>
      <c r="M50" s="27"/>
      <c r="N50" s="27"/>
      <c r="O50" s="27"/>
      <c r="P50" s="27"/>
      <c r="Q50" s="27"/>
      <c r="R50" s="27"/>
      <c r="S50" s="27"/>
      <c r="T50" s="27"/>
    </row>
    <row r="51" spans="1:20" ht="16.5" customHeight="1" x14ac:dyDescent="0.2">
      <c r="A51" s="425">
        <v>4</v>
      </c>
      <c r="B51" s="425" t="s">
        <v>47</v>
      </c>
      <c r="C51" s="427">
        <f>+C48*(1+C49)*(1+C50)</f>
        <v>0.34944000000000003</v>
      </c>
      <c r="D51" s="427">
        <f>+D48*(1+D49)*(1+D50)</f>
        <v>0.17472000000000001</v>
      </c>
      <c r="E51" s="1"/>
      <c r="F51" s="27"/>
      <c r="G51" s="27"/>
      <c r="H51" s="27"/>
      <c r="I51" s="27"/>
      <c r="J51" s="27"/>
      <c r="K51" s="27"/>
      <c r="L51" s="27"/>
      <c r="M51" s="27"/>
      <c r="N51" s="27"/>
      <c r="O51" s="27"/>
      <c r="P51" s="27"/>
      <c r="Q51" s="27"/>
      <c r="R51" s="27"/>
      <c r="S51" s="27"/>
      <c r="T51" s="27"/>
    </row>
    <row r="52" spans="1:20" ht="16.5" customHeight="1" x14ac:dyDescent="0.2">
      <c r="A52" s="13"/>
      <c r="B52" s="747" t="s">
        <v>399</v>
      </c>
      <c r="C52" s="747"/>
      <c r="D52" s="1"/>
      <c r="E52" s="1"/>
      <c r="F52" s="27"/>
      <c r="G52" s="27"/>
      <c r="H52" s="27"/>
      <c r="I52" s="27"/>
      <c r="J52" s="27"/>
      <c r="K52" s="27"/>
      <c r="L52" s="27"/>
      <c r="M52" s="27"/>
      <c r="N52" s="27"/>
      <c r="O52" s="27"/>
      <c r="P52" s="27"/>
      <c r="Q52" s="27"/>
      <c r="R52" s="27"/>
      <c r="S52" s="27"/>
      <c r="T52" s="27"/>
    </row>
    <row r="53" spans="1:20" ht="16.5" customHeight="1" x14ac:dyDescent="0.2">
      <c r="A53" s="13"/>
      <c r="D53" s="1"/>
      <c r="E53" s="1"/>
      <c r="F53" s="27"/>
      <c r="G53" s="27"/>
      <c r="H53" s="27"/>
      <c r="I53" s="27"/>
      <c r="J53" s="27"/>
      <c r="K53" s="27"/>
      <c r="L53" s="27"/>
      <c r="M53" s="27"/>
      <c r="N53" s="27"/>
      <c r="O53" s="27"/>
      <c r="P53" s="27"/>
      <c r="Q53" s="27"/>
      <c r="R53" s="27"/>
      <c r="S53" s="27"/>
      <c r="T53" s="27"/>
    </row>
    <row r="54" spans="1:20" ht="16.5" customHeight="1" x14ac:dyDescent="0.2">
      <c r="A54" s="13"/>
      <c r="B54" s="260" t="s">
        <v>400</v>
      </c>
      <c r="C54" s="272">
        <f>Norms!B52</f>
        <v>0.09</v>
      </c>
      <c r="D54" s="1"/>
      <c r="E54" s="1"/>
      <c r="F54" s="27"/>
      <c r="G54" s="27"/>
      <c r="H54" s="27"/>
      <c r="I54" s="27"/>
      <c r="J54" s="27"/>
      <c r="K54" s="27"/>
      <c r="L54" s="27"/>
      <c r="M54" s="27"/>
      <c r="N54" s="27"/>
      <c r="O54" s="27"/>
      <c r="P54" s="27"/>
      <c r="Q54" s="27"/>
      <c r="R54" s="27"/>
      <c r="S54" s="27"/>
      <c r="T54" s="27"/>
    </row>
    <row r="55" spans="1:20" ht="16.5" customHeight="1" x14ac:dyDescent="0.2">
      <c r="A55" s="13"/>
      <c r="B55" s="260" t="s">
        <v>401</v>
      </c>
      <c r="C55" s="272">
        <f>Norms!B53</f>
        <v>0.08</v>
      </c>
      <c r="D55" s="1"/>
      <c r="E55" s="1"/>
      <c r="F55" s="27"/>
      <c r="G55" s="27"/>
      <c r="H55" s="27"/>
      <c r="I55" s="27"/>
      <c r="J55" s="27"/>
      <c r="K55" s="27"/>
      <c r="L55" s="27"/>
      <c r="M55" s="27"/>
      <c r="N55" s="27"/>
      <c r="O55" s="27"/>
      <c r="P55" s="27"/>
      <c r="Q55" s="27"/>
      <c r="R55" s="27"/>
      <c r="S55" s="27"/>
      <c r="T55" s="27"/>
    </row>
    <row r="56" spans="1:20" s="1" customFormat="1" x14ac:dyDescent="0.2">
      <c r="C56" s="447"/>
      <c r="D56" s="447"/>
      <c r="E56" s="447"/>
      <c r="F56" s="447"/>
      <c r="G56" s="447"/>
      <c r="H56" s="631"/>
      <c r="I56" s="447"/>
      <c r="J56" s="447"/>
      <c r="K56" s="631"/>
      <c r="L56" s="447"/>
    </row>
    <row r="57" spans="1:20" s="1" customFormat="1" x14ac:dyDescent="0.2">
      <c r="A57" s="743" t="s">
        <v>359</v>
      </c>
      <c r="B57" s="743"/>
      <c r="C57" s="743"/>
      <c r="D57" s="743"/>
      <c r="E57" s="743"/>
      <c r="F57" s="743"/>
      <c r="G57" s="743"/>
      <c r="H57" s="743"/>
      <c r="I57" s="743"/>
      <c r="J57" s="743"/>
      <c r="K57" s="743"/>
      <c r="L57" s="743"/>
      <c r="M57" s="743"/>
      <c r="N57" s="743"/>
      <c r="O57" s="743"/>
      <c r="P57" s="743"/>
      <c r="Q57" s="743"/>
      <c r="R57" s="743"/>
      <c r="S57" s="743"/>
    </row>
    <row r="58" spans="1:20" s="1" customFormat="1" x14ac:dyDescent="0.2">
      <c r="C58" s="744" t="s">
        <v>360</v>
      </c>
      <c r="D58" s="745"/>
      <c r="S58" s="35"/>
      <c r="T58" s="35"/>
    </row>
    <row r="59" spans="1:20" s="1" customFormat="1" x14ac:dyDescent="0.2">
      <c r="A59" s="428" t="s">
        <v>361</v>
      </c>
      <c r="B59" s="429" t="s">
        <v>333</v>
      </c>
      <c r="C59" s="430">
        <v>-2</v>
      </c>
      <c r="D59" s="430">
        <v>-1</v>
      </c>
      <c r="E59" s="431" t="s">
        <v>362</v>
      </c>
      <c r="F59" s="431" t="s">
        <v>334</v>
      </c>
      <c r="G59" s="431" t="s">
        <v>335</v>
      </c>
      <c r="H59" s="431" t="s">
        <v>336</v>
      </c>
      <c r="I59" s="431" t="s">
        <v>337</v>
      </c>
      <c r="J59" s="431" t="s">
        <v>338</v>
      </c>
      <c r="K59" s="431" t="s">
        <v>339</v>
      </c>
      <c r="L59" s="431" t="s">
        <v>340</v>
      </c>
      <c r="M59" s="431" t="s">
        <v>341</v>
      </c>
      <c r="N59" s="431" t="s">
        <v>342</v>
      </c>
      <c r="O59" s="431" t="s">
        <v>343</v>
      </c>
      <c r="P59" s="431" t="s">
        <v>344</v>
      </c>
      <c r="Q59" s="431" t="s">
        <v>345</v>
      </c>
      <c r="R59" s="431" t="s">
        <v>346</v>
      </c>
      <c r="S59" s="431" t="s">
        <v>347</v>
      </c>
      <c r="T59" s="35">
        <f>+S59+1</f>
        <v>16</v>
      </c>
    </row>
    <row r="60" spans="1:20" s="1" customFormat="1" x14ac:dyDescent="0.2">
      <c r="B60" s="432" t="s">
        <v>363</v>
      </c>
      <c r="C60" s="260"/>
      <c r="D60" s="260"/>
      <c r="E60" s="433"/>
      <c r="F60" s="433"/>
      <c r="G60" s="433"/>
      <c r="H60" s="433"/>
      <c r="I60" s="433"/>
      <c r="J60" s="433"/>
      <c r="K60" s="433"/>
      <c r="L60" s="433"/>
      <c r="M60" s="433"/>
      <c r="N60" s="433"/>
      <c r="O60" s="433"/>
      <c r="P60" s="433"/>
      <c r="Q60" s="433"/>
      <c r="R60" s="433"/>
      <c r="S60" s="433"/>
    </row>
    <row r="61" spans="1:20" s="1" customFormat="1" x14ac:dyDescent="0.2">
      <c r="A61" s="270">
        <v>1.1000000000000001</v>
      </c>
      <c r="B61" s="434" t="s">
        <v>353</v>
      </c>
      <c r="C61" s="270"/>
      <c r="D61" s="270"/>
      <c r="E61" s="435">
        <f t="shared" ref="E61:T61" si="38">F24</f>
        <v>138.2038338928125</v>
      </c>
      <c r="F61" s="435">
        <f t="shared" si="38"/>
        <v>192.12316100174996</v>
      </c>
      <c r="G61" s="435">
        <f t="shared" si="38"/>
        <v>202.70793652668746</v>
      </c>
      <c r="H61" s="435">
        <f t="shared" si="38"/>
        <v>202.70793652668746</v>
      </c>
      <c r="I61" s="435">
        <f t="shared" si="38"/>
        <v>202.70793652668746</v>
      </c>
      <c r="J61" s="435">
        <f t="shared" si="38"/>
        <v>202.70793652668746</v>
      </c>
      <c r="K61" s="435">
        <f t="shared" si="38"/>
        <v>202.70793652668746</v>
      </c>
      <c r="L61" s="435">
        <f t="shared" si="38"/>
        <v>202.70793652668746</v>
      </c>
      <c r="M61" s="435">
        <f t="shared" si="38"/>
        <v>202.70793652668746</v>
      </c>
      <c r="N61" s="435">
        <f t="shared" si="38"/>
        <v>202.70793652668746</v>
      </c>
      <c r="O61" s="435">
        <f t="shared" si="38"/>
        <v>194.50241194465619</v>
      </c>
      <c r="P61" s="435">
        <f t="shared" si="38"/>
        <v>194.50241194465619</v>
      </c>
      <c r="Q61" s="435">
        <f t="shared" si="38"/>
        <v>194.50241194465619</v>
      </c>
      <c r="R61" s="435">
        <f t="shared" si="38"/>
        <v>202.70793652668746</v>
      </c>
      <c r="S61" s="435">
        <f t="shared" si="38"/>
        <v>202.70793652668746</v>
      </c>
      <c r="T61" s="435">
        <f t="shared" si="38"/>
        <v>0</v>
      </c>
    </row>
    <row r="62" spans="1:20" s="1" customFormat="1" x14ac:dyDescent="0.2">
      <c r="A62" s="436">
        <v>2</v>
      </c>
      <c r="B62" s="437" t="s">
        <v>528</v>
      </c>
      <c r="C62" s="270"/>
      <c r="D62" s="270"/>
      <c r="E62" s="435">
        <f>'Working Capital'!D20</f>
        <v>10.370593751697442</v>
      </c>
      <c r="F62" s="435">
        <f>'Working Capital'!E20</f>
        <v>1.3220360850852266</v>
      </c>
      <c r="G62" s="435">
        <f>'Working Capital'!F20</f>
        <v>1.9830541276278435</v>
      </c>
      <c r="H62" s="435">
        <f>'Working Capital'!G20</f>
        <v>0</v>
      </c>
      <c r="I62" s="435">
        <f>'Working Capital'!H20</f>
        <v>0</v>
      </c>
      <c r="J62" s="435">
        <f>'Working Capital'!I20</f>
        <v>0</v>
      </c>
      <c r="K62" s="435">
        <f>'Working Capital'!J20</f>
        <v>0</v>
      </c>
      <c r="L62" s="435">
        <f>'Working Capital'!K20</f>
        <v>0</v>
      </c>
      <c r="M62" s="435">
        <f>'Working Capital'!L20</f>
        <v>0</v>
      </c>
      <c r="N62" s="435">
        <f>'Working Capital'!M20</f>
        <v>0</v>
      </c>
      <c r="O62" s="435">
        <f>'Working Capital'!N20</f>
        <v>-0.27973379256924602</v>
      </c>
      <c r="P62" s="435">
        <f>'Working Capital'!O20</f>
        <v>0</v>
      </c>
      <c r="Q62" s="435">
        <f>'Working Capital'!P20</f>
        <v>0</v>
      </c>
      <c r="R62" s="435">
        <f>'Working Capital'!Q20</f>
        <v>0.27973379256924602</v>
      </c>
      <c r="S62" s="435">
        <f>'Working Capital'!R20</f>
        <v>0</v>
      </c>
      <c r="T62" s="435">
        <f>'Working Capital'!S20</f>
        <v>0</v>
      </c>
    </row>
    <row r="63" spans="1:20" s="1" customFormat="1" x14ac:dyDescent="0.2">
      <c r="A63" s="436">
        <v>3</v>
      </c>
      <c r="B63" s="437" t="s">
        <v>364</v>
      </c>
      <c r="C63" s="271">
        <f>Capex!H83/100</f>
        <v>146.44793750000002</v>
      </c>
      <c r="D63" s="438">
        <f>(Capex!H84+Capex!H85)/100</f>
        <v>292.89587500000005</v>
      </c>
      <c r="E63" s="435">
        <v>0</v>
      </c>
      <c r="F63" s="435">
        <v>0</v>
      </c>
      <c r="G63" s="435">
        <v>0</v>
      </c>
      <c r="H63" s="435">
        <v>0</v>
      </c>
      <c r="I63" s="435">
        <v>0</v>
      </c>
      <c r="J63" s="435">
        <v>0</v>
      </c>
      <c r="K63" s="435">
        <v>0</v>
      </c>
      <c r="L63" s="435">
        <v>0</v>
      </c>
      <c r="M63" s="435">
        <v>0</v>
      </c>
      <c r="N63" s="435">
        <v>0</v>
      </c>
      <c r="O63" s="435">
        <v>0</v>
      </c>
      <c r="P63" s="435">
        <v>0</v>
      </c>
      <c r="Q63" s="435">
        <v>0</v>
      </c>
      <c r="R63" s="435">
        <v>0</v>
      </c>
      <c r="S63" s="435">
        <v>0</v>
      </c>
      <c r="T63" s="435">
        <v>0</v>
      </c>
    </row>
    <row r="64" spans="1:20" s="1" customFormat="1" x14ac:dyDescent="0.2">
      <c r="A64" s="436">
        <v>4</v>
      </c>
      <c r="B64" s="437" t="s">
        <v>536</v>
      </c>
      <c r="C64" s="439">
        <f>Capex!B76/100</f>
        <v>146.44793750000002</v>
      </c>
      <c r="D64" s="270">
        <v>0</v>
      </c>
      <c r="E64" s="435">
        <v>0</v>
      </c>
      <c r="F64" s="435">
        <v>0</v>
      </c>
      <c r="G64" s="435">
        <v>0</v>
      </c>
      <c r="H64" s="435">
        <v>0</v>
      </c>
      <c r="I64" s="435">
        <v>0</v>
      </c>
      <c r="J64" s="435">
        <v>0</v>
      </c>
      <c r="K64" s="435">
        <v>0</v>
      </c>
      <c r="L64" s="435">
        <v>0</v>
      </c>
      <c r="M64" s="435">
        <v>0</v>
      </c>
      <c r="N64" s="435">
        <v>0</v>
      </c>
      <c r="O64" s="435">
        <v>0</v>
      </c>
      <c r="P64" s="435">
        <v>0</v>
      </c>
      <c r="Q64" s="435">
        <v>0</v>
      </c>
      <c r="R64" s="435">
        <v>0</v>
      </c>
      <c r="S64" s="435">
        <v>0</v>
      </c>
      <c r="T64" s="435">
        <v>0</v>
      </c>
    </row>
    <row r="65" spans="1:20" s="1" customFormat="1" x14ac:dyDescent="0.2">
      <c r="A65" s="436">
        <v>5</v>
      </c>
      <c r="B65" s="440" t="s">
        <v>527</v>
      </c>
      <c r="C65" s="441"/>
      <c r="D65" s="441"/>
      <c r="E65" s="441">
        <f t="shared" ref="E65:T65" si="39">F27</f>
        <v>36.819759775000009</v>
      </c>
      <c r="F65" s="441">
        <f t="shared" si="39"/>
        <v>36.819759775000009</v>
      </c>
      <c r="G65" s="441">
        <f t="shared" si="39"/>
        <v>36.819759775000009</v>
      </c>
      <c r="H65" s="441">
        <f t="shared" si="39"/>
        <v>36.819759775000009</v>
      </c>
      <c r="I65" s="441">
        <f t="shared" si="39"/>
        <v>36.819759775000009</v>
      </c>
      <c r="J65" s="441">
        <f t="shared" si="39"/>
        <v>36.819759775000009</v>
      </c>
      <c r="K65" s="441">
        <f t="shared" si="39"/>
        <v>36.819759775000009</v>
      </c>
      <c r="L65" s="441">
        <f t="shared" si="39"/>
        <v>36.819759775000009</v>
      </c>
      <c r="M65" s="441">
        <f t="shared" si="39"/>
        <v>36.819759775000009</v>
      </c>
      <c r="N65" s="441">
        <f t="shared" si="39"/>
        <v>36.819759775000009</v>
      </c>
      <c r="O65" s="441">
        <f t="shared" si="39"/>
        <v>36.819759775000009</v>
      </c>
      <c r="P65" s="441">
        <f t="shared" si="39"/>
        <v>36.819759775000009</v>
      </c>
      <c r="Q65" s="441">
        <f t="shared" si="39"/>
        <v>36.819759775000009</v>
      </c>
      <c r="R65" s="441">
        <f t="shared" si="39"/>
        <v>36.819759775000009</v>
      </c>
      <c r="S65" s="441">
        <f t="shared" si="39"/>
        <v>36.819759775000009</v>
      </c>
      <c r="T65" s="441">
        <f t="shared" si="39"/>
        <v>0</v>
      </c>
    </row>
    <row r="66" spans="1:20" s="1" customFormat="1" x14ac:dyDescent="0.2">
      <c r="A66" s="436"/>
      <c r="B66" s="442" t="s">
        <v>365</v>
      </c>
      <c r="C66" s="435">
        <f>SUM(C61:C65)</f>
        <v>292.89587500000005</v>
      </c>
      <c r="D66" s="435">
        <f t="shared" ref="D66:T66" si="40">SUM(D61:D65)</f>
        <v>292.89587500000005</v>
      </c>
      <c r="E66" s="435">
        <f t="shared" si="40"/>
        <v>185.39418741950993</v>
      </c>
      <c r="F66" s="435">
        <f t="shared" si="40"/>
        <v>230.26495686183517</v>
      </c>
      <c r="G66" s="435">
        <f t="shared" si="40"/>
        <v>241.51075042931529</v>
      </c>
      <c r="H66" s="435">
        <f t="shared" si="40"/>
        <v>239.52769630168746</v>
      </c>
      <c r="I66" s="435">
        <f t="shared" si="40"/>
        <v>239.52769630168746</v>
      </c>
      <c r="J66" s="435">
        <f t="shared" si="40"/>
        <v>239.52769630168746</v>
      </c>
      <c r="K66" s="435">
        <f t="shared" si="40"/>
        <v>239.52769630168746</v>
      </c>
      <c r="L66" s="435">
        <f t="shared" si="40"/>
        <v>239.52769630168746</v>
      </c>
      <c r="M66" s="435">
        <f t="shared" si="40"/>
        <v>239.52769630168746</v>
      </c>
      <c r="N66" s="435">
        <f t="shared" si="40"/>
        <v>239.52769630168746</v>
      </c>
      <c r="O66" s="435">
        <f t="shared" si="40"/>
        <v>231.04243792708695</v>
      </c>
      <c r="P66" s="435">
        <f t="shared" si="40"/>
        <v>231.32217171965618</v>
      </c>
      <c r="Q66" s="435">
        <f t="shared" si="40"/>
        <v>231.32217171965618</v>
      </c>
      <c r="R66" s="435">
        <f t="shared" si="40"/>
        <v>239.80743009425674</v>
      </c>
      <c r="S66" s="435">
        <f t="shared" si="40"/>
        <v>239.52769630168746</v>
      </c>
      <c r="T66" s="435">
        <f t="shared" si="40"/>
        <v>0</v>
      </c>
    </row>
    <row r="67" spans="1:20" s="1" customFormat="1" x14ac:dyDescent="0.2">
      <c r="A67" s="436"/>
      <c r="B67" s="443"/>
      <c r="C67" s="270"/>
      <c r="D67" s="270"/>
      <c r="E67" s="435"/>
      <c r="F67" s="435"/>
      <c r="G67" s="435"/>
      <c r="H67" s="435"/>
      <c r="I67" s="435"/>
      <c r="J67" s="435"/>
      <c r="K67" s="435"/>
      <c r="L67" s="435"/>
      <c r="M67" s="435"/>
      <c r="N67" s="435"/>
      <c r="O67" s="435"/>
      <c r="P67" s="435"/>
      <c r="Q67" s="435"/>
      <c r="R67" s="435"/>
      <c r="S67" s="435"/>
      <c r="T67" s="435"/>
    </row>
    <row r="68" spans="1:20" s="1" customFormat="1" x14ac:dyDescent="0.2">
      <c r="A68" s="436" t="s">
        <v>24</v>
      </c>
      <c r="B68" s="444" t="s">
        <v>366</v>
      </c>
      <c r="C68" s="270"/>
      <c r="D68" s="270"/>
      <c r="E68" s="445"/>
      <c r="F68" s="270"/>
      <c r="G68" s="270"/>
      <c r="H68" s="270"/>
      <c r="I68" s="270"/>
      <c r="J68" s="270"/>
      <c r="K68" s="270"/>
      <c r="L68" s="270"/>
      <c r="M68" s="270"/>
      <c r="N68" s="270"/>
      <c r="O68" s="270"/>
      <c r="P68" s="270"/>
      <c r="Q68" s="270"/>
      <c r="R68" s="270"/>
      <c r="S68" s="270"/>
      <c r="T68" s="270"/>
    </row>
    <row r="69" spans="1:20" s="1" customFormat="1" x14ac:dyDescent="0.2">
      <c r="A69" s="436">
        <v>1</v>
      </c>
      <c r="B69" s="437" t="s">
        <v>367</v>
      </c>
      <c r="C69" s="464">
        <f>Capex!B70/100/2</f>
        <v>292.89587500000005</v>
      </c>
      <c r="D69" s="464">
        <f>C69</f>
        <v>292.89587500000005</v>
      </c>
      <c r="E69" s="445">
        <v>0</v>
      </c>
      <c r="F69" s="270">
        <v>0</v>
      </c>
      <c r="G69" s="270">
        <v>0</v>
      </c>
      <c r="H69" s="270">
        <v>0</v>
      </c>
      <c r="I69" s="270">
        <v>0</v>
      </c>
      <c r="J69" s="270">
        <v>0</v>
      </c>
      <c r="K69" s="270">
        <v>0</v>
      </c>
      <c r="L69" s="270">
        <v>0</v>
      </c>
      <c r="M69" s="270">
        <v>0</v>
      </c>
      <c r="N69" s="270">
        <v>0</v>
      </c>
      <c r="O69" s="270">
        <v>0</v>
      </c>
      <c r="P69" s="270">
        <v>0</v>
      </c>
      <c r="Q69" s="270">
        <v>0</v>
      </c>
      <c r="R69" s="270">
        <v>0</v>
      </c>
      <c r="S69" s="270">
        <v>0</v>
      </c>
      <c r="T69" s="270">
        <v>1</v>
      </c>
    </row>
    <row r="70" spans="1:20" s="1" customFormat="1" x14ac:dyDescent="0.2">
      <c r="A70" s="436">
        <v>2</v>
      </c>
      <c r="B70" s="372" t="s">
        <v>529</v>
      </c>
      <c r="C70" s="270"/>
      <c r="D70" s="270"/>
      <c r="E70" s="446">
        <f>'Working Capital'!D13</f>
        <v>13.827458335596589</v>
      </c>
      <c r="F70" s="271">
        <f>'Working Capital'!E13-'Working Capital'!D13</f>
        <v>1.7627147801136367</v>
      </c>
      <c r="G70" s="271">
        <f>'Working Capital'!F13-'Working Capital'!E13</f>
        <v>2.6440721701704568</v>
      </c>
      <c r="H70" s="271">
        <f>'Working Capital'!G13-'Working Capital'!F13</f>
        <v>0</v>
      </c>
      <c r="I70" s="271">
        <f>'Working Capital'!H13-'Working Capital'!G13</f>
        <v>0</v>
      </c>
      <c r="J70" s="271">
        <f>'Working Capital'!I13-'Working Capital'!H13</f>
        <v>0</v>
      </c>
      <c r="K70" s="271">
        <f>'Working Capital'!J13-'Working Capital'!I13</f>
        <v>0</v>
      </c>
      <c r="L70" s="271">
        <f>'Working Capital'!K13-'Working Capital'!J13</f>
        <v>0</v>
      </c>
      <c r="M70" s="271">
        <f>'Working Capital'!L13-'Working Capital'!K13</f>
        <v>0</v>
      </c>
      <c r="N70" s="271">
        <f>'Working Capital'!M13-'Working Capital'!L13</f>
        <v>0</v>
      </c>
      <c r="O70" s="271">
        <f>'Working Capital'!N13-'Working Capital'!M13</f>
        <v>-0.37297839009232803</v>
      </c>
      <c r="P70" s="271">
        <f>'Working Capital'!O13-'Working Capital'!N13</f>
        <v>0</v>
      </c>
      <c r="Q70" s="271">
        <f>'Working Capital'!P13-'Working Capital'!O13</f>
        <v>0</v>
      </c>
      <c r="R70" s="271">
        <f>'Working Capital'!Q13-'Working Capital'!P13</f>
        <v>0.37297839009232803</v>
      </c>
      <c r="S70" s="271">
        <f>'Working Capital'!R13-'Working Capital'!Q13</f>
        <v>0</v>
      </c>
      <c r="T70" s="271">
        <f>'Working Capital'!S13-'Working Capital'!R13</f>
        <v>-18.234245285880682</v>
      </c>
    </row>
    <row r="71" spans="1:20" s="1" customFormat="1" x14ac:dyDescent="0.2">
      <c r="A71" s="436">
        <v>3</v>
      </c>
      <c r="B71" s="372" t="s">
        <v>530</v>
      </c>
      <c r="C71" s="435"/>
      <c r="D71" s="435"/>
      <c r="E71" s="435">
        <f>E89</f>
        <v>60.02534838281251</v>
      </c>
      <c r="F71" s="435">
        <f t="shared" ref="F71:T71" si="41">F89</f>
        <v>60.02534838281251</v>
      </c>
      <c r="G71" s="435">
        <f t="shared" si="41"/>
        <v>60.02534838281251</v>
      </c>
      <c r="H71" s="435">
        <f t="shared" si="41"/>
        <v>60.02534838281251</v>
      </c>
      <c r="I71" s="435">
        <f t="shared" si="41"/>
        <v>60.02534838281251</v>
      </c>
      <c r="J71" s="435">
        <f t="shared" si="41"/>
        <v>60.02534838281251</v>
      </c>
      <c r="K71" s="435">
        <f t="shared" si="41"/>
        <v>60.02534838281251</v>
      </c>
      <c r="L71" s="435">
        <f t="shared" si="41"/>
        <v>60.02534838281251</v>
      </c>
      <c r="M71" s="435">
        <f>M89</f>
        <v>0</v>
      </c>
      <c r="N71" s="435">
        <f t="shared" si="41"/>
        <v>0</v>
      </c>
      <c r="O71" s="435">
        <f t="shared" si="41"/>
        <v>0</v>
      </c>
      <c r="P71" s="435">
        <f t="shared" si="41"/>
        <v>0</v>
      </c>
      <c r="Q71" s="435">
        <f t="shared" si="41"/>
        <v>0</v>
      </c>
      <c r="R71" s="435">
        <f t="shared" si="41"/>
        <v>0</v>
      </c>
      <c r="S71" s="435">
        <f t="shared" si="41"/>
        <v>0</v>
      </c>
      <c r="T71" s="435">
        <f t="shared" si="41"/>
        <v>0</v>
      </c>
    </row>
    <row r="72" spans="1:20" s="1" customFormat="1" x14ac:dyDescent="0.2">
      <c r="A72" s="436">
        <v>4</v>
      </c>
      <c r="B72" s="372" t="s">
        <v>368</v>
      </c>
      <c r="C72" s="270"/>
      <c r="D72" s="270"/>
      <c r="E72" s="435">
        <f t="shared" ref="E72:T72" si="42">F26</f>
        <v>43.218250835625007</v>
      </c>
      <c r="F72" s="435">
        <f t="shared" si="42"/>
        <v>37.815969481171877</v>
      </c>
      <c r="G72" s="435">
        <f t="shared" si="42"/>
        <v>32.413688126718753</v>
      </c>
      <c r="H72" s="435">
        <f t="shared" si="42"/>
        <v>27.011406772265623</v>
      </c>
      <c r="I72" s="435">
        <f t="shared" si="42"/>
        <v>21.609125417812496</v>
      </c>
      <c r="J72" s="435">
        <f t="shared" si="42"/>
        <v>16.20684406335937</v>
      </c>
      <c r="K72" s="435">
        <f t="shared" si="42"/>
        <v>10.804562708906245</v>
      </c>
      <c r="L72" s="435">
        <f t="shared" si="42"/>
        <v>5.4022813544531196</v>
      </c>
      <c r="M72" s="435">
        <f t="shared" si="42"/>
        <v>-6.394884621840901E-15</v>
      </c>
      <c r="N72" s="435">
        <f t="shared" si="42"/>
        <v>-6.394884621840901E-15</v>
      </c>
      <c r="O72" s="435">
        <f t="shared" si="42"/>
        <v>-6.394884621840901E-15</v>
      </c>
      <c r="P72" s="435">
        <f t="shared" si="42"/>
        <v>-6.394884621840901E-15</v>
      </c>
      <c r="Q72" s="435">
        <f t="shared" si="42"/>
        <v>-6.394884621840901E-15</v>
      </c>
      <c r="R72" s="435">
        <f t="shared" si="42"/>
        <v>-6.394884621840901E-15</v>
      </c>
      <c r="S72" s="435">
        <f t="shared" si="42"/>
        <v>-6.394884621840901E-15</v>
      </c>
      <c r="T72" s="435">
        <f t="shared" si="42"/>
        <v>0</v>
      </c>
    </row>
    <row r="73" spans="1:20" s="1" customFormat="1" x14ac:dyDescent="0.2">
      <c r="A73" s="436">
        <v>5</v>
      </c>
      <c r="B73" s="372" t="s">
        <v>531</v>
      </c>
      <c r="C73" s="270"/>
      <c r="D73" s="271"/>
      <c r="E73" s="446">
        <f t="shared" ref="E73:T73" si="43">F25</f>
        <v>0.82964750013579536</v>
      </c>
      <c r="F73" s="446">
        <f t="shared" si="43"/>
        <v>0.93541038694261347</v>
      </c>
      <c r="G73" s="446">
        <f t="shared" si="43"/>
        <v>1.094054717152841</v>
      </c>
      <c r="H73" s="446">
        <f t="shared" si="43"/>
        <v>1.094054717152841</v>
      </c>
      <c r="I73" s="446">
        <f t="shared" si="43"/>
        <v>1.094054717152841</v>
      </c>
      <c r="J73" s="446">
        <f t="shared" si="43"/>
        <v>1.094054717152841</v>
      </c>
      <c r="K73" s="446">
        <f t="shared" si="43"/>
        <v>1.094054717152841</v>
      </c>
      <c r="L73" s="446">
        <f t="shared" si="43"/>
        <v>1.094054717152841</v>
      </c>
      <c r="M73" s="446">
        <f t="shared" si="43"/>
        <v>1.094054717152841</v>
      </c>
      <c r="N73" s="446">
        <f t="shared" si="43"/>
        <v>1.094054717152841</v>
      </c>
      <c r="O73" s="446">
        <f t="shared" si="43"/>
        <v>1.0716760137473014</v>
      </c>
      <c r="P73" s="446">
        <f t="shared" si="43"/>
        <v>1.0716760137473014</v>
      </c>
      <c r="Q73" s="446">
        <f t="shared" si="43"/>
        <v>1.0716760137473014</v>
      </c>
      <c r="R73" s="446">
        <f t="shared" si="43"/>
        <v>1.094054717152841</v>
      </c>
      <c r="S73" s="446">
        <f t="shared" si="43"/>
        <v>1.094054717152841</v>
      </c>
      <c r="T73" s="446">
        <f t="shared" si="43"/>
        <v>0</v>
      </c>
    </row>
    <row r="74" spans="1:20" s="1" customFormat="1" x14ac:dyDescent="0.2">
      <c r="A74" s="436">
        <v>6</v>
      </c>
      <c r="B74" s="385" t="s">
        <v>532</v>
      </c>
      <c r="C74" s="270"/>
      <c r="D74" s="270"/>
      <c r="E74" s="435">
        <f t="shared" ref="E74:T74" si="44">F29</f>
        <v>30.599615563280405</v>
      </c>
      <c r="F74" s="435">
        <f t="shared" si="44"/>
        <v>54.010856443427514</v>
      </c>
      <c r="G74" s="435">
        <f t="shared" si="44"/>
        <v>61.595263249381667</v>
      </c>
      <c r="H74" s="435">
        <f t="shared" si="44"/>
        <v>64.899374751163663</v>
      </c>
      <c r="I74" s="435">
        <f t="shared" si="44"/>
        <v>67.709037801694379</v>
      </c>
      <c r="J74" s="435">
        <f t="shared" si="44"/>
        <v>70.098302841259866</v>
      </c>
      <c r="K74" s="435">
        <f t="shared" si="44"/>
        <v>72.130124426843494</v>
      </c>
      <c r="L74" s="435">
        <f t="shared" si="44"/>
        <v>73.858024446347244</v>
      </c>
      <c r="M74" s="435">
        <f t="shared" si="44"/>
        <v>75.327505967507335</v>
      </c>
      <c r="N74" s="435">
        <f t="shared" si="44"/>
        <v>76.577255114617103</v>
      </c>
      <c r="O74" s="435">
        <f t="shared" si="44"/>
        <v>74.772824248426744</v>
      </c>
      <c r="P74" s="435">
        <f t="shared" si="44"/>
        <v>75.676854527458403</v>
      </c>
      <c r="Q74" s="435">
        <f t="shared" si="44"/>
        <v>76.445783168291499</v>
      </c>
      <c r="R74" s="435">
        <f t="shared" si="44"/>
        <v>79.967163636235199</v>
      </c>
      <c r="S74" s="435">
        <f t="shared" si="44"/>
        <v>80.523506652495598</v>
      </c>
      <c r="T74" s="435">
        <f t="shared" si="44"/>
        <v>0</v>
      </c>
    </row>
    <row r="75" spans="1:20" s="1" customFormat="1" x14ac:dyDescent="0.2">
      <c r="A75" s="436"/>
      <c r="B75" s="443" t="s">
        <v>369</v>
      </c>
      <c r="C75" s="435">
        <f t="shared" ref="C75:T75" si="45">SUM(C69:C74)</f>
        <v>292.89587500000005</v>
      </c>
      <c r="D75" s="435">
        <f t="shared" si="45"/>
        <v>292.89587500000005</v>
      </c>
      <c r="E75" s="435">
        <f t="shared" si="45"/>
        <v>148.50032061745028</v>
      </c>
      <c r="F75" s="271">
        <f t="shared" si="45"/>
        <v>154.55029947446815</v>
      </c>
      <c r="G75" s="271">
        <f t="shared" si="45"/>
        <v>157.77242664623623</v>
      </c>
      <c r="H75" s="271">
        <f t="shared" si="45"/>
        <v>153.03018462339463</v>
      </c>
      <c r="I75" s="271">
        <f t="shared" si="45"/>
        <v>150.43756631947224</v>
      </c>
      <c r="J75" s="271">
        <f t="shared" si="45"/>
        <v>147.4245500045846</v>
      </c>
      <c r="K75" s="271">
        <f t="shared" si="45"/>
        <v>144.05409023571508</v>
      </c>
      <c r="L75" s="271">
        <f t="shared" si="45"/>
        <v>140.37970890076571</v>
      </c>
      <c r="M75" s="271">
        <f t="shared" si="45"/>
        <v>76.421560684660164</v>
      </c>
      <c r="N75" s="271">
        <f t="shared" si="45"/>
        <v>77.671309831769932</v>
      </c>
      <c r="O75" s="271">
        <f t="shared" si="45"/>
        <v>75.471521872081709</v>
      </c>
      <c r="P75" s="271">
        <f t="shared" si="45"/>
        <v>76.748530541205696</v>
      </c>
      <c r="Q75" s="271">
        <f t="shared" si="45"/>
        <v>77.517459182038792</v>
      </c>
      <c r="R75" s="271">
        <f t="shared" si="45"/>
        <v>81.434196743480356</v>
      </c>
      <c r="S75" s="271">
        <f t="shared" si="45"/>
        <v>81.617561369648428</v>
      </c>
      <c r="T75" s="271">
        <f t="shared" si="45"/>
        <v>-17.234245285880682</v>
      </c>
    </row>
    <row r="76" spans="1:20" s="1" customFormat="1" x14ac:dyDescent="0.2">
      <c r="A76" s="436" t="s">
        <v>370</v>
      </c>
      <c r="B76" s="443" t="s">
        <v>371</v>
      </c>
      <c r="C76" s="435">
        <f t="shared" ref="C76:T76" si="46">C66-C75</f>
        <v>0</v>
      </c>
      <c r="D76" s="435">
        <f t="shared" si="46"/>
        <v>0</v>
      </c>
      <c r="E76" s="435">
        <f t="shared" si="46"/>
        <v>36.893866802059648</v>
      </c>
      <c r="F76" s="435">
        <f t="shared" si="46"/>
        <v>75.714657387367026</v>
      </c>
      <c r="G76" s="435">
        <f t="shared" si="46"/>
        <v>83.738323783079068</v>
      </c>
      <c r="H76" s="435">
        <f t="shared" si="46"/>
        <v>86.497511678292824</v>
      </c>
      <c r="I76" s="435">
        <f t="shared" si="46"/>
        <v>89.090129982215217</v>
      </c>
      <c r="J76" s="435">
        <f t="shared" si="46"/>
        <v>92.103146297102853</v>
      </c>
      <c r="K76" s="435">
        <f t="shared" si="46"/>
        <v>95.473606065972376</v>
      </c>
      <c r="L76" s="435">
        <f t="shared" si="46"/>
        <v>99.14798740092175</v>
      </c>
      <c r="M76" s="435">
        <f t="shared" si="46"/>
        <v>163.10613561702729</v>
      </c>
      <c r="N76" s="435">
        <f t="shared" si="46"/>
        <v>161.85638646991754</v>
      </c>
      <c r="O76" s="435">
        <f t="shared" si="46"/>
        <v>155.57091605500523</v>
      </c>
      <c r="P76" s="435">
        <f t="shared" si="46"/>
        <v>154.57364117845049</v>
      </c>
      <c r="Q76" s="435">
        <f t="shared" si="46"/>
        <v>153.80471253761738</v>
      </c>
      <c r="R76" s="435">
        <f t="shared" si="46"/>
        <v>158.37323335077639</v>
      </c>
      <c r="S76" s="435">
        <f t="shared" si="46"/>
        <v>157.91013493203903</v>
      </c>
      <c r="T76" s="435">
        <f t="shared" si="46"/>
        <v>17.234245285880682</v>
      </c>
    </row>
    <row r="77" spans="1:20" s="1" customFormat="1" x14ac:dyDescent="0.2">
      <c r="A77" s="436" t="s">
        <v>372</v>
      </c>
      <c r="B77" s="443" t="s">
        <v>533</v>
      </c>
      <c r="C77" s="270"/>
      <c r="D77" s="270"/>
      <c r="E77" s="435">
        <f>E76</f>
        <v>36.893866802059648</v>
      </c>
      <c r="F77" s="271">
        <f>F76+E77</f>
        <v>112.60852418942667</v>
      </c>
      <c r="G77" s="271">
        <f t="shared" ref="G77:T77" si="47">G76+F77</f>
        <v>196.34684797250574</v>
      </c>
      <c r="H77" s="271">
        <f t="shared" si="47"/>
        <v>282.84435965079854</v>
      </c>
      <c r="I77" s="271">
        <f t="shared" si="47"/>
        <v>371.93448963301375</v>
      </c>
      <c r="J77" s="271">
        <f t="shared" si="47"/>
        <v>464.03763593011661</v>
      </c>
      <c r="K77" s="271">
        <f t="shared" si="47"/>
        <v>559.51124199608898</v>
      </c>
      <c r="L77" s="271">
        <f t="shared" si="47"/>
        <v>658.65922939701068</v>
      </c>
      <c r="M77" s="271">
        <f t="shared" si="47"/>
        <v>821.76536501403803</v>
      </c>
      <c r="N77" s="271">
        <f t="shared" si="47"/>
        <v>983.62175148395556</v>
      </c>
      <c r="O77" s="271">
        <f t="shared" si="47"/>
        <v>1139.1926675389609</v>
      </c>
      <c r="P77" s="271">
        <f t="shared" si="47"/>
        <v>1293.7663087174114</v>
      </c>
      <c r="Q77" s="271">
        <f t="shared" si="47"/>
        <v>1447.5710212550289</v>
      </c>
      <c r="R77" s="271">
        <f t="shared" si="47"/>
        <v>1605.9442546058053</v>
      </c>
      <c r="S77" s="271">
        <f t="shared" si="47"/>
        <v>1763.8543895378443</v>
      </c>
      <c r="T77" s="271">
        <f t="shared" si="47"/>
        <v>1781.088634823725</v>
      </c>
    </row>
    <row r="78" spans="1:20" s="1" customFormat="1" x14ac:dyDescent="0.2">
      <c r="E78" s="166"/>
      <c r="F78" s="166"/>
      <c r="G78" s="166"/>
      <c r="H78" s="166"/>
      <c r="I78" s="166"/>
      <c r="J78" s="166"/>
      <c r="K78" s="166"/>
      <c r="L78" s="166"/>
      <c r="M78" s="166"/>
      <c r="N78" s="166"/>
      <c r="O78" s="166"/>
      <c r="P78" s="166"/>
      <c r="Q78" s="166"/>
      <c r="R78" s="166"/>
      <c r="S78" s="166"/>
    </row>
    <row r="79" spans="1:20" s="1" customFormat="1" x14ac:dyDescent="0.2">
      <c r="F79" s="447"/>
    </row>
    <row r="80" spans="1:20" s="1" customFormat="1" x14ac:dyDescent="0.2">
      <c r="A80" s="557"/>
      <c r="B80" s="557" t="s">
        <v>287</v>
      </c>
      <c r="C80" s="448"/>
      <c r="D80" s="448"/>
      <c r="E80" s="448"/>
      <c r="F80" s="448"/>
      <c r="G80" s="448"/>
      <c r="H80" s="448"/>
      <c r="I80" s="448"/>
      <c r="J80" s="448"/>
      <c r="K80" s="448"/>
      <c r="L80" s="448"/>
      <c r="M80" s="448"/>
      <c r="N80" s="448"/>
      <c r="O80" s="448"/>
      <c r="P80" s="448"/>
      <c r="Q80" s="448"/>
      <c r="R80" s="448"/>
    </row>
    <row r="81" spans="1:20" s="319" customFormat="1" x14ac:dyDescent="0.2">
      <c r="A81" s="558"/>
      <c r="B81" s="559"/>
      <c r="C81" s="448"/>
      <c r="D81" s="448"/>
      <c r="E81" s="448"/>
      <c r="F81" s="448"/>
      <c r="G81" s="448"/>
      <c r="H81" s="448"/>
      <c r="I81" s="448"/>
      <c r="J81" s="448"/>
      <c r="K81" s="448"/>
      <c r="L81" s="448"/>
      <c r="M81" s="448"/>
      <c r="N81" s="448"/>
      <c r="O81" s="448"/>
      <c r="P81" s="448"/>
      <c r="Q81" s="448"/>
      <c r="R81" s="448"/>
    </row>
    <row r="82" spans="1:20" s="319" customFormat="1" x14ac:dyDescent="0.2">
      <c r="A82" s="448"/>
      <c r="B82" s="560" t="s">
        <v>288</v>
      </c>
      <c r="C82" s="561">
        <v>1</v>
      </c>
      <c r="D82" s="448"/>
      <c r="E82" s="448"/>
      <c r="F82" s="448"/>
      <c r="G82" s="448"/>
      <c r="H82" s="448"/>
      <c r="I82" s="448"/>
      <c r="J82" s="448"/>
      <c r="K82" s="448"/>
      <c r="L82" s="448"/>
      <c r="M82" s="448"/>
      <c r="N82" s="448"/>
      <c r="O82" s="448"/>
      <c r="P82" s="448"/>
      <c r="Q82" s="448"/>
      <c r="R82" s="448"/>
    </row>
    <row r="83" spans="1:20" s="319" customFormat="1" x14ac:dyDescent="0.2">
      <c r="A83" s="448"/>
      <c r="B83" s="562" t="s">
        <v>289</v>
      </c>
      <c r="C83" s="563">
        <v>8</v>
      </c>
      <c r="D83" s="448"/>
      <c r="E83" s="448"/>
      <c r="F83" s="448"/>
      <c r="G83" s="448"/>
      <c r="H83" s="448"/>
      <c r="I83" s="448"/>
      <c r="J83" s="448"/>
      <c r="K83" s="448"/>
      <c r="L83" s="448"/>
      <c r="M83" s="448"/>
      <c r="N83" s="448"/>
      <c r="O83" s="448"/>
      <c r="P83" s="448"/>
      <c r="Q83" s="448"/>
      <c r="R83" s="448"/>
    </row>
    <row r="84" spans="1:20" s="319" customFormat="1" x14ac:dyDescent="0.2">
      <c r="A84" s="448"/>
      <c r="B84" s="562" t="s">
        <v>280</v>
      </c>
      <c r="C84" s="564">
        <f>Norms!B52</f>
        <v>0.09</v>
      </c>
      <c r="D84" s="448"/>
      <c r="E84" s="448"/>
      <c r="F84" s="448"/>
      <c r="G84" s="448"/>
      <c r="H84" s="448"/>
      <c r="I84" s="448"/>
      <c r="J84" s="448"/>
      <c r="K84" s="448"/>
      <c r="L84" s="448"/>
      <c r="M84" s="448"/>
      <c r="N84" s="448"/>
      <c r="O84" s="448"/>
      <c r="P84" s="448"/>
      <c r="Q84" s="448"/>
      <c r="R84" s="448"/>
    </row>
    <row r="85" spans="1:20" s="319" customFormat="1" x14ac:dyDescent="0.2">
      <c r="A85" s="448"/>
      <c r="B85" s="562" t="s">
        <v>290</v>
      </c>
      <c r="C85" s="565">
        <f>Capex!B75/100</f>
        <v>480.20278706250008</v>
      </c>
      <c r="D85" s="566"/>
      <c r="E85" s="448"/>
      <c r="F85" s="448"/>
      <c r="G85" s="448"/>
      <c r="H85" s="448"/>
      <c r="I85" s="448"/>
      <c r="J85" s="448"/>
      <c r="K85" s="448"/>
      <c r="L85" s="448"/>
      <c r="M85" s="448"/>
      <c r="N85" s="448"/>
      <c r="O85" s="448"/>
      <c r="P85" s="448"/>
      <c r="Q85" s="448"/>
      <c r="R85" s="448"/>
    </row>
    <row r="86" spans="1:20" s="319" customFormat="1" x14ac:dyDescent="0.2">
      <c r="A86" s="448"/>
      <c r="B86" s="562" t="s">
        <v>291</v>
      </c>
      <c r="C86" s="565">
        <f>C85/C83</f>
        <v>60.02534838281251</v>
      </c>
      <c r="D86" s="448"/>
      <c r="E86" s="448"/>
      <c r="F86" s="448"/>
      <c r="G86" s="448"/>
      <c r="H86" s="448"/>
      <c r="I86" s="448"/>
      <c r="J86" s="448"/>
      <c r="K86" s="448"/>
      <c r="L86" s="448"/>
      <c r="M86" s="448"/>
      <c r="N86" s="448"/>
      <c r="O86" s="448"/>
      <c r="P86" s="448"/>
      <c r="Q86" s="448"/>
      <c r="R86" s="448"/>
    </row>
    <row r="87" spans="1:20" s="319" customFormat="1" x14ac:dyDescent="0.2">
      <c r="A87" s="448"/>
      <c r="B87" s="448"/>
      <c r="C87" s="448"/>
      <c r="D87" s="448"/>
      <c r="E87" s="448"/>
      <c r="F87" s="448"/>
      <c r="G87" s="448"/>
      <c r="H87" s="448"/>
      <c r="I87" s="448"/>
      <c r="J87" s="448"/>
      <c r="K87" s="448"/>
      <c r="L87" s="448"/>
      <c r="M87" s="448"/>
      <c r="N87" s="448"/>
      <c r="O87" s="448"/>
      <c r="P87" s="448"/>
      <c r="Q87" s="448"/>
      <c r="R87" s="448"/>
    </row>
    <row r="88" spans="1:20" s="319" customFormat="1" x14ac:dyDescent="0.2">
      <c r="A88" s="567"/>
      <c r="B88" s="567"/>
      <c r="C88" s="568" t="s">
        <v>507</v>
      </c>
      <c r="D88" s="569">
        <v>-1</v>
      </c>
      <c r="E88" s="569">
        <v>1</v>
      </c>
      <c r="F88" s="569">
        <v>2</v>
      </c>
      <c r="G88" s="569">
        <v>3</v>
      </c>
      <c r="H88" s="569">
        <v>4</v>
      </c>
      <c r="I88" s="569">
        <v>5</v>
      </c>
      <c r="J88" s="569">
        <v>6</v>
      </c>
      <c r="K88" s="569">
        <v>7</v>
      </c>
      <c r="L88" s="569">
        <v>8</v>
      </c>
      <c r="M88" s="569">
        <v>9</v>
      </c>
      <c r="N88" s="569">
        <v>10</v>
      </c>
      <c r="O88" s="569">
        <v>11</v>
      </c>
      <c r="P88" s="569">
        <v>12</v>
      </c>
      <c r="Q88" s="569">
        <v>13</v>
      </c>
      <c r="R88" s="569">
        <v>14</v>
      </c>
      <c r="S88" s="451">
        <v>15</v>
      </c>
    </row>
    <row r="89" spans="1:20" s="319" customFormat="1" x14ac:dyDescent="0.2">
      <c r="A89" s="562"/>
      <c r="B89" s="562" t="s">
        <v>293</v>
      </c>
      <c r="C89" s="561"/>
      <c r="D89" s="561"/>
      <c r="E89" s="563">
        <f>IF(E88&lt;=$C$83,$C$86,0)</f>
        <v>60.02534838281251</v>
      </c>
      <c r="F89" s="563">
        <f t="shared" ref="F89:S89" si="48">IF(F88&lt;=$C$83,$C$86,0)</f>
        <v>60.02534838281251</v>
      </c>
      <c r="G89" s="563">
        <f t="shared" si="48"/>
        <v>60.02534838281251</v>
      </c>
      <c r="H89" s="563">
        <f t="shared" si="48"/>
        <v>60.02534838281251</v>
      </c>
      <c r="I89" s="563">
        <f t="shared" si="48"/>
        <v>60.02534838281251</v>
      </c>
      <c r="J89" s="563">
        <f t="shared" si="48"/>
        <v>60.02534838281251</v>
      </c>
      <c r="K89" s="563">
        <f t="shared" si="48"/>
        <v>60.02534838281251</v>
      </c>
      <c r="L89" s="563">
        <f t="shared" si="48"/>
        <v>60.02534838281251</v>
      </c>
      <c r="M89" s="563">
        <f t="shared" si="48"/>
        <v>0</v>
      </c>
      <c r="N89" s="563">
        <f t="shared" si="48"/>
        <v>0</v>
      </c>
      <c r="O89" s="563">
        <f t="shared" si="48"/>
        <v>0</v>
      </c>
      <c r="P89" s="563">
        <f t="shared" si="48"/>
        <v>0</v>
      </c>
      <c r="Q89" s="563">
        <f t="shared" si="48"/>
        <v>0</v>
      </c>
      <c r="R89" s="563">
        <f t="shared" si="48"/>
        <v>0</v>
      </c>
      <c r="S89" s="449">
        <f t="shared" si="48"/>
        <v>0</v>
      </c>
    </row>
    <row r="90" spans="1:20" s="319" customFormat="1" x14ac:dyDescent="0.2">
      <c r="A90" s="562"/>
      <c r="B90" s="562" t="s">
        <v>294</v>
      </c>
      <c r="C90" s="565"/>
      <c r="D90" s="565"/>
      <c r="E90" s="565">
        <f>C85</f>
        <v>480.20278706250008</v>
      </c>
      <c r="F90" s="565">
        <f>E90-E89</f>
        <v>420.17743867968755</v>
      </c>
      <c r="G90" s="565">
        <f t="shared" ref="G90:S90" si="49">F90-F89</f>
        <v>360.15209029687503</v>
      </c>
      <c r="H90" s="565">
        <f t="shared" si="49"/>
        <v>300.12674191406251</v>
      </c>
      <c r="I90" s="565">
        <f t="shared" si="49"/>
        <v>240.10139353124998</v>
      </c>
      <c r="J90" s="565">
        <f t="shared" si="49"/>
        <v>180.07604514843746</v>
      </c>
      <c r="K90" s="565">
        <f t="shared" si="49"/>
        <v>120.05069676562495</v>
      </c>
      <c r="L90" s="565">
        <f t="shared" si="49"/>
        <v>60.025348382812439</v>
      </c>
      <c r="M90" s="565">
        <f t="shared" si="49"/>
        <v>-7.1054273576010019E-14</v>
      </c>
      <c r="N90" s="565">
        <f t="shared" si="49"/>
        <v>-7.1054273576010019E-14</v>
      </c>
      <c r="O90" s="565">
        <f t="shared" si="49"/>
        <v>-7.1054273576010019E-14</v>
      </c>
      <c r="P90" s="565">
        <f t="shared" si="49"/>
        <v>-7.1054273576010019E-14</v>
      </c>
      <c r="Q90" s="565">
        <f t="shared" si="49"/>
        <v>-7.1054273576010019E-14</v>
      </c>
      <c r="R90" s="565">
        <f t="shared" si="49"/>
        <v>-7.1054273576010019E-14</v>
      </c>
      <c r="S90" s="450">
        <f t="shared" si="49"/>
        <v>-7.1054273576010019E-14</v>
      </c>
    </row>
    <row r="91" spans="1:20" s="319" customFormat="1" x14ac:dyDescent="0.2">
      <c r="A91" s="562"/>
      <c r="B91" s="562" t="s">
        <v>506</v>
      </c>
      <c r="C91" s="563"/>
      <c r="D91" s="563"/>
      <c r="E91" s="563">
        <f t="shared" ref="E91:S91" si="50">E90*$C$84</f>
        <v>43.218250835625007</v>
      </c>
      <c r="F91" s="563">
        <f t="shared" si="50"/>
        <v>37.815969481171877</v>
      </c>
      <c r="G91" s="563">
        <f t="shared" si="50"/>
        <v>32.413688126718753</v>
      </c>
      <c r="H91" s="563">
        <f t="shared" si="50"/>
        <v>27.011406772265623</v>
      </c>
      <c r="I91" s="563">
        <f t="shared" si="50"/>
        <v>21.609125417812496</v>
      </c>
      <c r="J91" s="563">
        <f t="shared" si="50"/>
        <v>16.20684406335937</v>
      </c>
      <c r="K91" s="563">
        <f t="shared" si="50"/>
        <v>10.804562708906245</v>
      </c>
      <c r="L91" s="563">
        <f t="shared" si="50"/>
        <v>5.4022813544531196</v>
      </c>
      <c r="M91" s="563">
        <f t="shared" si="50"/>
        <v>-6.394884621840901E-15</v>
      </c>
      <c r="N91" s="563">
        <f t="shared" si="50"/>
        <v>-6.394884621840901E-15</v>
      </c>
      <c r="O91" s="563">
        <f t="shared" si="50"/>
        <v>-6.394884621840901E-15</v>
      </c>
      <c r="P91" s="563">
        <f t="shared" si="50"/>
        <v>-6.394884621840901E-15</v>
      </c>
      <c r="Q91" s="563">
        <f t="shared" si="50"/>
        <v>-6.394884621840901E-15</v>
      </c>
      <c r="R91" s="563">
        <f t="shared" si="50"/>
        <v>-6.394884621840901E-15</v>
      </c>
      <c r="S91" s="449">
        <f t="shared" si="50"/>
        <v>-6.394884621840901E-15</v>
      </c>
    </row>
    <row r="92" spans="1:20" s="319" customFormat="1" x14ac:dyDescent="0.2">
      <c r="A92" s="349"/>
      <c r="B92" s="349"/>
      <c r="C92" s="349"/>
      <c r="D92" s="349"/>
      <c r="E92" s="349"/>
      <c r="F92" s="349"/>
      <c r="G92" s="349"/>
      <c r="H92" s="349"/>
      <c r="I92" s="349"/>
      <c r="J92" s="349"/>
      <c r="K92" s="349"/>
      <c r="L92" s="349"/>
      <c r="M92" s="349"/>
      <c r="N92" s="349"/>
      <c r="O92" s="349"/>
      <c r="P92" s="349"/>
      <c r="Q92" s="349"/>
      <c r="R92" s="349"/>
    </row>
    <row r="93" spans="1:20" s="1" customFormat="1" x14ac:dyDescent="0.2">
      <c r="A93" s="349"/>
      <c r="B93" s="349"/>
      <c r="C93" s="349"/>
      <c r="D93" s="349"/>
      <c r="E93" s="349"/>
      <c r="F93" s="349"/>
      <c r="G93" s="349"/>
      <c r="H93" s="349"/>
      <c r="I93" s="349"/>
      <c r="J93" s="349"/>
      <c r="K93" s="349"/>
      <c r="L93" s="349"/>
      <c r="M93" s="349"/>
      <c r="N93" s="349"/>
      <c r="O93" s="349"/>
      <c r="P93" s="349"/>
      <c r="Q93" s="349"/>
      <c r="R93" s="349"/>
    </row>
    <row r="94" spans="1:20" s="319" customFormat="1" x14ac:dyDescent="0.2">
      <c r="A94" s="746" t="s">
        <v>373</v>
      </c>
      <c r="B94" s="746"/>
      <c r="C94" s="746"/>
      <c r="D94" s="746"/>
      <c r="E94" s="746"/>
      <c r="F94" s="746"/>
      <c r="G94" s="746"/>
      <c r="H94" s="746"/>
      <c r="I94" s="746"/>
      <c r="J94" s="746"/>
      <c r="K94" s="746"/>
      <c r="L94" s="746"/>
      <c r="M94" s="746"/>
      <c r="N94" s="746"/>
      <c r="O94" s="746"/>
      <c r="P94" s="746"/>
      <c r="Q94" s="746"/>
      <c r="R94" s="349"/>
    </row>
    <row r="95" spans="1:20" s="319" customFormat="1" x14ac:dyDescent="0.2">
      <c r="A95" s="570" t="s">
        <v>332</v>
      </c>
      <c r="B95" s="571" t="s">
        <v>333</v>
      </c>
      <c r="C95" s="572" t="s">
        <v>362</v>
      </c>
      <c r="D95" s="572" t="s">
        <v>334</v>
      </c>
      <c r="E95" s="572" t="s">
        <v>335</v>
      </c>
      <c r="F95" s="572" t="s">
        <v>336</v>
      </c>
      <c r="G95" s="572" t="s">
        <v>337</v>
      </c>
      <c r="H95" s="572" t="s">
        <v>338</v>
      </c>
      <c r="I95" s="572" t="s">
        <v>339</v>
      </c>
      <c r="J95" s="572" t="s">
        <v>340</v>
      </c>
      <c r="K95" s="572" t="s">
        <v>341</v>
      </c>
      <c r="L95" s="572" t="s">
        <v>342</v>
      </c>
      <c r="M95" s="572">
        <v>11</v>
      </c>
      <c r="N95" s="572" t="s">
        <v>344</v>
      </c>
      <c r="O95" s="572" t="s">
        <v>345</v>
      </c>
      <c r="P95" s="572" t="s">
        <v>346</v>
      </c>
      <c r="Q95" s="572" t="s">
        <v>347</v>
      </c>
      <c r="R95" s="572" t="s">
        <v>374</v>
      </c>
      <c r="S95" s="452" t="s">
        <v>375</v>
      </c>
      <c r="T95" s="452" t="s">
        <v>376</v>
      </c>
    </row>
    <row r="96" spans="1:20" s="319" customFormat="1" x14ac:dyDescent="0.2">
      <c r="A96" s="570" t="s">
        <v>348</v>
      </c>
      <c r="B96" s="571"/>
      <c r="C96" s="573"/>
      <c r="D96" s="573"/>
      <c r="E96" s="573"/>
      <c r="F96" s="573"/>
      <c r="G96" s="573"/>
      <c r="H96" s="573"/>
      <c r="I96" s="573"/>
      <c r="J96" s="573"/>
      <c r="K96" s="573"/>
      <c r="L96" s="573"/>
      <c r="M96" s="573"/>
      <c r="N96" s="573"/>
      <c r="O96" s="573"/>
      <c r="P96" s="573"/>
      <c r="Q96" s="573"/>
      <c r="R96" s="573"/>
      <c r="S96" s="453"/>
      <c r="T96" s="453"/>
    </row>
    <row r="97" spans="1:21" s="319" customFormat="1" x14ac:dyDescent="0.2">
      <c r="A97" s="574">
        <v>1</v>
      </c>
      <c r="B97" s="575" t="s">
        <v>377</v>
      </c>
      <c r="C97" s="576">
        <f t="shared" ref="C97:T97" si="51">F24</f>
        <v>138.2038338928125</v>
      </c>
      <c r="D97" s="576">
        <f t="shared" si="51"/>
        <v>192.12316100174996</v>
      </c>
      <c r="E97" s="576">
        <f t="shared" si="51"/>
        <v>202.70793652668746</v>
      </c>
      <c r="F97" s="576">
        <f t="shared" si="51"/>
        <v>202.70793652668746</v>
      </c>
      <c r="G97" s="576">
        <f t="shared" si="51"/>
        <v>202.70793652668746</v>
      </c>
      <c r="H97" s="576">
        <f t="shared" si="51"/>
        <v>202.70793652668746</v>
      </c>
      <c r="I97" s="576">
        <f t="shared" si="51"/>
        <v>202.70793652668746</v>
      </c>
      <c r="J97" s="576">
        <f t="shared" si="51"/>
        <v>202.70793652668746</v>
      </c>
      <c r="K97" s="576">
        <f t="shared" si="51"/>
        <v>202.70793652668746</v>
      </c>
      <c r="L97" s="576">
        <f t="shared" si="51"/>
        <v>202.70793652668746</v>
      </c>
      <c r="M97" s="576">
        <f t="shared" si="51"/>
        <v>194.50241194465619</v>
      </c>
      <c r="N97" s="576">
        <f t="shared" si="51"/>
        <v>194.50241194465619</v>
      </c>
      <c r="O97" s="576">
        <f t="shared" si="51"/>
        <v>194.50241194465619</v>
      </c>
      <c r="P97" s="576">
        <f t="shared" si="51"/>
        <v>202.70793652668746</v>
      </c>
      <c r="Q97" s="576">
        <f t="shared" si="51"/>
        <v>202.70793652668746</v>
      </c>
      <c r="R97" s="576">
        <f t="shared" si="51"/>
        <v>0</v>
      </c>
      <c r="S97" s="454">
        <f t="shared" si="51"/>
        <v>0</v>
      </c>
      <c r="T97" s="454">
        <f t="shared" si="51"/>
        <v>0</v>
      </c>
    </row>
    <row r="98" spans="1:21" s="319" customFormat="1" x14ac:dyDescent="0.2">
      <c r="A98" s="574">
        <v>2</v>
      </c>
      <c r="B98" s="575" t="s">
        <v>378</v>
      </c>
      <c r="C98" s="576">
        <f t="shared" ref="C98:T98" si="52">F27</f>
        <v>36.819759775000009</v>
      </c>
      <c r="D98" s="576">
        <f t="shared" si="52"/>
        <v>36.819759775000009</v>
      </c>
      <c r="E98" s="576">
        <f t="shared" si="52"/>
        <v>36.819759775000009</v>
      </c>
      <c r="F98" s="576">
        <f t="shared" si="52"/>
        <v>36.819759775000009</v>
      </c>
      <c r="G98" s="576">
        <f t="shared" si="52"/>
        <v>36.819759775000009</v>
      </c>
      <c r="H98" s="576">
        <f t="shared" si="52"/>
        <v>36.819759775000009</v>
      </c>
      <c r="I98" s="576">
        <f t="shared" si="52"/>
        <v>36.819759775000009</v>
      </c>
      <c r="J98" s="576">
        <f t="shared" si="52"/>
        <v>36.819759775000009</v>
      </c>
      <c r="K98" s="576">
        <f t="shared" si="52"/>
        <v>36.819759775000009</v>
      </c>
      <c r="L98" s="576">
        <f t="shared" si="52"/>
        <v>36.819759775000009</v>
      </c>
      <c r="M98" s="576">
        <f t="shared" si="52"/>
        <v>36.819759775000009</v>
      </c>
      <c r="N98" s="576">
        <f t="shared" si="52"/>
        <v>36.819759775000009</v>
      </c>
      <c r="O98" s="576">
        <f t="shared" si="52"/>
        <v>36.819759775000009</v>
      </c>
      <c r="P98" s="576">
        <f t="shared" si="52"/>
        <v>36.819759775000009</v>
      </c>
      <c r="Q98" s="576">
        <f t="shared" si="52"/>
        <v>36.819759775000009</v>
      </c>
      <c r="R98" s="576">
        <f t="shared" si="52"/>
        <v>0</v>
      </c>
      <c r="S98" s="454">
        <f t="shared" si="52"/>
        <v>0</v>
      </c>
      <c r="T98" s="454">
        <f t="shared" si="52"/>
        <v>0</v>
      </c>
    </row>
    <row r="99" spans="1:21" s="319" customFormat="1" x14ac:dyDescent="0.2">
      <c r="A99" s="574">
        <v>3</v>
      </c>
      <c r="B99" s="577" t="s">
        <v>379</v>
      </c>
      <c r="C99" s="576">
        <f>Depreciation!D20</f>
        <v>87.456012500000014</v>
      </c>
      <c r="D99" s="576">
        <f>Depreciation!E20</f>
        <v>74.378885625000009</v>
      </c>
      <c r="E99" s="576">
        <f>Depreciation!F20</f>
        <v>63.25920028125001</v>
      </c>
      <c r="F99" s="576">
        <f>Depreciation!G20</f>
        <v>53.803752989062517</v>
      </c>
      <c r="G99" s="576">
        <f>Depreciation!H20</f>
        <v>45.763279515703132</v>
      </c>
      <c r="H99" s="576">
        <f>Depreciation!I20</f>
        <v>38.925868115847663</v>
      </c>
      <c r="I99" s="576">
        <f>Depreciation!J20</f>
        <v>33.111360373220521</v>
      </c>
      <c r="J99" s="576">
        <f>Depreciation!K20</f>
        <v>28.166591544512432</v>
      </c>
      <c r="K99" s="576">
        <f>Depreciation!L20</f>
        <v>23.961344517383068</v>
      </c>
      <c r="L99" s="576">
        <f>Depreciation!M20</f>
        <v>20.384910373868358</v>
      </c>
      <c r="M99" s="576">
        <f>Depreciation!N20</f>
        <v>17.343164598471581</v>
      </c>
      <c r="N99" s="576">
        <f>Depreciation!O20</f>
        <v>14.75608161131597</v>
      </c>
      <c r="O99" s="576">
        <f>Depreciation!P20</f>
        <v>12.555621901972192</v>
      </c>
      <c r="P99" s="576">
        <f>Depreciation!Q20</f>
        <v>10.683935895794612</v>
      </c>
      <c r="Q99" s="576">
        <f>Depreciation!R20</f>
        <v>9.0918370626318463</v>
      </c>
      <c r="R99" s="576">
        <f>Depreciation!S20</f>
        <v>0</v>
      </c>
      <c r="S99" s="454">
        <f>Depreciation!T20</f>
        <v>0</v>
      </c>
      <c r="T99" s="454">
        <f>Depreciation!U20</f>
        <v>0</v>
      </c>
    </row>
    <row r="100" spans="1:21" s="319" customFormat="1" x14ac:dyDescent="0.2">
      <c r="A100" s="574">
        <v>4</v>
      </c>
      <c r="B100" s="575" t="s">
        <v>508</v>
      </c>
      <c r="C100" s="576">
        <f>C97+C98-C99</f>
        <v>87.567581167812506</v>
      </c>
      <c r="D100" s="576">
        <f t="shared" ref="D100:K100" si="53">D97+D98-D99</f>
        <v>154.56403515174998</v>
      </c>
      <c r="E100" s="576">
        <f t="shared" si="53"/>
        <v>176.26849602043745</v>
      </c>
      <c r="F100" s="576">
        <f t="shared" si="53"/>
        <v>185.72394331262495</v>
      </c>
      <c r="G100" s="576">
        <f t="shared" si="53"/>
        <v>193.76441678598434</v>
      </c>
      <c r="H100" s="576">
        <f t="shared" si="53"/>
        <v>200.60182818583979</v>
      </c>
      <c r="I100" s="576">
        <f t="shared" si="53"/>
        <v>206.41633592846694</v>
      </c>
      <c r="J100" s="576">
        <f t="shared" si="53"/>
        <v>211.36110475717501</v>
      </c>
      <c r="K100" s="576">
        <f t="shared" si="53"/>
        <v>215.5663517843044</v>
      </c>
      <c r="L100" s="576">
        <f>L97+L98-L99</f>
        <v>219.14278592781909</v>
      </c>
      <c r="M100" s="576">
        <f t="shared" ref="M100" si="54">M97+M98-M99</f>
        <v>213.97900712118459</v>
      </c>
      <c r="N100" s="576">
        <f t="shared" ref="N100" si="55">N97+N98-N99</f>
        <v>216.56609010834021</v>
      </c>
      <c r="O100" s="576">
        <f t="shared" ref="O100" si="56">O97+O98-O99</f>
        <v>218.76654981768399</v>
      </c>
      <c r="P100" s="576">
        <f t="shared" ref="P100" si="57">P97+P98-P99</f>
        <v>228.84376040589285</v>
      </c>
      <c r="Q100" s="576">
        <f t="shared" ref="Q100" si="58">Q97+Q98-Q99</f>
        <v>230.43585923905562</v>
      </c>
      <c r="R100" s="576">
        <f t="shared" ref="R100" si="59">R97+R98-R99</f>
        <v>0</v>
      </c>
      <c r="S100" s="454">
        <f t="shared" ref="S100" si="60">S97+S98-S99</f>
        <v>0</v>
      </c>
      <c r="T100" s="455">
        <f t="shared" ref="T100" si="61">T97+T98-T99</f>
        <v>0</v>
      </c>
    </row>
    <row r="101" spans="1:21" s="319" customFormat="1" x14ac:dyDescent="0.2">
      <c r="A101" s="574">
        <v>5</v>
      </c>
      <c r="B101" s="575" t="s">
        <v>380</v>
      </c>
      <c r="C101" s="576">
        <v>0</v>
      </c>
      <c r="D101" s="576">
        <f>IF(C102&gt;0,0,C102)</f>
        <v>0</v>
      </c>
      <c r="E101" s="576">
        <f t="shared" ref="E101:T101" si="62">IF(D102&gt;0,0,D102)</f>
        <v>0</v>
      </c>
      <c r="F101" s="576">
        <f t="shared" si="62"/>
        <v>0</v>
      </c>
      <c r="G101" s="576">
        <f t="shared" si="62"/>
        <v>0</v>
      </c>
      <c r="H101" s="576">
        <f t="shared" si="62"/>
        <v>0</v>
      </c>
      <c r="I101" s="576">
        <f t="shared" si="62"/>
        <v>0</v>
      </c>
      <c r="J101" s="576">
        <f t="shared" si="62"/>
        <v>0</v>
      </c>
      <c r="K101" s="576">
        <f t="shared" si="62"/>
        <v>0</v>
      </c>
      <c r="L101" s="576">
        <f t="shared" si="62"/>
        <v>0</v>
      </c>
      <c r="M101" s="576">
        <f t="shared" si="62"/>
        <v>0</v>
      </c>
      <c r="N101" s="576">
        <f t="shared" si="62"/>
        <v>0</v>
      </c>
      <c r="O101" s="576">
        <f t="shared" si="62"/>
        <v>0</v>
      </c>
      <c r="P101" s="576">
        <f t="shared" si="62"/>
        <v>0</v>
      </c>
      <c r="Q101" s="576">
        <f t="shared" si="62"/>
        <v>0</v>
      </c>
      <c r="R101" s="576">
        <f t="shared" si="62"/>
        <v>0</v>
      </c>
      <c r="S101" s="455">
        <f t="shared" si="62"/>
        <v>0</v>
      </c>
      <c r="T101" s="455">
        <f t="shared" si="62"/>
        <v>0</v>
      </c>
    </row>
    <row r="102" spans="1:21" s="319" customFormat="1" x14ac:dyDescent="0.2">
      <c r="A102" s="574">
        <v>6</v>
      </c>
      <c r="B102" s="575" t="s">
        <v>381</v>
      </c>
      <c r="C102" s="576">
        <f>C100+C101</f>
        <v>87.567581167812506</v>
      </c>
      <c r="D102" s="576">
        <f t="shared" ref="D102:T102" si="63">D100+D101</f>
        <v>154.56403515174998</v>
      </c>
      <c r="E102" s="576">
        <f t="shared" si="63"/>
        <v>176.26849602043745</v>
      </c>
      <c r="F102" s="576">
        <f t="shared" si="63"/>
        <v>185.72394331262495</v>
      </c>
      <c r="G102" s="576">
        <f t="shared" si="63"/>
        <v>193.76441678598434</v>
      </c>
      <c r="H102" s="576">
        <f t="shared" si="63"/>
        <v>200.60182818583979</v>
      </c>
      <c r="I102" s="576">
        <f t="shared" si="63"/>
        <v>206.41633592846694</v>
      </c>
      <c r="J102" s="576">
        <f t="shared" si="63"/>
        <v>211.36110475717501</v>
      </c>
      <c r="K102" s="576">
        <f t="shared" si="63"/>
        <v>215.5663517843044</v>
      </c>
      <c r="L102" s="576">
        <f t="shared" si="63"/>
        <v>219.14278592781909</v>
      </c>
      <c r="M102" s="576">
        <f t="shared" si="63"/>
        <v>213.97900712118459</v>
      </c>
      <c r="N102" s="576">
        <f t="shared" si="63"/>
        <v>216.56609010834021</v>
      </c>
      <c r="O102" s="576">
        <f t="shared" si="63"/>
        <v>218.76654981768399</v>
      </c>
      <c r="P102" s="576">
        <f t="shared" si="63"/>
        <v>228.84376040589285</v>
      </c>
      <c r="Q102" s="576">
        <f t="shared" si="63"/>
        <v>230.43585923905562</v>
      </c>
      <c r="R102" s="576">
        <f t="shared" si="63"/>
        <v>0</v>
      </c>
      <c r="S102" s="455">
        <f t="shared" si="63"/>
        <v>0</v>
      </c>
      <c r="T102" s="455">
        <f t="shared" si="63"/>
        <v>0</v>
      </c>
    </row>
    <row r="103" spans="1:21" s="319" customFormat="1" x14ac:dyDescent="0.2">
      <c r="A103" s="574">
        <v>7</v>
      </c>
      <c r="B103" s="575" t="s">
        <v>382</v>
      </c>
      <c r="C103" s="576">
        <f>IF(C102&gt;0,C102*$C$51,0)</f>
        <v>30.599615563280405</v>
      </c>
      <c r="D103" s="576">
        <f t="shared" ref="D103:R103" si="64">IF(D102&gt;0,D102*$C$51,0)</f>
        <v>54.010856443427514</v>
      </c>
      <c r="E103" s="576">
        <f t="shared" si="64"/>
        <v>61.595263249381667</v>
      </c>
      <c r="F103" s="576">
        <f t="shared" si="64"/>
        <v>64.899374751163663</v>
      </c>
      <c r="G103" s="576">
        <f t="shared" si="64"/>
        <v>67.709037801694379</v>
      </c>
      <c r="H103" s="576">
        <f t="shared" si="64"/>
        <v>70.098302841259866</v>
      </c>
      <c r="I103" s="576">
        <f t="shared" si="64"/>
        <v>72.130124426843494</v>
      </c>
      <c r="J103" s="576">
        <f t="shared" si="64"/>
        <v>73.858024446347244</v>
      </c>
      <c r="K103" s="576">
        <f t="shared" si="64"/>
        <v>75.327505967507335</v>
      </c>
      <c r="L103" s="576">
        <f t="shared" si="64"/>
        <v>76.577255114617103</v>
      </c>
      <c r="M103" s="576">
        <f t="shared" si="64"/>
        <v>74.772824248426744</v>
      </c>
      <c r="N103" s="576">
        <f t="shared" si="64"/>
        <v>75.676854527458403</v>
      </c>
      <c r="O103" s="576">
        <f t="shared" si="64"/>
        <v>76.445783168291499</v>
      </c>
      <c r="P103" s="576">
        <f t="shared" si="64"/>
        <v>79.967163636235199</v>
      </c>
      <c r="Q103" s="576">
        <f t="shared" si="64"/>
        <v>80.523506652495598</v>
      </c>
      <c r="R103" s="576">
        <f t="shared" si="64"/>
        <v>0</v>
      </c>
      <c r="S103" s="454">
        <f>IF(S102&gt;0,S102*$C$84,0)</f>
        <v>0</v>
      </c>
      <c r="T103" s="454">
        <f>IF(T102&gt;0,T102*$C$84,0)</f>
        <v>0</v>
      </c>
    </row>
    <row r="104" spans="1:21" s="319" customFormat="1" x14ac:dyDescent="0.2">
      <c r="A104" s="574">
        <v>8</v>
      </c>
      <c r="B104" s="575" t="s">
        <v>383</v>
      </c>
      <c r="C104" s="576">
        <f t="shared" ref="C104:T104" si="65">IF(F28&gt;0,F28*$D$51,0)</f>
        <v>10.017776632640071</v>
      </c>
      <c r="D104" s="576">
        <f t="shared" si="65"/>
        <v>20.363969171780788</v>
      </c>
      <c r="E104" s="576">
        <f t="shared" si="65"/>
        <v>23.12950941237359</v>
      </c>
      <c r="F104" s="576">
        <f t="shared" si="65"/>
        <v>24.07339601062364</v>
      </c>
      <c r="G104" s="576">
        <f t="shared" si="65"/>
        <v>25.017282608873689</v>
      </c>
      <c r="H104" s="576">
        <f t="shared" si="65"/>
        <v>25.961169207123739</v>
      </c>
      <c r="I104" s="576">
        <f t="shared" si="65"/>
        <v>26.905055805373788</v>
      </c>
      <c r="J104" s="576">
        <f t="shared" si="65"/>
        <v>27.848942403623841</v>
      </c>
      <c r="K104" s="576">
        <f t="shared" si="65"/>
        <v>28.792829001873891</v>
      </c>
      <c r="L104" s="576">
        <f t="shared" si="65"/>
        <v>28.792829001873891</v>
      </c>
      <c r="M104" s="576">
        <f t="shared" si="65"/>
        <v>27.363069753960399</v>
      </c>
      <c r="N104" s="576">
        <f t="shared" si="65"/>
        <v>27.363069753960399</v>
      </c>
      <c r="O104" s="576">
        <f t="shared" si="65"/>
        <v>27.363069753960399</v>
      </c>
      <c r="P104" s="576">
        <f t="shared" si="65"/>
        <v>28.792829001873891</v>
      </c>
      <c r="Q104" s="576">
        <f t="shared" si="65"/>
        <v>28.792829001873891</v>
      </c>
      <c r="R104" s="576">
        <f t="shared" si="65"/>
        <v>0</v>
      </c>
      <c r="S104" s="454">
        <f t="shared" si="65"/>
        <v>0</v>
      </c>
      <c r="T104" s="454">
        <f t="shared" si="65"/>
        <v>0</v>
      </c>
    </row>
    <row r="105" spans="1:21" s="319" customFormat="1" x14ac:dyDescent="0.2">
      <c r="A105" s="574">
        <v>9</v>
      </c>
      <c r="B105" s="575" t="s">
        <v>384</v>
      </c>
      <c r="C105" s="578">
        <f>IF(C103&gt;C104,C103,C104)</f>
        <v>30.599615563280405</v>
      </c>
      <c r="D105" s="578">
        <f t="shared" ref="D105:T105" si="66">IF(D103&gt;D104,D103,D104)</f>
        <v>54.010856443427514</v>
      </c>
      <c r="E105" s="578">
        <f t="shared" si="66"/>
        <v>61.595263249381667</v>
      </c>
      <c r="F105" s="578">
        <f t="shared" si="66"/>
        <v>64.899374751163663</v>
      </c>
      <c r="G105" s="578">
        <f t="shared" si="66"/>
        <v>67.709037801694379</v>
      </c>
      <c r="H105" s="578">
        <f t="shared" si="66"/>
        <v>70.098302841259866</v>
      </c>
      <c r="I105" s="578">
        <f t="shared" si="66"/>
        <v>72.130124426843494</v>
      </c>
      <c r="J105" s="578">
        <f t="shared" si="66"/>
        <v>73.858024446347244</v>
      </c>
      <c r="K105" s="578">
        <f t="shared" si="66"/>
        <v>75.327505967507335</v>
      </c>
      <c r="L105" s="578">
        <f t="shared" si="66"/>
        <v>76.577255114617103</v>
      </c>
      <c r="M105" s="578">
        <f t="shared" si="66"/>
        <v>74.772824248426744</v>
      </c>
      <c r="N105" s="578">
        <f t="shared" si="66"/>
        <v>75.676854527458403</v>
      </c>
      <c r="O105" s="578">
        <f t="shared" si="66"/>
        <v>76.445783168291499</v>
      </c>
      <c r="P105" s="578">
        <f t="shared" si="66"/>
        <v>79.967163636235199</v>
      </c>
      <c r="Q105" s="578">
        <f t="shared" si="66"/>
        <v>80.523506652495598</v>
      </c>
      <c r="R105" s="578">
        <f t="shared" si="66"/>
        <v>0</v>
      </c>
      <c r="S105" s="456">
        <f t="shared" si="66"/>
        <v>0</v>
      </c>
      <c r="T105" s="456">
        <f t="shared" si="66"/>
        <v>0</v>
      </c>
    </row>
    <row r="106" spans="1:21" s="319" customFormat="1" x14ac:dyDescent="0.2">
      <c r="A106" s="574">
        <v>10</v>
      </c>
      <c r="B106" s="579" t="s">
        <v>385</v>
      </c>
      <c r="C106" s="580">
        <f>IF(C104&gt;C103,SUM($C$104:C104),0)</f>
        <v>0</v>
      </c>
      <c r="D106" s="580">
        <f>IF(D104&gt;D103,SUM($C$104:D104),0)</f>
        <v>0</v>
      </c>
      <c r="E106" s="580">
        <f>IF(E104&gt;E103,SUM($C$104:E104),0)</f>
        <v>0</v>
      </c>
      <c r="F106" s="580">
        <f>IF(F104&gt;F103,SUM($C$104:F104),0)</f>
        <v>0</v>
      </c>
      <c r="G106" s="580">
        <f>IF(G104&gt;G103,SUM($C$104:G104),0)</f>
        <v>0</v>
      </c>
      <c r="H106" s="580">
        <f>IF(H104&gt;H103,SUM($C$104:H104),0)</f>
        <v>0</v>
      </c>
      <c r="I106" s="580">
        <f>IF(I104&gt;I103,SUM($C$104:I104),0)</f>
        <v>0</v>
      </c>
      <c r="J106" s="580">
        <f>IF(J104&gt;J103,SUM($C$104:J104),0)</f>
        <v>0</v>
      </c>
      <c r="K106" s="580">
        <f>IF(K104&gt;K103,SUM($C$104:K104),0)</f>
        <v>0</v>
      </c>
      <c r="L106" s="580">
        <f>IF(L104&gt;L103,SUM($C$104:L104),0)</f>
        <v>0</v>
      </c>
      <c r="M106" s="580">
        <f>IF(M104&gt;M103,SUM($C$104:M104),0)</f>
        <v>0</v>
      </c>
      <c r="N106" s="580">
        <f>IF(N104&gt;N103,SUM($C$104:N104),0)</f>
        <v>0</v>
      </c>
      <c r="O106" s="580">
        <f>IF(O104&gt;O103,SUM($C$104:O104),0)</f>
        <v>0</v>
      </c>
      <c r="P106" s="580">
        <f>IF(P104&gt;P103,SUM($C$104:P104),0)</f>
        <v>0</v>
      </c>
      <c r="Q106" s="580">
        <f>IF(Q104&gt;Q103,SUM($C$104:Q104),0)</f>
        <v>0</v>
      </c>
      <c r="R106" s="580">
        <f>IF(R104&gt;R103,SUM($C$104:R104),0)</f>
        <v>0</v>
      </c>
      <c r="S106" s="457">
        <f>IF(S104&gt;S103,SUM($C104:S$200),0)</f>
        <v>0</v>
      </c>
      <c r="T106" s="457">
        <f>IF(T104&gt;T103,SUM($C104:T$200),0)</f>
        <v>0</v>
      </c>
    </row>
    <row r="107" spans="1:21" s="319" customFormat="1" x14ac:dyDescent="0.2">
      <c r="A107" s="574">
        <v>11</v>
      </c>
      <c r="B107" s="575" t="s">
        <v>386</v>
      </c>
      <c r="C107" s="581">
        <f t="shared" ref="C107:T107" si="67">IF(C113&gt;0,C113,0)</f>
        <v>0</v>
      </c>
      <c r="D107" s="581">
        <f t="shared" si="67"/>
        <v>0</v>
      </c>
      <c r="E107" s="581">
        <f t="shared" si="67"/>
        <v>0</v>
      </c>
      <c r="F107" s="581">
        <f t="shared" si="67"/>
        <v>0</v>
      </c>
      <c r="G107" s="581">
        <f t="shared" si="67"/>
        <v>0</v>
      </c>
      <c r="H107" s="581">
        <f t="shared" si="67"/>
        <v>0</v>
      </c>
      <c r="I107" s="581">
        <f t="shared" si="67"/>
        <v>0</v>
      </c>
      <c r="J107" s="581">
        <f t="shared" si="67"/>
        <v>0</v>
      </c>
      <c r="K107" s="581">
        <f t="shared" si="67"/>
        <v>0</v>
      </c>
      <c r="L107" s="581">
        <f t="shared" si="67"/>
        <v>0</v>
      </c>
      <c r="M107" s="581">
        <f t="shared" si="67"/>
        <v>0</v>
      </c>
      <c r="N107" s="581">
        <f t="shared" si="67"/>
        <v>0</v>
      </c>
      <c r="O107" s="581">
        <f t="shared" si="67"/>
        <v>0</v>
      </c>
      <c r="P107" s="581">
        <f t="shared" si="67"/>
        <v>0</v>
      </c>
      <c r="Q107" s="581">
        <f t="shared" si="67"/>
        <v>0</v>
      </c>
      <c r="R107" s="581">
        <f t="shared" si="67"/>
        <v>0</v>
      </c>
      <c r="S107" s="458" t="e">
        <f t="shared" si="67"/>
        <v>#REF!</v>
      </c>
      <c r="T107" s="458" t="e">
        <f t="shared" si="67"/>
        <v>#REF!</v>
      </c>
    </row>
    <row r="108" spans="1:21" s="319" customFormat="1" x14ac:dyDescent="0.2">
      <c r="A108" s="574">
        <v>12</v>
      </c>
      <c r="B108" s="571" t="s">
        <v>387</v>
      </c>
      <c r="C108" s="580">
        <f>IF(C104&gt;C103,C104,C103)-C107</f>
        <v>30.599615563280405</v>
      </c>
      <c r="D108" s="580">
        <f t="shared" ref="D108:T108" si="68">IF(D104&gt;D103,D104,D103)-D107</f>
        <v>54.010856443427514</v>
      </c>
      <c r="E108" s="580">
        <f t="shared" si="68"/>
        <v>61.595263249381667</v>
      </c>
      <c r="F108" s="580">
        <f t="shared" si="68"/>
        <v>64.899374751163663</v>
      </c>
      <c r="G108" s="580">
        <f t="shared" si="68"/>
        <v>67.709037801694379</v>
      </c>
      <c r="H108" s="580">
        <f t="shared" si="68"/>
        <v>70.098302841259866</v>
      </c>
      <c r="I108" s="580">
        <f>IF(I104&gt;I103,I104,I103)-I107</f>
        <v>72.130124426843494</v>
      </c>
      <c r="J108" s="580">
        <f t="shared" si="68"/>
        <v>73.858024446347244</v>
      </c>
      <c r="K108" s="580">
        <f t="shared" si="68"/>
        <v>75.327505967507335</v>
      </c>
      <c r="L108" s="580">
        <f t="shared" si="68"/>
        <v>76.577255114617103</v>
      </c>
      <c r="M108" s="580">
        <f t="shared" si="68"/>
        <v>74.772824248426744</v>
      </c>
      <c r="N108" s="580">
        <f t="shared" si="68"/>
        <v>75.676854527458403</v>
      </c>
      <c r="O108" s="580">
        <f t="shared" si="68"/>
        <v>76.445783168291499</v>
      </c>
      <c r="P108" s="580">
        <f t="shared" si="68"/>
        <v>79.967163636235199</v>
      </c>
      <c r="Q108" s="580">
        <f t="shared" si="68"/>
        <v>80.523506652495598</v>
      </c>
      <c r="R108" s="580">
        <f t="shared" si="68"/>
        <v>0</v>
      </c>
      <c r="S108" s="459" t="e">
        <f t="shared" si="68"/>
        <v>#REF!</v>
      </c>
      <c r="T108" s="459" t="e">
        <f t="shared" si="68"/>
        <v>#REF!</v>
      </c>
    </row>
    <row r="109" spans="1:21" s="319" customFormat="1" x14ac:dyDescent="0.2">
      <c r="A109" s="632"/>
      <c r="B109" s="632"/>
      <c r="C109" s="454"/>
      <c r="D109" s="454"/>
      <c r="E109" s="454"/>
      <c r="F109" s="454"/>
      <c r="G109" s="454"/>
      <c r="H109" s="454"/>
      <c r="I109" s="454"/>
      <c r="J109" s="454"/>
      <c r="K109" s="454"/>
      <c r="L109" s="454"/>
      <c r="M109" s="454"/>
      <c r="N109" s="454"/>
      <c r="O109" s="454"/>
      <c r="P109" s="454"/>
      <c r="Q109" s="454"/>
      <c r="R109" s="454"/>
      <c r="S109" s="454"/>
      <c r="T109" s="454"/>
    </row>
    <row r="110" spans="1:21" s="1" customFormat="1" x14ac:dyDescent="0.2">
      <c r="A110" s="633"/>
      <c r="B110" s="634" t="s">
        <v>388</v>
      </c>
      <c r="C110" s="635">
        <f>IF((C103-C104)&lt;0,0,(C103-C104))</f>
        <v>20.581838930640334</v>
      </c>
      <c r="D110" s="635">
        <f t="shared" ref="D110:T110" si="69">IF((D103-D104)&lt;0,0,(D103-D104))</f>
        <v>33.646887271646726</v>
      </c>
      <c r="E110" s="635">
        <f t="shared" si="69"/>
        <v>38.46575383700808</v>
      </c>
      <c r="F110" s="635">
        <f t="shared" si="69"/>
        <v>40.825978740540023</v>
      </c>
      <c r="G110" s="635">
        <f t="shared" si="69"/>
        <v>42.691755192820693</v>
      </c>
      <c r="H110" s="635">
        <f t="shared" si="69"/>
        <v>44.137133634136127</v>
      </c>
      <c r="I110" s="635">
        <f t="shared" si="69"/>
        <v>45.225068621469703</v>
      </c>
      <c r="J110" s="635">
        <f>IF((J103-J104)&lt;0,0,(J103-J104))</f>
        <v>46.009082042723406</v>
      </c>
      <c r="K110" s="635">
        <f t="shared" si="69"/>
        <v>46.534676965633444</v>
      </c>
      <c r="L110" s="635">
        <f t="shared" si="69"/>
        <v>47.784426112743212</v>
      </c>
      <c r="M110" s="635">
        <f t="shared" si="69"/>
        <v>47.409754494466341</v>
      </c>
      <c r="N110" s="635">
        <f t="shared" si="69"/>
        <v>48.313784773498</v>
      </c>
      <c r="O110" s="635">
        <f t="shared" si="69"/>
        <v>49.082713414331096</v>
      </c>
      <c r="P110" s="635">
        <f t="shared" si="69"/>
        <v>51.174334634361308</v>
      </c>
      <c r="Q110" s="635">
        <f t="shared" si="69"/>
        <v>51.730677650621708</v>
      </c>
      <c r="R110" s="635">
        <f t="shared" si="69"/>
        <v>0</v>
      </c>
      <c r="S110" s="636">
        <f t="shared" si="69"/>
        <v>0</v>
      </c>
      <c r="T110" s="636">
        <f t="shared" si="69"/>
        <v>0</v>
      </c>
    </row>
    <row r="111" spans="1:21" s="1" customFormat="1" x14ac:dyDescent="0.2">
      <c r="A111" s="633"/>
      <c r="B111" s="634" t="s">
        <v>389</v>
      </c>
      <c r="C111" s="635">
        <f>C110</f>
        <v>20.581838930640334</v>
      </c>
      <c r="D111" s="635">
        <f>C111+D110</f>
        <v>54.228726202287064</v>
      </c>
      <c r="E111" s="635">
        <f t="shared" ref="E111:T111" si="70">D111+E110</f>
        <v>92.694480039295144</v>
      </c>
      <c r="F111" s="635">
        <f t="shared" si="70"/>
        <v>133.52045877983517</v>
      </c>
      <c r="G111" s="635">
        <f t="shared" si="70"/>
        <v>176.21221397265586</v>
      </c>
      <c r="H111" s="635">
        <f t="shared" si="70"/>
        <v>220.34934760679198</v>
      </c>
      <c r="I111" s="635">
        <f t="shared" si="70"/>
        <v>265.57441622826167</v>
      </c>
      <c r="J111" s="635">
        <f t="shared" si="70"/>
        <v>311.58349827098505</v>
      </c>
      <c r="K111" s="635">
        <f t="shared" si="70"/>
        <v>358.11817523661847</v>
      </c>
      <c r="L111" s="635">
        <f t="shared" si="70"/>
        <v>405.9026013493617</v>
      </c>
      <c r="M111" s="635">
        <f t="shared" si="70"/>
        <v>453.31235584382807</v>
      </c>
      <c r="N111" s="635">
        <f t="shared" si="70"/>
        <v>501.62614061732609</v>
      </c>
      <c r="O111" s="635">
        <f t="shared" si="70"/>
        <v>550.70885403165721</v>
      </c>
      <c r="P111" s="635">
        <f t="shared" si="70"/>
        <v>601.88318866601855</v>
      </c>
      <c r="Q111" s="635">
        <f t="shared" si="70"/>
        <v>653.61386631664027</v>
      </c>
      <c r="R111" s="635">
        <f t="shared" si="70"/>
        <v>653.61386631664027</v>
      </c>
      <c r="S111" s="636">
        <f t="shared" si="70"/>
        <v>653.61386631664027</v>
      </c>
      <c r="T111" s="636">
        <f t="shared" si="70"/>
        <v>653.61386631664027</v>
      </c>
    </row>
    <row r="112" spans="1:21" s="1" customFormat="1" x14ac:dyDescent="0.2">
      <c r="A112" s="633"/>
      <c r="B112" s="634" t="s">
        <v>390</v>
      </c>
      <c r="C112" s="635">
        <f>IF(C104&gt;C103,C104,0)</f>
        <v>0</v>
      </c>
      <c r="D112" s="635">
        <f t="shared" ref="D112:T112" si="71">IF(D104&gt;D103,D104,0)</f>
        <v>0</v>
      </c>
      <c r="E112" s="635">
        <f t="shared" si="71"/>
        <v>0</v>
      </c>
      <c r="F112" s="635">
        <f t="shared" si="71"/>
        <v>0</v>
      </c>
      <c r="G112" s="635">
        <f t="shared" si="71"/>
        <v>0</v>
      </c>
      <c r="H112" s="635">
        <f t="shared" si="71"/>
        <v>0</v>
      </c>
      <c r="I112" s="635">
        <f t="shared" si="71"/>
        <v>0</v>
      </c>
      <c r="J112" s="635">
        <f t="shared" si="71"/>
        <v>0</v>
      </c>
      <c r="K112" s="635">
        <f t="shared" si="71"/>
        <v>0</v>
      </c>
      <c r="L112" s="635">
        <f t="shared" si="71"/>
        <v>0</v>
      </c>
      <c r="M112" s="635">
        <f t="shared" si="71"/>
        <v>0</v>
      </c>
      <c r="N112" s="635">
        <f t="shared" si="71"/>
        <v>0</v>
      </c>
      <c r="O112" s="635">
        <f t="shared" si="71"/>
        <v>0</v>
      </c>
      <c r="P112" s="635">
        <f t="shared" si="71"/>
        <v>0</v>
      </c>
      <c r="Q112" s="635">
        <f t="shared" si="71"/>
        <v>0</v>
      </c>
      <c r="R112" s="635">
        <f t="shared" si="71"/>
        <v>0</v>
      </c>
      <c r="S112" s="636">
        <f t="shared" si="71"/>
        <v>0</v>
      </c>
      <c r="T112" s="636">
        <f t="shared" si="71"/>
        <v>0</v>
      </c>
      <c r="U112" s="292">
        <f>SUM(C112:R112)</f>
        <v>0</v>
      </c>
    </row>
    <row r="113" spans="1:20" s="1" customFormat="1" x14ac:dyDescent="0.2">
      <c r="A113" s="637"/>
      <c r="B113" s="634" t="s">
        <v>391</v>
      </c>
      <c r="C113" s="635">
        <f>IF(C111&lt;$U$112,C110,C110-(C111-$U$112))</f>
        <v>0</v>
      </c>
      <c r="D113" s="635">
        <f t="shared" ref="D113:R113" si="72">IF(D111&lt;$U$112,D110,D110-(D111-$U$112))</f>
        <v>-20.581838930640338</v>
      </c>
      <c r="E113" s="635">
        <f t="shared" si="72"/>
        <v>-54.228726202287064</v>
      </c>
      <c r="F113" s="635">
        <f t="shared" si="72"/>
        <v>-92.694480039295144</v>
      </c>
      <c r="G113" s="635">
        <f t="shared" si="72"/>
        <v>-133.52045877983517</v>
      </c>
      <c r="H113" s="635">
        <f t="shared" si="72"/>
        <v>-176.21221397265586</v>
      </c>
      <c r="I113" s="635">
        <f t="shared" si="72"/>
        <v>-220.34934760679198</v>
      </c>
      <c r="J113" s="635">
        <f t="shared" si="72"/>
        <v>-265.57441622826161</v>
      </c>
      <c r="K113" s="635">
        <f t="shared" si="72"/>
        <v>-311.58349827098505</v>
      </c>
      <c r="L113" s="635">
        <f t="shared" si="72"/>
        <v>-358.11817523661847</v>
      </c>
      <c r="M113" s="635">
        <f t="shared" si="72"/>
        <v>-405.9026013493617</v>
      </c>
      <c r="N113" s="635">
        <f t="shared" si="72"/>
        <v>-453.31235584382807</v>
      </c>
      <c r="O113" s="635">
        <f t="shared" si="72"/>
        <v>-501.62614061732609</v>
      </c>
      <c r="P113" s="635">
        <f t="shared" si="72"/>
        <v>-550.70885403165721</v>
      </c>
      <c r="Q113" s="635">
        <f t="shared" si="72"/>
        <v>-601.88318866601855</v>
      </c>
      <c r="R113" s="635">
        <f t="shared" si="72"/>
        <v>-653.61386631664027</v>
      </c>
      <c r="S113" s="638" t="e">
        <f>IF(S111&lt;#REF!,S110,S110-(S111-#REF!))</f>
        <v>#REF!</v>
      </c>
      <c r="T113" s="638" t="e">
        <f>IF(T111&lt;#REF!,T110,T110-(T111-#REF!))</f>
        <v>#REF!</v>
      </c>
    </row>
    <row r="114" spans="1:20" s="1" customFormat="1" x14ac:dyDescent="0.2"/>
    <row r="115" spans="1:20" x14ac:dyDescent="0.2">
      <c r="A115" s="1"/>
      <c r="B115" s="1"/>
      <c r="C115" s="1"/>
      <c r="D115" s="1"/>
      <c r="E115" s="1"/>
      <c r="F115" s="9"/>
      <c r="G115" s="639"/>
      <c r="H115" s="735"/>
      <c r="I115" s="735"/>
      <c r="J115" s="735"/>
      <c r="K115" s="735"/>
      <c r="L115" s="735"/>
      <c r="M115" s="9"/>
      <c r="N115" s="9"/>
      <c r="O115" s="9"/>
      <c r="P115" s="9"/>
      <c r="S115" s="9"/>
      <c r="T115" s="9"/>
    </row>
    <row r="116" spans="1:20" x14ac:dyDescent="0.2">
      <c r="A116" s="1"/>
      <c r="B116" s="282" t="s">
        <v>122</v>
      </c>
      <c r="C116" s="640">
        <v>0</v>
      </c>
      <c r="D116" s="319"/>
      <c r="E116" s="1"/>
      <c r="F116" s="9"/>
      <c r="G116" s="9"/>
      <c r="H116" s="9"/>
      <c r="I116" s="9"/>
      <c r="J116" s="9"/>
      <c r="K116" s="9"/>
      <c r="L116" s="9"/>
      <c r="M116" s="9"/>
      <c r="N116" s="9"/>
      <c r="O116" s="9"/>
      <c r="P116" s="9"/>
      <c r="S116" s="9"/>
      <c r="T116" s="9"/>
    </row>
    <row r="117" spans="1:20" x14ac:dyDescent="0.2">
      <c r="A117" s="1"/>
      <c r="B117" s="282" t="s">
        <v>108</v>
      </c>
      <c r="C117" s="641">
        <v>2</v>
      </c>
      <c r="D117" s="319"/>
      <c r="E117" s="1"/>
      <c r="F117" s="9"/>
      <c r="G117" s="9"/>
      <c r="H117" s="9"/>
      <c r="I117" s="9"/>
      <c r="J117" s="642"/>
      <c r="K117" s="642"/>
      <c r="L117" s="642"/>
      <c r="M117" s="642"/>
      <c r="N117" s="642"/>
      <c r="O117" s="642"/>
      <c r="P117" s="9"/>
      <c r="S117" s="9"/>
      <c r="T117" s="9"/>
    </row>
    <row r="118" spans="1:20" x14ac:dyDescent="0.2">
      <c r="A118" s="1"/>
      <c r="B118" s="1"/>
      <c r="C118" s="1"/>
      <c r="D118" s="1"/>
      <c r="E118" s="1"/>
      <c r="F118" s="9"/>
      <c r="G118" s="9"/>
      <c r="H118" s="9"/>
      <c r="I118" s="9"/>
      <c r="J118" s="9"/>
      <c r="K118" s="9"/>
      <c r="L118" s="9"/>
      <c r="M118" s="9"/>
      <c r="N118" s="9"/>
      <c r="O118" s="9"/>
      <c r="P118" s="9"/>
      <c r="S118" s="9"/>
      <c r="T118" s="9"/>
    </row>
    <row r="119" spans="1:20" x14ac:dyDescent="0.2">
      <c r="F119" s="96"/>
      <c r="G119" s="96"/>
      <c r="H119" s="96"/>
      <c r="I119" s="96"/>
      <c r="J119" s="96"/>
      <c r="K119" s="96"/>
    </row>
  </sheetData>
  <mergeCells count="12">
    <mergeCell ref="H115:L115"/>
    <mergeCell ref="F4:T4"/>
    <mergeCell ref="A1:D1"/>
    <mergeCell ref="B5:B6"/>
    <mergeCell ref="A7:E7"/>
    <mergeCell ref="A4:B4"/>
    <mergeCell ref="A2:B2"/>
    <mergeCell ref="A3:B3"/>
    <mergeCell ref="A57:S57"/>
    <mergeCell ref="C58:D58"/>
    <mergeCell ref="A94:Q94"/>
    <mergeCell ref="B52:C52"/>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W65"/>
  <sheetViews>
    <sheetView tabSelected="1" workbookViewId="0">
      <selection activeCell="D46" sqref="D14:D46"/>
    </sheetView>
  </sheetViews>
  <sheetFormatPr defaultColWidth="9.140625" defaultRowHeight="12.75" x14ac:dyDescent="0.2"/>
  <cols>
    <col min="1" max="1" width="9.140625" style="322"/>
    <col min="2" max="2" width="36.28515625" style="324" customWidth="1"/>
    <col min="3" max="20" width="12.7109375" style="324" customWidth="1"/>
    <col min="21" max="21" width="12" style="324" customWidth="1"/>
    <col min="22" max="22" width="11.85546875" style="324" customWidth="1"/>
    <col min="23" max="49" width="9.140625" style="349"/>
    <col min="50" max="16384" width="9.140625" style="324"/>
  </cols>
  <sheetData>
    <row r="1" spans="1:35" ht="15" customHeight="1" x14ac:dyDescent="0.2">
      <c r="B1" s="323" t="s">
        <v>546</v>
      </c>
      <c r="J1" s="325"/>
    </row>
    <row r="2" spans="1:35" ht="15" customHeight="1" x14ac:dyDescent="0.25">
      <c r="B2" s="582" t="s">
        <v>420</v>
      </c>
      <c r="D2" s="326"/>
      <c r="E2" s="326"/>
      <c r="J2" s="325"/>
    </row>
    <row r="3" spans="1:35" s="347" customFormat="1" ht="15" customHeight="1" x14ac:dyDescent="0.2">
      <c r="A3" s="462" t="s">
        <v>402</v>
      </c>
      <c r="B3" s="359" t="s">
        <v>6</v>
      </c>
      <c r="C3" s="462" t="s">
        <v>446</v>
      </c>
      <c r="D3" s="462">
        <v>-2</v>
      </c>
      <c r="E3" s="462">
        <v>-1</v>
      </c>
      <c r="F3" s="381">
        <v>1</v>
      </c>
      <c r="G3" s="381">
        <v>2</v>
      </c>
      <c r="H3" s="381">
        <v>3</v>
      </c>
      <c r="I3" s="381">
        <v>4</v>
      </c>
      <c r="J3" s="381">
        <v>5</v>
      </c>
      <c r="K3" s="381">
        <v>6</v>
      </c>
      <c r="L3" s="381">
        <v>7</v>
      </c>
      <c r="M3" s="381">
        <v>8</v>
      </c>
      <c r="N3" s="381">
        <v>9</v>
      </c>
      <c r="O3" s="381">
        <v>10</v>
      </c>
      <c r="P3" s="381">
        <v>11</v>
      </c>
      <c r="Q3" s="381">
        <v>12</v>
      </c>
      <c r="R3" s="381">
        <v>13</v>
      </c>
      <c r="S3" s="381">
        <v>14</v>
      </c>
      <c r="T3" s="381">
        <v>15</v>
      </c>
      <c r="U3" s="349"/>
      <c r="V3" s="349"/>
      <c r="W3" s="349"/>
      <c r="X3" s="349"/>
      <c r="Y3" s="349"/>
      <c r="Z3" s="349"/>
      <c r="AA3" s="349"/>
      <c r="AB3" s="349"/>
      <c r="AC3" s="349"/>
      <c r="AD3" s="349"/>
      <c r="AE3" s="349"/>
      <c r="AF3" s="349"/>
      <c r="AG3" s="349"/>
      <c r="AH3" s="349"/>
      <c r="AI3" s="350"/>
    </row>
    <row r="4" spans="1:35" s="349" customFormat="1" ht="15" customHeight="1" x14ac:dyDescent="0.2">
      <c r="A4" s="351">
        <v>1</v>
      </c>
      <c r="B4" s="364" t="s">
        <v>72</v>
      </c>
      <c r="C4" s="351" t="s">
        <v>547</v>
      </c>
      <c r="D4" s="351"/>
      <c r="E4" s="351"/>
      <c r="F4" s="355">
        <f>'Cashflow '!F30</f>
        <v>26.736560218771277</v>
      </c>
      <c r="G4" s="355">
        <f>'Cashflow '!G30</f>
        <v>62.541164915207943</v>
      </c>
      <c r="H4" s="355">
        <f>'Cashflow '!H30</f>
        <v>70.785170658434197</v>
      </c>
      <c r="I4" s="355">
        <f>'Cashflow '!I30</f>
        <v>72.883340511105331</v>
      </c>
      <c r="J4" s="355">
        <f>'Cashflow '!J30</f>
        <v>75.475958815027738</v>
      </c>
      <c r="K4" s="355">
        <f>'Cashflow '!K30</f>
        <v>78.488975129915374</v>
      </c>
      <c r="L4" s="355">
        <f>'Cashflow '!L30</f>
        <v>81.859434898784869</v>
      </c>
      <c r="M4" s="355">
        <f>'Cashflow '!M30</f>
        <v>85.533816233734242</v>
      </c>
      <c r="N4" s="355">
        <f>'Cashflow '!N30</f>
        <v>89.466616067027275</v>
      </c>
      <c r="O4" s="355">
        <f>'Cashflow '!O30</f>
        <v>88.216866919917507</v>
      </c>
      <c r="P4" s="355">
        <f>'Cashflow '!P30</f>
        <v>81.838151907482128</v>
      </c>
      <c r="Q4" s="355">
        <f>'Cashflow '!Q30</f>
        <v>80.93412162845047</v>
      </c>
      <c r="R4" s="355">
        <f>'Cashflow '!R30</f>
        <v>80.165192987617374</v>
      </c>
      <c r="S4" s="355">
        <f>'Cashflow '!S30</f>
        <v>84.826958398299411</v>
      </c>
      <c r="T4" s="355">
        <f>'Cashflow '!T30</f>
        <v>84.270615382039011</v>
      </c>
    </row>
    <row r="5" spans="1:35" s="349" customFormat="1" ht="15" customHeight="1" x14ac:dyDescent="0.2">
      <c r="A5" s="351">
        <v>2</v>
      </c>
      <c r="B5" s="364" t="s">
        <v>511</v>
      </c>
      <c r="C5" s="351" t="s">
        <v>547</v>
      </c>
      <c r="D5" s="351"/>
      <c r="E5" s="351"/>
      <c r="F5" s="355">
        <f>'Cashflow '!F27</f>
        <v>36.819759775000009</v>
      </c>
      <c r="G5" s="355">
        <f>'Cashflow '!G27</f>
        <v>36.819759775000009</v>
      </c>
      <c r="H5" s="355">
        <f>'Cashflow '!H27</f>
        <v>36.819759775000009</v>
      </c>
      <c r="I5" s="355">
        <f>'Cashflow '!I27</f>
        <v>36.819759775000009</v>
      </c>
      <c r="J5" s="355">
        <f>'Cashflow '!J27</f>
        <v>36.819759775000009</v>
      </c>
      <c r="K5" s="355">
        <f>'Cashflow '!K27</f>
        <v>36.819759775000009</v>
      </c>
      <c r="L5" s="355">
        <f>'Cashflow '!L27</f>
        <v>36.819759775000009</v>
      </c>
      <c r="M5" s="355">
        <f>'Cashflow '!M27</f>
        <v>36.819759775000009</v>
      </c>
      <c r="N5" s="355">
        <f>'Cashflow '!N27</f>
        <v>36.819759775000009</v>
      </c>
      <c r="O5" s="355">
        <f>'Cashflow '!O27</f>
        <v>36.819759775000009</v>
      </c>
      <c r="P5" s="355">
        <f>'Cashflow '!P27</f>
        <v>36.819759775000009</v>
      </c>
      <c r="Q5" s="355">
        <f>'Cashflow '!Q27</f>
        <v>36.819759775000009</v>
      </c>
      <c r="R5" s="355">
        <f>'Cashflow '!R27</f>
        <v>36.819759775000009</v>
      </c>
      <c r="S5" s="355">
        <f>'Cashflow '!S27</f>
        <v>36.819759775000009</v>
      </c>
      <c r="T5" s="355">
        <f>'Cashflow '!T27</f>
        <v>36.819759775000009</v>
      </c>
    </row>
    <row r="6" spans="1:35" s="349" customFormat="1" ht="15" customHeight="1" x14ac:dyDescent="0.2">
      <c r="A6" s="351">
        <v>3</v>
      </c>
      <c r="B6" s="364" t="s">
        <v>512</v>
      </c>
      <c r="C6" s="351" t="s">
        <v>547</v>
      </c>
      <c r="D6" s="351"/>
      <c r="E6" s="351"/>
      <c r="F6" s="355">
        <f>'Cashflow '!F26</f>
        <v>43.218250835625007</v>
      </c>
      <c r="G6" s="355">
        <f>'Cashflow '!G26</f>
        <v>37.815969481171877</v>
      </c>
      <c r="H6" s="355">
        <f>'Cashflow '!H26</f>
        <v>32.413688126718753</v>
      </c>
      <c r="I6" s="355">
        <f>'Cashflow '!I26</f>
        <v>27.011406772265623</v>
      </c>
      <c r="J6" s="355">
        <f>'Cashflow '!J26</f>
        <v>21.609125417812496</v>
      </c>
      <c r="K6" s="355">
        <f>'Cashflow '!K26</f>
        <v>16.20684406335937</v>
      </c>
      <c r="L6" s="355">
        <f>'Cashflow '!L26</f>
        <v>10.804562708906245</v>
      </c>
      <c r="M6" s="355">
        <f>'Cashflow '!M26</f>
        <v>5.4022813544531196</v>
      </c>
      <c r="N6" s="355">
        <f>'Cashflow '!N26</f>
        <v>-6.394884621840901E-15</v>
      </c>
      <c r="O6" s="355">
        <f>'Cashflow '!O26</f>
        <v>-6.394884621840901E-15</v>
      </c>
      <c r="P6" s="355">
        <f>'Cashflow '!P26</f>
        <v>-6.394884621840901E-15</v>
      </c>
      <c r="Q6" s="355">
        <f>'Cashflow '!Q26</f>
        <v>-6.394884621840901E-15</v>
      </c>
      <c r="R6" s="355">
        <f>'Cashflow '!R26</f>
        <v>-6.394884621840901E-15</v>
      </c>
      <c r="S6" s="355">
        <f>'Cashflow '!S26</f>
        <v>-6.394884621840901E-15</v>
      </c>
      <c r="T6" s="355">
        <f>'Cashflow '!T26</f>
        <v>-6.394884621840901E-15</v>
      </c>
    </row>
    <row r="7" spans="1:35" s="349" customFormat="1" ht="15" customHeight="1" x14ac:dyDescent="0.2">
      <c r="A7" s="351">
        <v>4</v>
      </c>
      <c r="B7" s="364" t="s">
        <v>523</v>
      </c>
      <c r="C7" s="351" t="s">
        <v>547</v>
      </c>
      <c r="D7" s="351"/>
      <c r="E7" s="351"/>
      <c r="F7" s="356">
        <f>-'Working Capital'!D17</f>
        <v>-3.4568645838991472</v>
      </c>
      <c r="G7" s="356">
        <f>-'Working Capital'!E17</f>
        <v>-0.44067869502840917</v>
      </c>
      <c r="H7" s="356">
        <f>-'Working Capital'!F17</f>
        <v>-0.6610180425426142</v>
      </c>
      <c r="I7" s="354">
        <f>-'Working Capital'!G17</f>
        <v>0</v>
      </c>
      <c r="J7" s="354">
        <f>-'Working Capital'!H17</f>
        <v>0</v>
      </c>
      <c r="K7" s="354">
        <f>-'Working Capital'!I17</f>
        <v>0</v>
      </c>
      <c r="L7" s="354">
        <f>-'Working Capital'!J17</f>
        <v>0</v>
      </c>
      <c r="M7" s="354">
        <f>-'Working Capital'!K17</f>
        <v>0</v>
      </c>
      <c r="N7" s="356">
        <f>-'Working Capital'!L17</f>
        <v>0</v>
      </c>
      <c r="O7" s="354">
        <f>-'Working Capital'!M17</f>
        <v>0</v>
      </c>
      <c r="P7" s="354">
        <f>-'Working Capital'!N17</f>
        <v>9.3244597523082007E-2</v>
      </c>
      <c r="Q7" s="354">
        <f>-'Working Capital'!O17</f>
        <v>0</v>
      </c>
      <c r="R7" s="354">
        <f>-'Working Capital'!P17</f>
        <v>0</v>
      </c>
      <c r="S7" s="356">
        <f>-'Working Capital'!Q17</f>
        <v>-9.3244597523082007E-2</v>
      </c>
      <c r="T7" s="354">
        <f>-'Working Capital'!R17</f>
        <v>0</v>
      </c>
    </row>
    <row r="8" spans="1:35" s="349" customFormat="1" ht="15" customHeight="1" x14ac:dyDescent="0.2">
      <c r="A8" s="351">
        <v>5</v>
      </c>
      <c r="B8" s="364" t="s">
        <v>510</v>
      </c>
      <c r="C8" s="351" t="s">
        <v>547</v>
      </c>
      <c r="D8" s="351"/>
      <c r="E8" s="351"/>
      <c r="F8" s="354">
        <v>0</v>
      </c>
      <c r="G8" s="354">
        <v>0</v>
      </c>
      <c r="H8" s="354">
        <v>0</v>
      </c>
      <c r="I8" s="354">
        <v>0</v>
      </c>
      <c r="J8" s="354">
        <v>0</v>
      </c>
      <c r="K8" s="354">
        <v>0</v>
      </c>
      <c r="L8" s="354">
        <v>0</v>
      </c>
      <c r="M8" s="354">
        <v>0</v>
      </c>
      <c r="N8" s="354">
        <v>0</v>
      </c>
      <c r="O8" s="354">
        <v>0</v>
      </c>
      <c r="P8" s="354">
        <v>0</v>
      </c>
      <c r="Q8" s="354">
        <v>0</v>
      </c>
      <c r="R8" s="354">
        <v>0</v>
      </c>
      <c r="S8" s="354">
        <v>0</v>
      </c>
      <c r="T8" s="356">
        <f>-SUM(F7:T7)</f>
        <v>4.5585613214701706</v>
      </c>
    </row>
    <row r="9" spans="1:35" s="349" customFormat="1" ht="15" customHeight="1" x14ac:dyDescent="0.2">
      <c r="A9" s="351">
        <v>6</v>
      </c>
      <c r="B9" s="364" t="s">
        <v>524</v>
      </c>
      <c r="C9" s="351" t="s">
        <v>547</v>
      </c>
      <c r="D9" s="351"/>
      <c r="E9" s="351"/>
      <c r="F9" s="354">
        <v>0</v>
      </c>
      <c r="G9" s="354">
        <v>0</v>
      </c>
      <c r="H9" s="354">
        <v>0</v>
      </c>
      <c r="I9" s="354">
        <v>0</v>
      </c>
      <c r="J9" s="354">
        <v>0</v>
      </c>
      <c r="K9" s="354">
        <v>0</v>
      </c>
      <c r="L9" s="354">
        <v>0</v>
      </c>
      <c r="M9" s="354">
        <v>0</v>
      </c>
      <c r="N9" s="354">
        <v>0</v>
      </c>
      <c r="O9" s="354">
        <v>0</v>
      </c>
      <c r="P9" s="354">
        <v>0</v>
      </c>
      <c r="Q9" s="354">
        <v>0</v>
      </c>
      <c r="R9" s="354">
        <v>0</v>
      </c>
      <c r="S9" s="354">
        <v>0</v>
      </c>
      <c r="T9" s="357">
        <f>-'Working Capital'!R18</f>
        <v>-13.675683964410512</v>
      </c>
    </row>
    <row r="10" spans="1:35" s="349" customFormat="1" ht="15" customHeight="1" x14ac:dyDescent="0.2">
      <c r="A10" s="351">
        <v>7</v>
      </c>
      <c r="B10" s="364" t="s">
        <v>548</v>
      </c>
      <c r="C10" s="351" t="s">
        <v>547</v>
      </c>
      <c r="D10" s="351"/>
      <c r="E10" s="351"/>
      <c r="F10" s="354">
        <v>0</v>
      </c>
      <c r="G10" s="354">
        <v>0</v>
      </c>
      <c r="H10" s="354">
        <v>0</v>
      </c>
      <c r="I10" s="354">
        <v>0</v>
      </c>
      <c r="J10" s="354">
        <v>0</v>
      </c>
      <c r="K10" s="354">
        <v>0</v>
      </c>
      <c r="L10" s="354">
        <v>0</v>
      </c>
      <c r="M10" s="354">
        <v>0</v>
      </c>
      <c r="N10" s="354">
        <v>0</v>
      </c>
      <c r="O10" s="354">
        <v>0</v>
      </c>
      <c r="P10" s="354">
        <v>0</v>
      </c>
      <c r="Q10" s="354">
        <v>0</v>
      </c>
      <c r="R10" s="354">
        <v>0</v>
      </c>
      <c r="S10" s="354">
        <v>0</v>
      </c>
      <c r="T10" s="355">
        <f>(Capex!B11-Capex!B8-Capex!B9-Capex!B10)*0.05</f>
        <v>26.534625000000005</v>
      </c>
    </row>
    <row r="11" spans="1:35" s="349" customFormat="1" ht="15" customHeight="1" x14ac:dyDescent="0.2">
      <c r="A11" s="351">
        <v>8</v>
      </c>
      <c r="B11" s="460" t="s">
        <v>550</v>
      </c>
      <c r="C11" s="351" t="s">
        <v>547</v>
      </c>
      <c r="D11" s="327">
        <f>-(Capex!B72/100-Capex!B10)/2</f>
        <v>-311.07536228125008</v>
      </c>
      <c r="E11" s="327">
        <f>D11</f>
        <v>-311.07536228125008</v>
      </c>
      <c r="F11" s="355">
        <f>SUM(F4:F10)</f>
        <v>103.31770624549713</v>
      </c>
      <c r="G11" s="355">
        <f t="shared" ref="G11:T11" si="0">SUM(G4:G10)</f>
        <v>136.73621547635145</v>
      </c>
      <c r="H11" s="355">
        <f t="shared" si="0"/>
        <v>139.35760051761034</v>
      </c>
      <c r="I11" s="355">
        <f t="shared" si="0"/>
        <v>136.71450705837097</v>
      </c>
      <c r="J11" s="355">
        <f t="shared" si="0"/>
        <v>133.90484400784024</v>
      </c>
      <c r="K11" s="355">
        <f t="shared" si="0"/>
        <v>131.51557896827475</v>
      </c>
      <c r="L11" s="355">
        <f t="shared" si="0"/>
        <v>129.48375738269112</v>
      </c>
      <c r="M11" s="355">
        <f t="shared" si="0"/>
        <v>127.75585736318737</v>
      </c>
      <c r="N11" s="355">
        <f t="shared" si="0"/>
        <v>126.28637584202728</v>
      </c>
      <c r="O11" s="355">
        <f t="shared" si="0"/>
        <v>125.03662669491752</v>
      </c>
      <c r="P11" s="355">
        <f t="shared" si="0"/>
        <v>118.75115628000522</v>
      </c>
      <c r="Q11" s="355">
        <f t="shared" si="0"/>
        <v>117.75388140345048</v>
      </c>
      <c r="R11" s="355">
        <f t="shared" si="0"/>
        <v>116.98495276261738</v>
      </c>
      <c r="S11" s="355">
        <f t="shared" si="0"/>
        <v>121.55347357577634</v>
      </c>
      <c r="T11" s="355">
        <f t="shared" si="0"/>
        <v>138.50787751409868</v>
      </c>
    </row>
    <row r="12" spans="1:35" s="349" customFormat="1" ht="15" customHeight="1" x14ac:dyDescent="0.2">
      <c r="A12" s="346">
        <v>9</v>
      </c>
      <c r="B12" s="329" t="s">
        <v>549</v>
      </c>
      <c r="C12" s="346" t="s">
        <v>547</v>
      </c>
      <c r="D12" s="461">
        <f>D11</f>
        <v>-311.07536228125008</v>
      </c>
      <c r="E12" s="461">
        <f t="shared" ref="E12:T12" si="1">E11</f>
        <v>-311.07536228125008</v>
      </c>
      <c r="F12" s="461">
        <f t="shared" si="1"/>
        <v>103.31770624549713</v>
      </c>
      <c r="G12" s="461">
        <f t="shared" si="1"/>
        <v>136.73621547635145</v>
      </c>
      <c r="H12" s="461">
        <f t="shared" si="1"/>
        <v>139.35760051761034</v>
      </c>
      <c r="I12" s="461">
        <f t="shared" si="1"/>
        <v>136.71450705837097</v>
      </c>
      <c r="J12" s="461">
        <f t="shared" si="1"/>
        <v>133.90484400784024</v>
      </c>
      <c r="K12" s="461">
        <f t="shared" si="1"/>
        <v>131.51557896827475</v>
      </c>
      <c r="L12" s="461">
        <f t="shared" si="1"/>
        <v>129.48375738269112</v>
      </c>
      <c r="M12" s="461">
        <f t="shared" si="1"/>
        <v>127.75585736318737</v>
      </c>
      <c r="N12" s="461">
        <f t="shared" si="1"/>
        <v>126.28637584202728</v>
      </c>
      <c r="O12" s="461">
        <f t="shared" si="1"/>
        <v>125.03662669491752</v>
      </c>
      <c r="P12" s="461">
        <f t="shared" si="1"/>
        <v>118.75115628000522</v>
      </c>
      <c r="Q12" s="461">
        <f t="shared" si="1"/>
        <v>117.75388140345048</v>
      </c>
      <c r="R12" s="461">
        <f t="shared" si="1"/>
        <v>116.98495276261738</v>
      </c>
      <c r="S12" s="461">
        <f t="shared" si="1"/>
        <v>121.55347357577634</v>
      </c>
      <c r="T12" s="461">
        <f t="shared" si="1"/>
        <v>138.50787751409868</v>
      </c>
    </row>
    <row r="13" spans="1:35" ht="15" customHeight="1" x14ac:dyDescent="0.2">
      <c r="A13" s="346">
        <v>10</v>
      </c>
      <c r="B13" s="329" t="s">
        <v>513</v>
      </c>
      <c r="C13" s="328" t="s">
        <v>422</v>
      </c>
      <c r="D13" s="670">
        <f>IRR(D12:T12)</f>
        <v>0.17076495191929109</v>
      </c>
      <c r="E13" s="471">
        <f>-(E11+E12)</f>
        <v>622.15072456250016</v>
      </c>
      <c r="F13" s="502"/>
      <c r="G13" s="502"/>
      <c r="H13" s="502"/>
      <c r="I13" s="502"/>
      <c r="J13" s="502"/>
      <c r="K13" s="502"/>
      <c r="L13" s="502"/>
      <c r="M13" s="502"/>
      <c r="N13" s="502"/>
      <c r="O13" s="502"/>
      <c r="P13" s="502"/>
      <c r="Q13" s="502"/>
      <c r="R13" s="502"/>
      <c r="S13" s="502"/>
      <c r="T13" s="502"/>
    </row>
    <row r="14" spans="1:35" ht="15" customHeight="1" x14ac:dyDescent="0.2">
      <c r="A14" s="206"/>
      <c r="C14" s="322"/>
      <c r="D14" s="507"/>
      <c r="E14" s="506"/>
      <c r="F14" s="502"/>
      <c r="G14" s="502"/>
      <c r="H14" s="502"/>
      <c r="I14" s="502"/>
      <c r="J14" s="502"/>
      <c r="K14" s="502"/>
      <c r="L14" s="502"/>
      <c r="M14" s="502"/>
      <c r="N14" s="502"/>
      <c r="O14" s="502"/>
      <c r="P14" s="502"/>
      <c r="Q14" s="502"/>
      <c r="R14" s="502"/>
      <c r="S14" s="502"/>
      <c r="T14" s="502"/>
    </row>
    <row r="15" spans="1:35" ht="15" customHeight="1" x14ac:dyDescent="0.2">
      <c r="A15" s="462" t="s">
        <v>402</v>
      </c>
      <c r="B15" s="338" t="s">
        <v>577</v>
      </c>
      <c r="C15" s="322"/>
      <c r="D15" s="507"/>
      <c r="E15" s="506"/>
      <c r="F15" s="502"/>
      <c r="G15" s="502"/>
      <c r="H15" s="502"/>
      <c r="I15" s="502"/>
      <c r="J15" s="502"/>
      <c r="K15" s="502"/>
      <c r="L15" s="502"/>
      <c r="M15" s="502"/>
      <c r="N15" s="502"/>
      <c r="O15" s="502"/>
      <c r="P15" s="502"/>
      <c r="Q15" s="502"/>
      <c r="R15" s="502"/>
      <c r="S15" s="502"/>
      <c r="T15" s="502"/>
    </row>
    <row r="16" spans="1:35" ht="15" customHeight="1" x14ac:dyDescent="0.2">
      <c r="A16" s="462">
        <v>1</v>
      </c>
      <c r="B16" s="329" t="s">
        <v>578</v>
      </c>
      <c r="C16" s="328" t="s">
        <v>558</v>
      </c>
      <c r="D16" s="508"/>
      <c r="E16" s="471">
        <f>E13</f>
        <v>622.15072456250016</v>
      </c>
      <c r="F16" s="509">
        <f>F11</f>
        <v>103.31770624549713</v>
      </c>
      <c r="G16" s="509">
        <f>G12+F12</f>
        <v>240.05392172184858</v>
      </c>
      <c r="H16" s="509">
        <f>H12+G16</f>
        <v>379.41152223945892</v>
      </c>
      <c r="I16" s="509">
        <f>I12+H16</f>
        <v>516.12602929782986</v>
      </c>
      <c r="J16" s="509">
        <f t="shared" ref="J16:T16" si="2">J12+I16</f>
        <v>650.03087330567007</v>
      </c>
      <c r="K16" s="509">
        <f t="shared" si="2"/>
        <v>781.54645227394485</v>
      </c>
      <c r="L16" s="509">
        <f t="shared" si="2"/>
        <v>911.03020965663598</v>
      </c>
      <c r="M16" s="509">
        <f t="shared" si="2"/>
        <v>1038.7860670198233</v>
      </c>
      <c r="N16" s="509">
        <f t="shared" si="2"/>
        <v>1165.0724428618507</v>
      </c>
      <c r="O16" s="509">
        <f t="shared" si="2"/>
        <v>1290.1090695567682</v>
      </c>
      <c r="P16" s="509">
        <f t="shared" si="2"/>
        <v>1408.8602258367735</v>
      </c>
      <c r="Q16" s="509">
        <f t="shared" si="2"/>
        <v>1526.614107240224</v>
      </c>
      <c r="R16" s="509">
        <f t="shared" si="2"/>
        <v>1643.5990600028415</v>
      </c>
      <c r="S16" s="509">
        <f t="shared" si="2"/>
        <v>1765.1525335786177</v>
      </c>
      <c r="T16" s="509">
        <f t="shared" si="2"/>
        <v>1903.6604110927165</v>
      </c>
    </row>
    <row r="17" spans="1:35" ht="15" customHeight="1" x14ac:dyDescent="0.2">
      <c r="A17" s="346">
        <v>2</v>
      </c>
      <c r="B17" s="329" t="s">
        <v>514</v>
      </c>
      <c r="C17" s="328"/>
      <c r="D17" s="508"/>
      <c r="E17" s="471"/>
      <c r="F17" s="331" t="b">
        <f>IF(F16&lt;$E$16,TRUE,FALSE)</f>
        <v>1</v>
      </c>
      <c r="G17" s="331" t="b">
        <f t="shared" ref="G17:L17" si="3">IF(G16&lt;$E$16,TRUE,FALSE)</f>
        <v>1</v>
      </c>
      <c r="H17" s="331" t="b">
        <f t="shared" si="3"/>
        <v>1</v>
      </c>
      <c r="I17" s="331" t="b">
        <f t="shared" si="3"/>
        <v>1</v>
      </c>
      <c r="J17" s="331" t="b">
        <f t="shared" si="3"/>
        <v>0</v>
      </c>
      <c r="K17" s="331" t="b">
        <f t="shared" si="3"/>
        <v>0</v>
      </c>
      <c r="L17" s="331" t="b">
        <f t="shared" si="3"/>
        <v>0</v>
      </c>
      <c r="M17" s="331" t="b">
        <f t="shared" ref="M17" si="4">IF(M16&lt;$E$16,TRUE,FALSE)</f>
        <v>0</v>
      </c>
      <c r="N17" s="331" t="b">
        <f t="shared" ref="N17" si="5">IF(N16&lt;$E$16,TRUE,FALSE)</f>
        <v>0</v>
      </c>
      <c r="O17" s="331" t="b">
        <f t="shared" ref="O17" si="6">IF(O16&lt;$E$16,TRUE,FALSE)</f>
        <v>0</v>
      </c>
      <c r="P17" s="331" t="b">
        <f t="shared" ref="P17" si="7">IF(P16&lt;$E$16,TRUE,FALSE)</f>
        <v>0</v>
      </c>
      <c r="Q17" s="331" t="b">
        <f t="shared" ref="Q17:R17" si="8">IF(Q16&lt;$E$16,TRUE,FALSE)</f>
        <v>0</v>
      </c>
      <c r="R17" s="331" t="b">
        <f t="shared" si="8"/>
        <v>0</v>
      </c>
      <c r="S17" s="331" t="b">
        <f t="shared" ref="S17" si="9">IF(S16&lt;$E$16,TRUE,FALSE)</f>
        <v>0</v>
      </c>
      <c r="T17" s="331" t="b">
        <f t="shared" ref="T17" si="10">IF(T16&lt;$E$16,TRUE,FALSE)</f>
        <v>0</v>
      </c>
    </row>
    <row r="18" spans="1:35" ht="15" customHeight="1" x14ac:dyDescent="0.2">
      <c r="A18" s="346">
        <v>3</v>
      </c>
      <c r="B18" s="329"/>
      <c r="C18" s="328"/>
      <c r="D18" s="508"/>
      <c r="E18" s="471"/>
      <c r="F18" s="331">
        <f>IF(F17=TRUE,1,$E$16/F16)</f>
        <v>1</v>
      </c>
      <c r="G18" s="331">
        <f>IF(G17=TRUE,1,($E$16-F16)/G12)</f>
        <v>1</v>
      </c>
      <c r="H18" s="331">
        <f>IF(H17=TRUE,1,($E$16-G16)/H12)</f>
        <v>1</v>
      </c>
      <c r="I18" s="331">
        <f t="shared" ref="I18:K18" si="11">IF(I17=TRUE,1,($E$16-H16)/I12)</f>
        <v>1</v>
      </c>
      <c r="J18" s="331">
        <f t="shared" si="11"/>
        <v>0.79179133548344571</v>
      </c>
      <c r="K18" s="331">
        <f t="shared" si="11"/>
        <v>-0.21199122538855558</v>
      </c>
      <c r="L18" s="331">
        <f t="shared" ref="L18" si="12">IF(L17=TRUE,1,($E$16-K16)/L12)</f>
        <v>-1.2310094403605258</v>
      </c>
      <c r="M18" s="331">
        <f t="shared" ref="M18:N18" si="13">IF(M17=TRUE,1,($E$16-L16)/M12)</f>
        <v>-2.2611838788174103</v>
      </c>
      <c r="N18" s="331">
        <f t="shared" si="13"/>
        <v>-3.2991313566436964</v>
      </c>
      <c r="O18" s="331">
        <f t="shared" ref="O18" si="14">IF(O17=TRUE,1,($E$16-N16)/O12)</f>
        <v>-4.3421014517933987</v>
      </c>
      <c r="P18" s="331">
        <f t="shared" ref="P18:Q18" si="15">IF(P17=TRUE,1,($E$16-O16)/P12)</f>
        <v>-5.6248576091274307</v>
      </c>
      <c r="Q18" s="331">
        <f t="shared" si="15"/>
        <v>-6.6809644989861097</v>
      </c>
      <c r="R18" s="331">
        <f t="shared" ref="R18" si="16">IF(R17=TRUE,1,($E$16-Q16)/R12)</f>
        <v>-7.7314505953003705</v>
      </c>
      <c r="S18" s="331">
        <f t="shared" ref="S18:T18" si="17">IF(S17=TRUE,1,($E$16-R16)/S12)</f>
        <v>-8.4032838008826722</v>
      </c>
      <c r="T18" s="331">
        <f t="shared" si="17"/>
        <v>-8.2522512764645573</v>
      </c>
    </row>
    <row r="19" spans="1:35" ht="15" customHeight="1" x14ac:dyDescent="0.2">
      <c r="A19" s="346">
        <v>4</v>
      </c>
      <c r="B19" s="329" t="s">
        <v>579</v>
      </c>
      <c r="C19" s="328" t="s">
        <v>296</v>
      </c>
      <c r="D19" s="485">
        <f>SUM(F18:I18)+J18</f>
        <v>4.7917913354834454</v>
      </c>
      <c r="E19" s="506"/>
      <c r="F19" s="330"/>
      <c r="G19" s="330"/>
      <c r="H19" s="330"/>
      <c r="I19" s="330"/>
      <c r="J19" s="330"/>
      <c r="K19" s="330"/>
      <c r="L19" s="330"/>
      <c r="M19" s="330"/>
      <c r="N19" s="330"/>
      <c r="O19" s="330"/>
      <c r="P19" s="330"/>
      <c r="Q19" s="330"/>
      <c r="R19" s="330"/>
      <c r="S19" s="330"/>
      <c r="T19" s="330"/>
    </row>
    <row r="20" spans="1:35" ht="15" customHeight="1" x14ac:dyDescent="0.2">
      <c r="A20" s="206"/>
      <c r="C20" s="322"/>
      <c r="D20" s="507"/>
      <c r="E20" s="506"/>
      <c r="F20" s="330"/>
      <c r="G20" s="330"/>
      <c r="H20" s="330"/>
      <c r="I20" s="330"/>
      <c r="J20" s="330"/>
      <c r="K20" s="330"/>
      <c r="L20" s="330"/>
      <c r="M20" s="330"/>
      <c r="N20" s="330"/>
      <c r="O20" s="330"/>
      <c r="P20" s="330"/>
      <c r="Q20" s="330"/>
      <c r="R20" s="330"/>
      <c r="S20" s="330"/>
      <c r="T20" s="330"/>
    </row>
    <row r="21" spans="1:35" s="349" customFormat="1" ht="15" hidden="1" customHeight="1" x14ac:dyDescent="0.2">
      <c r="A21" s="346" t="s">
        <v>402</v>
      </c>
      <c r="B21" s="359" t="s">
        <v>515</v>
      </c>
      <c r="C21" s="346" t="s">
        <v>547</v>
      </c>
      <c r="D21" s="346" t="s">
        <v>552</v>
      </c>
      <c r="E21" s="206"/>
      <c r="F21" s="352"/>
      <c r="J21" s="352"/>
      <c r="K21" s="352"/>
      <c r="L21" s="352"/>
      <c r="M21" s="352"/>
      <c r="N21" s="352"/>
      <c r="O21" s="352"/>
      <c r="P21" s="352"/>
      <c r="U21" s="346"/>
      <c r="V21" s="368" t="e">
        <f>#REF!-1*#REF!/#REF!</f>
        <v>#REF!</v>
      </c>
    </row>
    <row r="22" spans="1:35" ht="15" hidden="1" customHeight="1" x14ac:dyDescent="0.2">
      <c r="A22" s="328">
        <v>1</v>
      </c>
      <c r="B22" s="329" t="s">
        <v>418</v>
      </c>
      <c r="C22" s="464">
        <f>Capex!B76/100</f>
        <v>146.44793750000002</v>
      </c>
      <c r="D22" s="465">
        <v>0.1</v>
      </c>
      <c r="E22" s="353"/>
      <c r="F22" s="330"/>
      <c r="L22" s="330"/>
      <c r="M22" s="330"/>
      <c r="N22" s="330"/>
      <c r="O22" s="330"/>
      <c r="P22" s="330"/>
    </row>
    <row r="23" spans="1:35" ht="15" hidden="1" customHeight="1" x14ac:dyDescent="0.2">
      <c r="A23" s="328">
        <v>2</v>
      </c>
      <c r="B23" s="329" t="s">
        <v>87</v>
      </c>
      <c r="C23" s="464">
        <f>Capex!B75/100</f>
        <v>480.20278706250008</v>
      </c>
      <c r="D23" s="465">
        <f>Norms!B52</f>
        <v>0.09</v>
      </c>
      <c r="E23" s="353"/>
      <c r="F23" s="330"/>
      <c r="J23" s="330"/>
      <c r="K23" s="330"/>
      <c r="L23" s="330"/>
      <c r="M23" s="330"/>
      <c r="N23" s="330"/>
      <c r="O23" s="330"/>
      <c r="P23" s="330"/>
    </row>
    <row r="24" spans="1:35" ht="15" hidden="1" customHeight="1" x14ac:dyDescent="0.2">
      <c r="A24" s="328">
        <v>3</v>
      </c>
      <c r="B24" s="329" t="s">
        <v>525</v>
      </c>
      <c r="C24" s="464">
        <f>C22+C23</f>
        <v>626.65072456250005</v>
      </c>
      <c r="D24" s="465">
        <f>(C22*D22+C23*D23)/SUM(C22:C23)</f>
        <v>9.2336994624912377E-2</v>
      </c>
      <c r="E24" s="353"/>
      <c r="F24" s="330"/>
      <c r="G24" s="330"/>
      <c r="H24" s="330"/>
      <c r="I24" s="330"/>
      <c r="J24" s="330"/>
      <c r="K24" s="330"/>
      <c r="L24" s="330"/>
      <c r="M24" s="330"/>
      <c r="N24" s="330"/>
      <c r="O24" s="330"/>
      <c r="P24" s="330"/>
    </row>
    <row r="25" spans="1:35" ht="15" hidden="1" customHeight="1" x14ac:dyDescent="0.2">
      <c r="A25" s="328">
        <v>4</v>
      </c>
      <c r="B25" s="500" t="s">
        <v>11</v>
      </c>
      <c r="C25" s="361">
        <f>NPV(D24,D12:T12)</f>
        <v>302.79517373464654</v>
      </c>
      <c r="D25" s="322"/>
      <c r="E25" s="322"/>
      <c r="F25" s="330" t="s">
        <v>249</v>
      </c>
      <c r="G25" s="330"/>
      <c r="H25" s="322"/>
      <c r="I25" s="330"/>
      <c r="J25" s="322"/>
      <c r="K25" s="333"/>
      <c r="L25" s="330"/>
      <c r="M25" s="330"/>
      <c r="N25" s="330"/>
      <c r="O25" s="330"/>
      <c r="P25" s="330"/>
    </row>
    <row r="26" spans="1:35" ht="15" hidden="1" customHeight="1" x14ac:dyDescent="0.2">
      <c r="B26" s="326"/>
      <c r="C26" s="360"/>
      <c r="D26" s="322"/>
      <c r="E26" s="322"/>
      <c r="F26" s="330"/>
      <c r="G26" s="330"/>
      <c r="H26" s="322"/>
      <c r="I26" s="330"/>
      <c r="J26" s="322"/>
      <c r="K26" s="333"/>
      <c r="L26" s="330"/>
      <c r="M26" s="330"/>
      <c r="N26" s="330"/>
      <c r="O26" s="330"/>
      <c r="P26" s="330"/>
    </row>
    <row r="27" spans="1:35" ht="15" customHeight="1" x14ac:dyDescent="0.25">
      <c r="B27" s="582" t="s">
        <v>419</v>
      </c>
      <c r="C27" s="360"/>
      <c r="D27" s="322"/>
      <c r="E27" s="322"/>
      <c r="F27" s="330"/>
      <c r="G27" s="330"/>
      <c r="H27" s="322"/>
      <c r="I27" s="330"/>
      <c r="J27" s="322"/>
      <c r="K27" s="333"/>
      <c r="L27" s="330"/>
      <c r="M27" s="330"/>
      <c r="N27" s="330"/>
      <c r="O27" s="330"/>
      <c r="P27" s="330"/>
    </row>
    <row r="28" spans="1:35" s="347" customFormat="1" ht="15" customHeight="1" x14ac:dyDescent="0.2">
      <c r="A28" s="462" t="s">
        <v>402</v>
      </c>
      <c r="B28" s="359" t="s">
        <v>6</v>
      </c>
      <c r="C28" s="462" t="s">
        <v>446</v>
      </c>
      <c r="D28" s="462">
        <v>-2</v>
      </c>
      <c r="E28" s="462">
        <v>-1</v>
      </c>
      <c r="F28" s="381">
        <v>1</v>
      </c>
      <c r="G28" s="381">
        <v>2</v>
      </c>
      <c r="H28" s="381">
        <v>3</v>
      </c>
      <c r="I28" s="381">
        <v>4</v>
      </c>
      <c r="J28" s="381">
        <v>5</v>
      </c>
      <c r="K28" s="381">
        <v>6</v>
      </c>
      <c r="L28" s="381">
        <v>7</v>
      </c>
      <c r="M28" s="381">
        <v>8</v>
      </c>
      <c r="N28" s="381">
        <v>9</v>
      </c>
      <c r="O28" s="381">
        <v>10</v>
      </c>
      <c r="P28" s="381">
        <v>11</v>
      </c>
      <c r="Q28" s="381">
        <v>12</v>
      </c>
      <c r="R28" s="381">
        <v>13</v>
      </c>
      <c r="S28" s="381">
        <v>14</v>
      </c>
      <c r="T28" s="381">
        <v>15</v>
      </c>
      <c r="U28" s="349"/>
      <c r="V28" s="349"/>
      <c r="W28" s="349"/>
      <c r="X28" s="349"/>
      <c r="Y28" s="349"/>
      <c r="Z28" s="349"/>
      <c r="AA28" s="349"/>
      <c r="AB28" s="349"/>
      <c r="AC28" s="349"/>
      <c r="AD28" s="349"/>
      <c r="AE28" s="349"/>
      <c r="AF28" s="349"/>
      <c r="AG28" s="349"/>
      <c r="AH28" s="349"/>
      <c r="AI28" s="350"/>
    </row>
    <row r="29" spans="1:35" s="349" customFormat="1" ht="15" customHeight="1" x14ac:dyDescent="0.2">
      <c r="A29" s="351">
        <v>1</v>
      </c>
      <c r="B29" s="329" t="s">
        <v>72</v>
      </c>
      <c r="C29" s="351" t="s">
        <v>547</v>
      </c>
      <c r="D29" s="351"/>
      <c r="E29" s="351"/>
      <c r="F29" s="355">
        <f t="shared" ref="F29:T29" si="18">F4</f>
        <v>26.736560218771277</v>
      </c>
      <c r="G29" s="355">
        <f t="shared" si="18"/>
        <v>62.541164915207943</v>
      </c>
      <c r="H29" s="355">
        <f t="shared" si="18"/>
        <v>70.785170658434197</v>
      </c>
      <c r="I29" s="355">
        <f t="shared" si="18"/>
        <v>72.883340511105331</v>
      </c>
      <c r="J29" s="355">
        <f t="shared" si="18"/>
        <v>75.475958815027738</v>
      </c>
      <c r="K29" s="355">
        <f t="shared" si="18"/>
        <v>78.488975129915374</v>
      </c>
      <c r="L29" s="355">
        <f t="shared" si="18"/>
        <v>81.859434898784869</v>
      </c>
      <c r="M29" s="355">
        <f t="shared" si="18"/>
        <v>85.533816233734242</v>
      </c>
      <c r="N29" s="355">
        <f t="shared" si="18"/>
        <v>89.466616067027275</v>
      </c>
      <c r="O29" s="355">
        <f t="shared" si="18"/>
        <v>88.216866919917507</v>
      </c>
      <c r="P29" s="355">
        <f t="shared" si="18"/>
        <v>81.838151907482128</v>
      </c>
      <c r="Q29" s="355">
        <f t="shared" si="18"/>
        <v>80.93412162845047</v>
      </c>
      <c r="R29" s="355">
        <f t="shared" si="18"/>
        <v>80.165192987617374</v>
      </c>
      <c r="S29" s="355">
        <f t="shared" si="18"/>
        <v>84.826958398299411</v>
      </c>
      <c r="T29" s="355">
        <f t="shared" si="18"/>
        <v>84.270615382039011</v>
      </c>
    </row>
    <row r="30" spans="1:35" s="349" customFormat="1" ht="15" customHeight="1" x14ac:dyDescent="0.2">
      <c r="A30" s="351">
        <v>2</v>
      </c>
      <c r="B30" s="329" t="s">
        <v>511</v>
      </c>
      <c r="C30" s="351" t="s">
        <v>547</v>
      </c>
      <c r="D30" s="351"/>
      <c r="E30" s="351"/>
      <c r="F30" s="355">
        <f t="shared" ref="F30:T30" si="19">F5</f>
        <v>36.819759775000009</v>
      </c>
      <c r="G30" s="355">
        <f t="shared" si="19"/>
        <v>36.819759775000009</v>
      </c>
      <c r="H30" s="355">
        <f t="shared" si="19"/>
        <v>36.819759775000009</v>
      </c>
      <c r="I30" s="355">
        <f t="shared" si="19"/>
        <v>36.819759775000009</v>
      </c>
      <c r="J30" s="355">
        <f t="shared" si="19"/>
        <v>36.819759775000009</v>
      </c>
      <c r="K30" s="355">
        <f t="shared" si="19"/>
        <v>36.819759775000009</v>
      </c>
      <c r="L30" s="355">
        <f t="shared" si="19"/>
        <v>36.819759775000009</v>
      </c>
      <c r="M30" s="355">
        <f t="shared" si="19"/>
        <v>36.819759775000009</v>
      </c>
      <c r="N30" s="355">
        <f t="shared" si="19"/>
        <v>36.819759775000009</v>
      </c>
      <c r="O30" s="355">
        <f t="shared" si="19"/>
        <v>36.819759775000009</v>
      </c>
      <c r="P30" s="355">
        <f t="shared" si="19"/>
        <v>36.819759775000009</v>
      </c>
      <c r="Q30" s="355">
        <f t="shared" si="19"/>
        <v>36.819759775000009</v>
      </c>
      <c r="R30" s="355">
        <f t="shared" si="19"/>
        <v>36.819759775000009</v>
      </c>
      <c r="S30" s="355">
        <f t="shared" si="19"/>
        <v>36.819759775000009</v>
      </c>
      <c r="T30" s="355">
        <f t="shared" si="19"/>
        <v>36.819759775000009</v>
      </c>
    </row>
    <row r="31" spans="1:35" s="349" customFormat="1" ht="15" customHeight="1" x14ac:dyDescent="0.2">
      <c r="A31" s="351">
        <v>3</v>
      </c>
      <c r="B31" s="329" t="s">
        <v>526</v>
      </c>
      <c r="C31" s="351" t="s">
        <v>547</v>
      </c>
      <c r="D31" s="351"/>
      <c r="E31" s="351"/>
      <c r="F31" s="355">
        <f>-'Cashflow '!E89</f>
        <v>-60.02534838281251</v>
      </c>
      <c r="G31" s="355">
        <f>-'Cashflow '!F89</f>
        <v>-60.02534838281251</v>
      </c>
      <c r="H31" s="355">
        <f>-'Cashflow '!G89</f>
        <v>-60.02534838281251</v>
      </c>
      <c r="I31" s="355">
        <f>-'Cashflow '!H89</f>
        <v>-60.02534838281251</v>
      </c>
      <c r="J31" s="355">
        <f>-'Cashflow '!I89</f>
        <v>-60.02534838281251</v>
      </c>
      <c r="K31" s="355">
        <f>-'Cashflow '!J89</f>
        <v>-60.02534838281251</v>
      </c>
      <c r="L31" s="355">
        <f>-'Cashflow '!K89</f>
        <v>-60.02534838281251</v>
      </c>
      <c r="M31" s="355">
        <f>-'Cashflow '!L89</f>
        <v>-60.02534838281251</v>
      </c>
      <c r="N31" s="355">
        <f>-'Cashflow '!M89</f>
        <v>0</v>
      </c>
      <c r="O31" s="355">
        <f>-'Cashflow '!N89</f>
        <v>0</v>
      </c>
      <c r="P31" s="355">
        <f>-'Cashflow '!O89</f>
        <v>0</v>
      </c>
      <c r="Q31" s="355">
        <f>-'Cashflow '!P89</f>
        <v>0</v>
      </c>
      <c r="R31" s="355">
        <f>-'Cashflow '!Q89</f>
        <v>0</v>
      </c>
      <c r="S31" s="355">
        <f>-'Cashflow '!R89</f>
        <v>0</v>
      </c>
      <c r="T31" s="355">
        <f>-'Cashflow '!S89</f>
        <v>0</v>
      </c>
    </row>
    <row r="32" spans="1:35" s="349" customFormat="1" ht="15" customHeight="1" x14ac:dyDescent="0.2">
      <c r="A32" s="351">
        <v>4</v>
      </c>
      <c r="B32" s="329" t="s">
        <v>510</v>
      </c>
      <c r="C32" s="351" t="s">
        <v>547</v>
      </c>
      <c r="D32" s="351"/>
      <c r="E32" s="351"/>
      <c r="F32" s="357">
        <f t="shared" ref="F32:T32" si="20">F8</f>
        <v>0</v>
      </c>
      <c r="G32" s="357">
        <f t="shared" si="20"/>
        <v>0</v>
      </c>
      <c r="H32" s="357">
        <f t="shared" si="20"/>
        <v>0</v>
      </c>
      <c r="I32" s="357">
        <f t="shared" si="20"/>
        <v>0</v>
      </c>
      <c r="J32" s="357">
        <f t="shared" si="20"/>
        <v>0</v>
      </c>
      <c r="K32" s="357">
        <f t="shared" si="20"/>
        <v>0</v>
      </c>
      <c r="L32" s="357">
        <f t="shared" si="20"/>
        <v>0</v>
      </c>
      <c r="M32" s="357">
        <f t="shared" si="20"/>
        <v>0</v>
      </c>
      <c r="N32" s="357">
        <f t="shared" si="20"/>
        <v>0</v>
      </c>
      <c r="O32" s="357">
        <f t="shared" si="20"/>
        <v>0</v>
      </c>
      <c r="P32" s="357">
        <f t="shared" si="20"/>
        <v>0</v>
      </c>
      <c r="Q32" s="357">
        <f t="shared" si="20"/>
        <v>0</v>
      </c>
      <c r="R32" s="357">
        <f t="shared" si="20"/>
        <v>0</v>
      </c>
      <c r="S32" s="357">
        <f t="shared" si="20"/>
        <v>0</v>
      </c>
      <c r="T32" s="357">
        <f t="shared" si="20"/>
        <v>4.5585613214701706</v>
      </c>
    </row>
    <row r="33" spans="1:35" s="349" customFormat="1" ht="15" customHeight="1" x14ac:dyDescent="0.2">
      <c r="A33" s="351">
        <v>5</v>
      </c>
      <c r="B33" s="329" t="s">
        <v>524</v>
      </c>
      <c r="C33" s="351" t="s">
        <v>547</v>
      </c>
      <c r="D33" s="351"/>
      <c r="E33" s="351"/>
      <c r="F33" s="357">
        <f t="shared" ref="F33:T33" si="21">F9</f>
        <v>0</v>
      </c>
      <c r="G33" s="357">
        <f t="shared" si="21"/>
        <v>0</v>
      </c>
      <c r="H33" s="357">
        <f t="shared" si="21"/>
        <v>0</v>
      </c>
      <c r="I33" s="357">
        <f t="shared" si="21"/>
        <v>0</v>
      </c>
      <c r="J33" s="357">
        <f t="shared" si="21"/>
        <v>0</v>
      </c>
      <c r="K33" s="357">
        <f t="shared" si="21"/>
        <v>0</v>
      </c>
      <c r="L33" s="357">
        <f t="shared" si="21"/>
        <v>0</v>
      </c>
      <c r="M33" s="357">
        <f t="shared" si="21"/>
        <v>0</v>
      </c>
      <c r="N33" s="357">
        <f t="shared" si="21"/>
        <v>0</v>
      </c>
      <c r="O33" s="357">
        <f t="shared" si="21"/>
        <v>0</v>
      </c>
      <c r="P33" s="357">
        <f t="shared" si="21"/>
        <v>0</v>
      </c>
      <c r="Q33" s="357">
        <f t="shared" si="21"/>
        <v>0</v>
      </c>
      <c r="R33" s="357">
        <f t="shared" si="21"/>
        <v>0</v>
      </c>
      <c r="S33" s="357">
        <f t="shared" si="21"/>
        <v>0</v>
      </c>
      <c r="T33" s="357">
        <f t="shared" si="21"/>
        <v>-13.675683964410512</v>
      </c>
    </row>
    <row r="34" spans="1:35" s="349" customFormat="1" ht="15" customHeight="1" x14ac:dyDescent="0.2">
      <c r="A34" s="351">
        <v>6</v>
      </c>
      <c r="B34" s="332" t="s">
        <v>553</v>
      </c>
      <c r="C34" s="351" t="s">
        <v>547</v>
      </c>
      <c r="D34" s="351"/>
      <c r="E34" s="351"/>
      <c r="F34" s="354">
        <f t="shared" ref="F34:T34" si="22">F10</f>
        <v>0</v>
      </c>
      <c r="G34" s="354">
        <f t="shared" si="22"/>
        <v>0</v>
      </c>
      <c r="H34" s="354">
        <f t="shared" si="22"/>
        <v>0</v>
      </c>
      <c r="I34" s="354">
        <f t="shared" si="22"/>
        <v>0</v>
      </c>
      <c r="J34" s="354">
        <f t="shared" si="22"/>
        <v>0</v>
      </c>
      <c r="K34" s="354">
        <f t="shared" si="22"/>
        <v>0</v>
      </c>
      <c r="L34" s="354">
        <f t="shared" si="22"/>
        <v>0</v>
      </c>
      <c r="M34" s="354">
        <f t="shared" si="22"/>
        <v>0</v>
      </c>
      <c r="N34" s="354">
        <f t="shared" si="22"/>
        <v>0</v>
      </c>
      <c r="O34" s="354">
        <f t="shared" si="22"/>
        <v>0</v>
      </c>
      <c r="P34" s="354">
        <f t="shared" si="22"/>
        <v>0</v>
      </c>
      <c r="Q34" s="354">
        <f t="shared" si="22"/>
        <v>0</v>
      </c>
      <c r="R34" s="354">
        <f t="shared" si="22"/>
        <v>0</v>
      </c>
      <c r="S34" s="354">
        <f t="shared" si="22"/>
        <v>0</v>
      </c>
      <c r="T34" s="357">
        <f t="shared" si="22"/>
        <v>26.534625000000005</v>
      </c>
    </row>
    <row r="35" spans="1:35" s="349" customFormat="1" ht="15" customHeight="1" x14ac:dyDescent="0.2">
      <c r="A35" s="351">
        <v>7</v>
      </c>
      <c r="B35" s="460" t="s">
        <v>550</v>
      </c>
      <c r="C35" s="351" t="s">
        <v>547</v>
      </c>
      <c r="D35" s="463"/>
      <c r="E35" s="463"/>
      <c r="F35" s="388">
        <f>SUM(F29:F34)</f>
        <v>3.5309716109587725</v>
      </c>
      <c r="G35" s="388">
        <f t="shared" ref="G35:J35" si="23">SUM(G29:G34)</f>
        <v>39.335576307395442</v>
      </c>
      <c r="H35" s="388">
        <f t="shared" si="23"/>
        <v>47.579582050621696</v>
      </c>
      <c r="I35" s="388">
        <f t="shared" si="23"/>
        <v>49.67775190329283</v>
      </c>
      <c r="J35" s="388">
        <f t="shared" si="23"/>
        <v>52.270370207215237</v>
      </c>
      <c r="K35" s="388">
        <f t="shared" ref="K35" si="24">SUM(K29:K34)</f>
        <v>55.283386522102873</v>
      </c>
      <c r="L35" s="388">
        <f t="shared" ref="L35" si="25">SUM(L29:L34)</f>
        <v>58.653846290972368</v>
      </c>
      <c r="M35" s="388">
        <f t="shared" ref="M35:N35" si="26">SUM(M29:M34)</f>
        <v>62.328227625921741</v>
      </c>
      <c r="N35" s="388">
        <f t="shared" si="26"/>
        <v>126.28637584202728</v>
      </c>
      <c r="O35" s="388">
        <f t="shared" ref="O35" si="27">SUM(O29:O34)</f>
        <v>125.03662669491752</v>
      </c>
      <c r="P35" s="388">
        <f t="shared" ref="P35" si="28">SUM(P29:P34)</f>
        <v>118.65791168248214</v>
      </c>
      <c r="Q35" s="388">
        <f t="shared" ref="Q35:R35" si="29">SUM(Q29:Q34)</f>
        <v>117.75388140345048</v>
      </c>
      <c r="R35" s="388">
        <f t="shared" si="29"/>
        <v>116.98495276261738</v>
      </c>
      <c r="S35" s="388">
        <f t="shared" ref="S35" si="30">SUM(S29:S34)</f>
        <v>121.64671817329942</v>
      </c>
      <c r="T35" s="388">
        <f t="shared" ref="T35" si="31">SUM(T29:T34)</f>
        <v>138.50787751409868</v>
      </c>
    </row>
    <row r="36" spans="1:35" s="349" customFormat="1" ht="15" customHeight="1" x14ac:dyDescent="0.2">
      <c r="A36" s="351">
        <v>8</v>
      </c>
      <c r="B36" s="329" t="s">
        <v>516</v>
      </c>
      <c r="C36" s="351" t="s">
        <v>547</v>
      </c>
      <c r="D36" s="461">
        <f>-C22</f>
        <v>-146.44793750000002</v>
      </c>
      <c r="E36" s="461">
        <f t="shared" ref="E36:T36" si="32">E35</f>
        <v>0</v>
      </c>
      <c r="F36" s="461">
        <f t="shared" si="32"/>
        <v>3.5309716109587725</v>
      </c>
      <c r="G36" s="461">
        <f t="shared" si="32"/>
        <v>39.335576307395442</v>
      </c>
      <c r="H36" s="461">
        <f t="shared" si="32"/>
        <v>47.579582050621696</v>
      </c>
      <c r="I36" s="461">
        <f t="shared" si="32"/>
        <v>49.67775190329283</v>
      </c>
      <c r="J36" s="461">
        <f t="shared" si="32"/>
        <v>52.270370207215237</v>
      </c>
      <c r="K36" s="461">
        <f t="shared" si="32"/>
        <v>55.283386522102873</v>
      </c>
      <c r="L36" s="461">
        <f t="shared" si="32"/>
        <v>58.653846290972368</v>
      </c>
      <c r="M36" s="461">
        <f t="shared" si="32"/>
        <v>62.328227625921741</v>
      </c>
      <c r="N36" s="461">
        <f t="shared" si="32"/>
        <v>126.28637584202728</v>
      </c>
      <c r="O36" s="461">
        <f t="shared" si="32"/>
        <v>125.03662669491752</v>
      </c>
      <c r="P36" s="461">
        <f t="shared" si="32"/>
        <v>118.65791168248214</v>
      </c>
      <c r="Q36" s="461">
        <f t="shared" si="32"/>
        <v>117.75388140345048</v>
      </c>
      <c r="R36" s="461">
        <f t="shared" si="32"/>
        <v>116.98495276261738</v>
      </c>
      <c r="S36" s="461">
        <f t="shared" si="32"/>
        <v>121.64671817329942</v>
      </c>
      <c r="T36" s="461">
        <f t="shared" si="32"/>
        <v>138.50787751409868</v>
      </c>
    </row>
    <row r="37" spans="1:35" s="349" customFormat="1" ht="15" customHeight="1" x14ac:dyDescent="0.2">
      <c r="A37" s="351">
        <v>9</v>
      </c>
      <c r="B37" s="329" t="s">
        <v>551</v>
      </c>
      <c r="C37" s="346" t="s">
        <v>547</v>
      </c>
      <c r="D37" s="671">
        <f>IRR(D36:T36)</f>
        <v>0.25821869001868802</v>
      </c>
      <c r="E37" s="461"/>
      <c r="F37" s="461"/>
      <c r="G37" s="461"/>
      <c r="H37" s="461"/>
      <c r="I37" s="461"/>
      <c r="J37" s="461"/>
      <c r="K37" s="461"/>
      <c r="L37" s="461"/>
      <c r="M37" s="461"/>
      <c r="N37" s="461"/>
      <c r="O37" s="461"/>
      <c r="P37" s="461"/>
      <c r="Q37" s="461"/>
      <c r="R37" s="461"/>
      <c r="S37" s="461"/>
      <c r="T37" s="461"/>
    </row>
    <row r="38" spans="1:35" s="349" customFormat="1" ht="15" customHeight="1" x14ac:dyDescent="0.2">
      <c r="A38" s="206"/>
      <c r="B38" s="324"/>
      <c r="C38" s="206"/>
      <c r="D38" s="422"/>
      <c r="E38" s="510"/>
      <c r="F38" s="510"/>
      <c r="G38" s="510"/>
      <c r="H38" s="510"/>
      <c r="I38" s="510"/>
      <c r="J38" s="510"/>
      <c r="K38" s="510"/>
      <c r="L38" s="510"/>
      <c r="M38" s="510"/>
      <c r="N38" s="510"/>
      <c r="O38" s="510"/>
      <c r="P38" s="510"/>
      <c r="Q38" s="510"/>
      <c r="R38" s="510"/>
      <c r="S38" s="510"/>
      <c r="T38" s="510"/>
    </row>
    <row r="39" spans="1:35" s="349" customFormat="1" ht="15" customHeight="1" x14ac:dyDescent="0.2">
      <c r="A39" s="462" t="s">
        <v>402</v>
      </c>
      <c r="B39" s="338" t="s">
        <v>580</v>
      </c>
      <c r="C39" s="322"/>
      <c r="D39" s="507"/>
      <c r="E39" s="506"/>
      <c r="F39" s="502"/>
      <c r="G39" s="502"/>
      <c r="H39" s="502"/>
      <c r="I39" s="502"/>
      <c r="J39" s="502"/>
      <c r="K39" s="502"/>
      <c r="L39" s="502"/>
      <c r="M39" s="502"/>
      <c r="N39" s="502"/>
      <c r="O39" s="502"/>
      <c r="P39" s="502"/>
      <c r="Q39" s="502"/>
      <c r="R39" s="502"/>
      <c r="S39" s="502"/>
      <c r="T39" s="502"/>
    </row>
    <row r="40" spans="1:35" s="349" customFormat="1" ht="15" customHeight="1" x14ac:dyDescent="0.2">
      <c r="A40" s="462">
        <v>1</v>
      </c>
      <c r="B40" s="329" t="s">
        <v>581</v>
      </c>
      <c r="C40" s="328" t="s">
        <v>558</v>
      </c>
      <c r="D40" s="508"/>
      <c r="E40" s="471">
        <f>-D36</f>
        <v>146.44793750000002</v>
      </c>
      <c r="F40" s="509">
        <f>F36</f>
        <v>3.5309716109587725</v>
      </c>
      <c r="G40" s="509">
        <f>G36+F36</f>
        <v>42.866547918354215</v>
      </c>
      <c r="H40" s="509">
        <f>H36+G40</f>
        <v>90.44612996897591</v>
      </c>
      <c r="I40" s="509">
        <f>I36+H40</f>
        <v>140.12388187226873</v>
      </c>
      <c r="J40" s="509">
        <f t="shared" ref="J40:T40" si="33">J36+I40</f>
        <v>192.39425207948398</v>
      </c>
      <c r="K40" s="509">
        <f t="shared" si="33"/>
        <v>247.67763860158686</v>
      </c>
      <c r="L40" s="509">
        <f t="shared" si="33"/>
        <v>306.33148489255922</v>
      </c>
      <c r="M40" s="509">
        <f t="shared" si="33"/>
        <v>368.65971251848094</v>
      </c>
      <c r="N40" s="509">
        <f t="shared" si="33"/>
        <v>494.94608836050821</v>
      </c>
      <c r="O40" s="509">
        <f t="shared" si="33"/>
        <v>619.98271505542573</v>
      </c>
      <c r="P40" s="509">
        <f t="shared" si="33"/>
        <v>738.64062673790784</v>
      </c>
      <c r="Q40" s="509">
        <f t="shared" si="33"/>
        <v>856.3945081413583</v>
      </c>
      <c r="R40" s="509">
        <f t="shared" si="33"/>
        <v>973.37946090397566</v>
      </c>
      <c r="S40" s="509">
        <f t="shared" si="33"/>
        <v>1095.0261790772752</v>
      </c>
      <c r="T40" s="509">
        <f t="shared" si="33"/>
        <v>1233.5340565913739</v>
      </c>
    </row>
    <row r="41" spans="1:35" s="349" customFormat="1" ht="15" customHeight="1" x14ac:dyDescent="0.2">
      <c r="A41" s="346">
        <v>2</v>
      </c>
      <c r="B41" s="329" t="s">
        <v>514</v>
      </c>
      <c r="C41" s="328"/>
      <c r="D41" s="508"/>
      <c r="E41" s="471"/>
      <c r="F41" s="331" t="b">
        <f>IF(F40&lt;$E$40,TRUE,FALSE)</f>
        <v>1</v>
      </c>
      <c r="G41" s="331" t="b">
        <f t="shared" ref="G41:T41" si="34">IF(G40&lt;$E$40,TRUE,FALSE)</f>
        <v>1</v>
      </c>
      <c r="H41" s="331" t="b">
        <f t="shared" si="34"/>
        <v>1</v>
      </c>
      <c r="I41" s="331" t="b">
        <f t="shared" si="34"/>
        <v>1</v>
      </c>
      <c r="J41" s="331" t="b">
        <f t="shared" si="34"/>
        <v>0</v>
      </c>
      <c r="K41" s="331" t="b">
        <f t="shared" si="34"/>
        <v>0</v>
      </c>
      <c r="L41" s="331" t="b">
        <f t="shared" si="34"/>
        <v>0</v>
      </c>
      <c r="M41" s="331" t="b">
        <f t="shared" si="34"/>
        <v>0</v>
      </c>
      <c r="N41" s="331" t="b">
        <f t="shared" si="34"/>
        <v>0</v>
      </c>
      <c r="O41" s="331" t="b">
        <f t="shared" si="34"/>
        <v>0</v>
      </c>
      <c r="P41" s="331" t="b">
        <f t="shared" si="34"/>
        <v>0</v>
      </c>
      <c r="Q41" s="331" t="b">
        <f t="shared" si="34"/>
        <v>0</v>
      </c>
      <c r="R41" s="331" t="b">
        <f t="shared" si="34"/>
        <v>0</v>
      </c>
      <c r="S41" s="331" t="b">
        <f t="shared" si="34"/>
        <v>0</v>
      </c>
      <c r="T41" s="331" t="b">
        <f t="shared" si="34"/>
        <v>0</v>
      </c>
    </row>
    <row r="42" spans="1:35" s="349" customFormat="1" ht="15" customHeight="1" x14ac:dyDescent="0.2">
      <c r="A42" s="346">
        <v>3</v>
      </c>
      <c r="B42" s="329"/>
      <c r="C42" s="328"/>
      <c r="D42" s="508"/>
      <c r="E42" s="471"/>
      <c r="F42" s="331">
        <f>IF(F41=TRUE,1,$E$40/F40)</f>
        <v>1</v>
      </c>
      <c r="G42" s="331">
        <f>IF(G41=TRUE,1,($E$40-F40)/G36)</f>
        <v>1</v>
      </c>
      <c r="H42" s="331">
        <f t="shared" ref="H42:T42" si="35">IF(H41=TRUE,1,($E$40-G40)/H36)</f>
        <v>1</v>
      </c>
      <c r="I42" s="331">
        <f t="shared" si="35"/>
        <v>1</v>
      </c>
      <c r="J42" s="331">
        <f t="shared" si="35"/>
        <v>0.12098738927351896</v>
      </c>
      <c r="K42" s="331">
        <f t="shared" si="35"/>
        <v>-0.83110528261712291</v>
      </c>
      <c r="L42" s="331">
        <f t="shared" si="35"/>
        <v>-1.7258834245822934</v>
      </c>
      <c r="M42" s="331">
        <f t="shared" si="35"/>
        <v>-2.5651868099336919</v>
      </c>
      <c r="N42" s="331">
        <f t="shared" si="35"/>
        <v>-1.7595862858274398</v>
      </c>
      <c r="O42" s="331">
        <f t="shared" si="35"/>
        <v>-2.7871685287129866</v>
      </c>
      <c r="P42" s="331">
        <f t="shared" si="35"/>
        <v>-3.9907560384389877</v>
      </c>
      <c r="Q42" s="331">
        <f t="shared" si="35"/>
        <v>-5.0290715021862127</v>
      </c>
      <c r="R42" s="331">
        <f t="shared" si="35"/>
        <v>-6.0686998958059339</v>
      </c>
      <c r="S42" s="331">
        <f t="shared" si="35"/>
        <v>-6.7978120233865971</v>
      </c>
      <c r="T42" s="331">
        <f t="shared" si="35"/>
        <v>-6.8485508449201351</v>
      </c>
    </row>
    <row r="43" spans="1:35" s="349" customFormat="1" ht="15" customHeight="1" x14ac:dyDescent="0.2">
      <c r="A43" s="346">
        <v>4</v>
      </c>
      <c r="B43" s="329" t="s">
        <v>582</v>
      </c>
      <c r="C43" s="328" t="s">
        <v>296</v>
      </c>
      <c r="D43" s="485">
        <f>SUM(F42:I42)+J42</f>
        <v>4.1209873892735187</v>
      </c>
      <c r="E43" s="506"/>
      <c r="F43" s="330"/>
      <c r="G43" s="330"/>
      <c r="H43" s="330"/>
      <c r="I43" s="330"/>
      <c r="J43" s="330"/>
      <c r="K43" s="330"/>
      <c r="L43" s="330"/>
      <c r="M43" s="330"/>
      <c r="N43" s="330"/>
      <c r="O43" s="330"/>
      <c r="P43" s="330"/>
      <c r="Q43" s="330"/>
      <c r="R43" s="330"/>
      <c r="S43" s="330"/>
      <c r="T43" s="330"/>
    </row>
    <row r="44" spans="1:35" s="349" customFormat="1" ht="15" customHeight="1" x14ac:dyDescent="0.2">
      <c r="A44" s="206"/>
      <c r="B44" s="324"/>
      <c r="C44" s="206"/>
      <c r="D44" s="422"/>
      <c r="E44" s="510"/>
      <c r="F44" s="510"/>
      <c r="G44" s="510"/>
      <c r="H44" s="510"/>
      <c r="I44" s="510"/>
      <c r="J44" s="510"/>
      <c r="K44" s="510"/>
      <c r="L44" s="510"/>
      <c r="M44" s="510"/>
      <c r="N44" s="510"/>
      <c r="O44" s="510"/>
      <c r="P44" s="510"/>
      <c r="Q44" s="510"/>
      <c r="R44" s="510"/>
      <c r="S44" s="510"/>
      <c r="T44" s="510"/>
    </row>
    <row r="45" spans="1:35" ht="15" customHeight="1" x14ac:dyDescent="0.2">
      <c r="D45" s="326"/>
      <c r="E45" s="326"/>
      <c r="J45" s="325"/>
    </row>
    <row r="46" spans="1:35" s="349" customFormat="1" ht="15" customHeight="1" x14ac:dyDescent="0.2">
      <c r="A46" s="206"/>
      <c r="D46" s="363"/>
      <c r="E46" s="363"/>
      <c r="J46" s="362"/>
      <c r="U46" s="346"/>
      <c r="V46" s="369"/>
    </row>
    <row r="47" spans="1:35" s="367" customFormat="1" ht="15" customHeight="1" x14ac:dyDescent="0.25">
      <c r="A47" s="462" t="s">
        <v>402</v>
      </c>
      <c r="B47" s="669" t="s">
        <v>120</v>
      </c>
      <c r="C47" s="462" t="s">
        <v>446</v>
      </c>
      <c r="D47" s="462">
        <f t="shared" ref="D47:T47" si="36">D3</f>
        <v>-2</v>
      </c>
      <c r="E47" s="462">
        <f t="shared" si="36"/>
        <v>-1</v>
      </c>
      <c r="F47" s="462">
        <f t="shared" si="36"/>
        <v>1</v>
      </c>
      <c r="G47" s="462">
        <f t="shared" si="36"/>
        <v>2</v>
      </c>
      <c r="H47" s="462">
        <f t="shared" si="36"/>
        <v>3</v>
      </c>
      <c r="I47" s="462">
        <f t="shared" si="36"/>
        <v>4</v>
      </c>
      <c r="J47" s="462">
        <f t="shared" si="36"/>
        <v>5</v>
      </c>
      <c r="K47" s="462">
        <f t="shared" si="36"/>
        <v>6</v>
      </c>
      <c r="L47" s="462">
        <f t="shared" si="36"/>
        <v>7</v>
      </c>
      <c r="M47" s="462">
        <f t="shared" si="36"/>
        <v>8</v>
      </c>
      <c r="N47" s="462">
        <f t="shared" si="36"/>
        <v>9</v>
      </c>
      <c r="O47" s="462">
        <f t="shared" si="36"/>
        <v>10</v>
      </c>
      <c r="P47" s="462">
        <f t="shared" si="36"/>
        <v>11</v>
      </c>
      <c r="Q47" s="462">
        <f t="shared" si="36"/>
        <v>12</v>
      </c>
      <c r="R47" s="462">
        <f t="shared" si="36"/>
        <v>13</v>
      </c>
      <c r="S47" s="462">
        <f t="shared" si="36"/>
        <v>14</v>
      </c>
      <c r="T47" s="462">
        <f t="shared" si="36"/>
        <v>15</v>
      </c>
      <c r="U47" s="365"/>
      <c r="V47" s="370"/>
      <c r="W47" s="371"/>
      <c r="X47" s="371"/>
      <c r="Y47" s="371"/>
      <c r="Z47" s="371"/>
      <c r="AA47" s="371"/>
      <c r="AB47" s="371"/>
      <c r="AC47" s="371"/>
      <c r="AD47" s="371"/>
      <c r="AE47" s="371"/>
      <c r="AF47" s="371"/>
      <c r="AG47" s="371"/>
      <c r="AH47" s="371"/>
      <c r="AI47" s="366"/>
    </row>
    <row r="48" spans="1:35" s="349" customFormat="1" ht="15" customHeight="1" x14ac:dyDescent="0.2">
      <c r="A48" s="346">
        <v>1</v>
      </c>
      <c r="B48" s="460" t="s">
        <v>517</v>
      </c>
      <c r="C48" s="351" t="s">
        <v>547</v>
      </c>
      <c r="D48" s="466" t="s">
        <v>509</v>
      </c>
      <c r="E48" s="466"/>
      <c r="F48" s="467">
        <f t="shared" ref="F48:T48" si="37">F6</f>
        <v>43.218250835625007</v>
      </c>
      <c r="G48" s="467">
        <f t="shared" si="37"/>
        <v>37.815969481171877</v>
      </c>
      <c r="H48" s="467">
        <f t="shared" si="37"/>
        <v>32.413688126718753</v>
      </c>
      <c r="I48" s="467">
        <f t="shared" si="37"/>
        <v>27.011406772265623</v>
      </c>
      <c r="J48" s="467">
        <f t="shared" si="37"/>
        <v>21.609125417812496</v>
      </c>
      <c r="K48" s="467">
        <f t="shared" si="37"/>
        <v>16.20684406335937</v>
      </c>
      <c r="L48" s="467">
        <f t="shared" si="37"/>
        <v>10.804562708906245</v>
      </c>
      <c r="M48" s="467">
        <f t="shared" si="37"/>
        <v>5.4022813544531196</v>
      </c>
      <c r="N48" s="467">
        <f t="shared" si="37"/>
        <v>-6.394884621840901E-15</v>
      </c>
      <c r="O48" s="467">
        <f t="shared" si="37"/>
        <v>-6.394884621840901E-15</v>
      </c>
      <c r="P48" s="467">
        <f t="shared" si="37"/>
        <v>-6.394884621840901E-15</v>
      </c>
      <c r="Q48" s="467">
        <f t="shared" si="37"/>
        <v>-6.394884621840901E-15</v>
      </c>
      <c r="R48" s="467">
        <f t="shared" si="37"/>
        <v>-6.394884621840901E-15</v>
      </c>
      <c r="S48" s="467">
        <f t="shared" si="37"/>
        <v>-6.394884621840901E-15</v>
      </c>
      <c r="T48" s="467">
        <f t="shared" si="37"/>
        <v>-6.394884621840901E-15</v>
      </c>
    </row>
    <row r="49" spans="1:49" ht="15" customHeight="1" x14ac:dyDescent="0.2">
      <c r="A49" s="328">
        <v>2</v>
      </c>
      <c r="B49" s="332" t="s">
        <v>518</v>
      </c>
      <c r="C49" s="351" t="s">
        <v>547</v>
      </c>
      <c r="D49" s="331" t="s">
        <v>509</v>
      </c>
      <c r="E49" s="331"/>
      <c r="F49" s="468">
        <f t="shared" ref="F49:T49" si="38">-F31</f>
        <v>60.02534838281251</v>
      </c>
      <c r="G49" s="468">
        <f t="shared" si="38"/>
        <v>60.02534838281251</v>
      </c>
      <c r="H49" s="468">
        <f t="shared" si="38"/>
        <v>60.02534838281251</v>
      </c>
      <c r="I49" s="468">
        <f t="shared" si="38"/>
        <v>60.02534838281251</v>
      </c>
      <c r="J49" s="468">
        <f t="shared" si="38"/>
        <v>60.02534838281251</v>
      </c>
      <c r="K49" s="468">
        <f t="shared" si="38"/>
        <v>60.02534838281251</v>
      </c>
      <c r="L49" s="468">
        <f t="shared" si="38"/>
        <v>60.02534838281251</v>
      </c>
      <c r="M49" s="468">
        <f t="shared" si="38"/>
        <v>60.02534838281251</v>
      </c>
      <c r="N49" s="468">
        <f t="shared" si="38"/>
        <v>0</v>
      </c>
      <c r="O49" s="468">
        <f t="shared" si="38"/>
        <v>0</v>
      </c>
      <c r="P49" s="468">
        <f t="shared" si="38"/>
        <v>0</v>
      </c>
      <c r="Q49" s="468">
        <f t="shared" si="38"/>
        <v>0</v>
      </c>
      <c r="R49" s="468">
        <f t="shared" si="38"/>
        <v>0</v>
      </c>
      <c r="S49" s="468">
        <f t="shared" si="38"/>
        <v>0</v>
      </c>
      <c r="T49" s="468">
        <f t="shared" si="38"/>
        <v>0</v>
      </c>
      <c r="U49" s="335"/>
    </row>
    <row r="50" spans="1:49" ht="15" customHeight="1" x14ac:dyDescent="0.2">
      <c r="A50" s="328">
        <v>3</v>
      </c>
      <c r="B50" s="329" t="s">
        <v>519</v>
      </c>
      <c r="C50" s="351" t="s">
        <v>547</v>
      </c>
      <c r="D50" s="331"/>
      <c r="E50" s="331"/>
      <c r="F50" s="468">
        <f>F48+F49</f>
        <v>103.24359921843751</v>
      </c>
      <c r="G50" s="468">
        <f t="shared" ref="G50:T50" si="39">G48+G49</f>
        <v>97.841317863984386</v>
      </c>
      <c r="H50" s="468">
        <f t="shared" si="39"/>
        <v>92.439036509531263</v>
      </c>
      <c r="I50" s="468">
        <f t="shared" si="39"/>
        <v>87.03675515507814</v>
      </c>
      <c r="J50" s="468">
        <f t="shared" si="39"/>
        <v>81.634473800625003</v>
      </c>
      <c r="K50" s="468">
        <f t="shared" si="39"/>
        <v>76.232192446171879</v>
      </c>
      <c r="L50" s="468">
        <f t="shared" si="39"/>
        <v>70.829911091718756</v>
      </c>
      <c r="M50" s="468">
        <f t="shared" si="39"/>
        <v>65.427629737265633</v>
      </c>
      <c r="N50" s="468">
        <f t="shared" si="39"/>
        <v>-6.394884621840901E-15</v>
      </c>
      <c r="O50" s="468">
        <f t="shared" si="39"/>
        <v>-6.394884621840901E-15</v>
      </c>
      <c r="P50" s="468">
        <f t="shared" si="39"/>
        <v>-6.394884621840901E-15</v>
      </c>
      <c r="Q50" s="469">
        <f t="shared" si="39"/>
        <v>-6.394884621840901E-15</v>
      </c>
      <c r="R50" s="468">
        <f t="shared" si="39"/>
        <v>-6.394884621840901E-15</v>
      </c>
      <c r="S50" s="468">
        <f t="shared" si="39"/>
        <v>-6.394884621840901E-15</v>
      </c>
      <c r="T50" s="468">
        <f t="shared" si="39"/>
        <v>-6.394884621840901E-15</v>
      </c>
    </row>
    <row r="51" spans="1:49" ht="15" customHeight="1" x14ac:dyDescent="0.2">
      <c r="A51" s="328">
        <v>4</v>
      </c>
      <c r="B51" s="329" t="s">
        <v>520</v>
      </c>
      <c r="C51" s="351" t="s">
        <v>547</v>
      </c>
      <c r="D51" s="331"/>
      <c r="E51" s="331"/>
      <c r="F51" s="468">
        <f t="shared" ref="F51:T51" si="40">F4+F5+F6</f>
        <v>106.77457082939628</v>
      </c>
      <c r="G51" s="468">
        <f t="shared" si="40"/>
        <v>137.17689417137984</v>
      </c>
      <c r="H51" s="468">
        <f t="shared" si="40"/>
        <v>140.01861856015296</v>
      </c>
      <c r="I51" s="468">
        <f t="shared" si="40"/>
        <v>136.71450705837097</v>
      </c>
      <c r="J51" s="468">
        <f t="shared" si="40"/>
        <v>133.90484400784024</v>
      </c>
      <c r="K51" s="468">
        <f t="shared" si="40"/>
        <v>131.51557896827475</v>
      </c>
      <c r="L51" s="468">
        <f t="shared" si="40"/>
        <v>129.48375738269112</v>
      </c>
      <c r="M51" s="468">
        <f t="shared" si="40"/>
        <v>127.75585736318737</v>
      </c>
      <c r="N51" s="468">
        <f t="shared" si="40"/>
        <v>126.28637584202728</v>
      </c>
      <c r="O51" s="468">
        <f t="shared" si="40"/>
        <v>125.03662669491752</v>
      </c>
      <c r="P51" s="468">
        <f t="shared" si="40"/>
        <v>118.65791168248214</v>
      </c>
      <c r="Q51" s="468">
        <f t="shared" si="40"/>
        <v>117.75388140345048</v>
      </c>
      <c r="R51" s="468">
        <f t="shared" si="40"/>
        <v>116.98495276261738</v>
      </c>
      <c r="S51" s="468">
        <f t="shared" si="40"/>
        <v>121.64671817329942</v>
      </c>
      <c r="T51" s="468">
        <f t="shared" si="40"/>
        <v>121.09037515703902</v>
      </c>
    </row>
    <row r="52" spans="1:49" s="329" customFormat="1" ht="15" customHeight="1" x14ac:dyDescent="0.2">
      <c r="A52" s="328">
        <v>5</v>
      </c>
      <c r="B52" s="332" t="s">
        <v>120</v>
      </c>
      <c r="C52" s="328" t="s">
        <v>521</v>
      </c>
      <c r="D52" s="331"/>
      <c r="E52" s="331"/>
      <c r="F52" s="331">
        <f>IF(F50&gt;10,F51/F50,0)</f>
        <v>1.0342003924474594</v>
      </c>
      <c r="G52" s="331">
        <f t="shared" ref="G52:T52" si="41">IF(G50&gt;10,G51/G50,0)</f>
        <v>1.4020344080205298</v>
      </c>
      <c r="H52" s="331">
        <f t="shared" si="41"/>
        <v>1.5147130892663061</v>
      </c>
      <c r="I52" s="331">
        <f t="shared" si="41"/>
        <v>1.5707675086781356</v>
      </c>
      <c r="J52" s="331">
        <f t="shared" si="41"/>
        <v>1.6402977538003687</v>
      </c>
      <c r="K52" s="331">
        <f t="shared" si="41"/>
        <v>1.7251973837842705</v>
      </c>
      <c r="L52" s="331">
        <f t="shared" si="41"/>
        <v>1.8280943091262756</v>
      </c>
      <c r="M52" s="331">
        <f t="shared" si="41"/>
        <v>1.9526285435711181</v>
      </c>
      <c r="N52" s="331">
        <f t="shared" si="41"/>
        <v>0</v>
      </c>
      <c r="O52" s="331">
        <f t="shared" si="41"/>
        <v>0</v>
      </c>
      <c r="P52" s="331">
        <f t="shared" si="41"/>
        <v>0</v>
      </c>
      <c r="Q52" s="331">
        <f t="shared" si="41"/>
        <v>0</v>
      </c>
      <c r="R52" s="331">
        <f t="shared" si="41"/>
        <v>0</v>
      </c>
      <c r="S52" s="331">
        <f t="shared" si="41"/>
        <v>0</v>
      </c>
      <c r="T52" s="331">
        <f t="shared" si="41"/>
        <v>0</v>
      </c>
      <c r="U52" s="324"/>
      <c r="V52" s="324"/>
      <c r="W52" s="349"/>
      <c r="X52" s="349"/>
      <c r="Y52" s="349"/>
      <c r="Z52" s="349"/>
      <c r="AA52" s="349"/>
      <c r="AB52" s="349"/>
      <c r="AC52" s="349"/>
      <c r="AD52" s="349"/>
      <c r="AE52" s="349"/>
      <c r="AF52" s="349"/>
      <c r="AG52" s="349"/>
      <c r="AH52" s="349"/>
      <c r="AI52" s="350"/>
      <c r="AJ52" s="347"/>
      <c r="AK52" s="347"/>
      <c r="AL52" s="347"/>
      <c r="AM52" s="347"/>
      <c r="AN52" s="347"/>
      <c r="AO52" s="347"/>
      <c r="AP52" s="347"/>
      <c r="AQ52" s="347"/>
      <c r="AR52" s="347"/>
      <c r="AS52" s="347"/>
      <c r="AT52" s="347"/>
      <c r="AU52" s="347"/>
      <c r="AV52" s="347"/>
      <c r="AW52" s="347"/>
    </row>
    <row r="53" spans="1:49" ht="15" customHeight="1" x14ac:dyDescent="0.2">
      <c r="A53" s="328">
        <v>6</v>
      </c>
      <c r="B53" s="336" t="s">
        <v>522</v>
      </c>
      <c r="C53" s="328" t="s">
        <v>521</v>
      </c>
      <c r="D53" s="337">
        <f>AVERAGE(F52:T52)</f>
        <v>0.84452889257963071</v>
      </c>
      <c r="E53" s="344"/>
      <c r="F53" s="322"/>
      <c r="G53" s="322"/>
      <c r="H53" s="322"/>
      <c r="I53" s="322"/>
      <c r="J53" s="322"/>
      <c r="K53" s="322"/>
      <c r="L53" s="322"/>
      <c r="M53" s="322"/>
      <c r="N53" s="322"/>
      <c r="O53" s="322"/>
    </row>
    <row r="54" spans="1:49" ht="15" customHeight="1" x14ac:dyDescent="0.2">
      <c r="B54" s="338"/>
      <c r="D54" s="322"/>
      <c r="E54" s="322"/>
      <c r="F54" s="322"/>
      <c r="G54" s="322"/>
      <c r="H54" s="322"/>
      <c r="I54" s="322"/>
      <c r="J54" s="322"/>
      <c r="K54" s="322"/>
      <c r="L54" s="322"/>
      <c r="M54" s="322"/>
      <c r="N54" s="322"/>
      <c r="O54" s="322"/>
    </row>
    <row r="55" spans="1:49" ht="15" customHeight="1" x14ac:dyDescent="0.2">
      <c r="B55" s="326"/>
      <c r="D55" s="330"/>
      <c r="E55" s="330"/>
      <c r="F55" s="330"/>
      <c r="G55" s="330"/>
      <c r="H55" s="330"/>
      <c r="I55" s="330"/>
      <c r="J55" s="330"/>
      <c r="K55" s="330"/>
      <c r="L55" s="330"/>
      <c r="M55" s="330"/>
      <c r="N55" s="330"/>
      <c r="O55" s="330"/>
      <c r="P55" s="330"/>
      <c r="Q55" s="330"/>
      <c r="R55" s="330"/>
      <c r="S55" s="330"/>
      <c r="T55" s="330"/>
      <c r="U55" s="335"/>
    </row>
    <row r="56" spans="1:49" ht="15" customHeight="1" x14ac:dyDescent="0.2">
      <c r="D56" s="330"/>
      <c r="E56" s="330"/>
      <c r="F56" s="330"/>
      <c r="G56" s="330"/>
      <c r="H56" s="330"/>
      <c r="I56" s="330"/>
      <c r="J56" s="330"/>
      <c r="K56" s="330"/>
      <c r="L56" s="330"/>
      <c r="M56" s="330"/>
      <c r="N56" s="330"/>
      <c r="O56" s="330"/>
      <c r="P56" s="335"/>
    </row>
    <row r="57" spans="1:49" ht="15" customHeight="1" x14ac:dyDescent="0.2">
      <c r="B57" s="326"/>
      <c r="D57" s="334"/>
      <c r="E57" s="334"/>
      <c r="F57" s="322"/>
      <c r="G57" s="330"/>
      <c r="H57" s="330"/>
      <c r="I57" s="330"/>
      <c r="J57" s="330"/>
      <c r="K57" s="330"/>
      <c r="L57" s="330"/>
      <c r="M57" s="330"/>
      <c r="N57" s="330"/>
      <c r="O57" s="330"/>
      <c r="P57" s="335"/>
    </row>
    <row r="58" spans="1:49" ht="15" customHeight="1" x14ac:dyDescent="0.2">
      <c r="B58" s="326"/>
      <c r="D58" s="330"/>
      <c r="E58" s="330"/>
      <c r="F58" s="330"/>
      <c r="G58" s="330"/>
      <c r="H58" s="330"/>
      <c r="I58" s="330"/>
      <c r="J58" s="330"/>
      <c r="K58" s="330"/>
      <c r="L58" s="330"/>
      <c r="M58" s="330"/>
      <c r="N58" s="330"/>
      <c r="O58" s="330"/>
      <c r="P58" s="335"/>
    </row>
    <row r="59" spans="1:49" ht="15" customHeight="1" x14ac:dyDescent="0.2">
      <c r="D59" s="330"/>
      <c r="E59" s="330"/>
      <c r="F59" s="334"/>
      <c r="G59" s="330"/>
      <c r="H59" s="330"/>
      <c r="I59" s="330"/>
      <c r="J59" s="330"/>
      <c r="K59" s="330"/>
      <c r="L59" s="330"/>
      <c r="M59" s="330"/>
      <c r="N59" s="330"/>
      <c r="O59" s="330"/>
      <c r="P59" s="335"/>
    </row>
    <row r="60" spans="1:49" ht="15" customHeight="1" x14ac:dyDescent="0.2">
      <c r="B60" s="326"/>
      <c r="D60" s="330"/>
      <c r="E60" s="330"/>
      <c r="F60" s="334"/>
      <c r="G60" s="334"/>
      <c r="H60" s="334"/>
      <c r="I60" s="334"/>
      <c r="J60" s="334"/>
      <c r="K60" s="334"/>
      <c r="L60" s="334"/>
      <c r="M60" s="334"/>
      <c r="N60" s="334"/>
      <c r="O60" s="334"/>
      <c r="P60" s="334"/>
      <c r="Q60" s="334"/>
      <c r="R60" s="334"/>
      <c r="S60" s="339"/>
      <c r="T60" s="339"/>
      <c r="U60" s="335"/>
      <c r="V60" s="335"/>
    </row>
    <row r="61" spans="1:49" ht="15" customHeight="1" x14ac:dyDescent="0.2">
      <c r="B61" s="340"/>
      <c r="C61" s="340"/>
      <c r="D61" s="341"/>
      <c r="E61" s="341"/>
      <c r="F61" s="322"/>
      <c r="G61" s="322"/>
      <c r="H61" s="322"/>
      <c r="I61" s="322"/>
      <c r="J61" s="322"/>
      <c r="K61" s="322"/>
      <c r="L61" s="322"/>
      <c r="M61" s="322"/>
      <c r="N61" s="322"/>
      <c r="O61" s="322"/>
      <c r="P61" s="335"/>
    </row>
    <row r="62" spans="1:49" ht="15" customHeight="1" x14ac:dyDescent="0.2">
      <c r="B62" s="342"/>
      <c r="D62" s="330"/>
      <c r="E62" s="330"/>
      <c r="F62" s="330"/>
      <c r="G62" s="330"/>
      <c r="H62" s="330"/>
      <c r="I62" s="330"/>
      <c r="J62" s="330"/>
      <c r="K62" s="330"/>
      <c r="L62" s="330"/>
      <c r="M62" s="330"/>
      <c r="N62" s="330"/>
      <c r="O62" s="330"/>
      <c r="P62" s="330"/>
      <c r="Q62" s="330"/>
      <c r="R62" s="330"/>
      <c r="S62" s="330"/>
      <c r="T62" s="330"/>
    </row>
    <row r="63" spans="1:49" ht="15" customHeight="1" x14ac:dyDescent="0.2">
      <c r="B63" s="323"/>
      <c r="D63" s="343"/>
      <c r="E63" s="343"/>
      <c r="F63" s="344"/>
      <c r="G63" s="330"/>
      <c r="H63" s="330"/>
      <c r="I63" s="330"/>
      <c r="J63" s="330"/>
      <c r="K63" s="330"/>
      <c r="L63" s="330"/>
      <c r="M63" s="330"/>
      <c r="N63" s="330"/>
      <c r="O63" s="330"/>
      <c r="P63" s="335"/>
    </row>
    <row r="64" spans="1:49" ht="15" customHeight="1" x14ac:dyDescent="0.2">
      <c r="D64" s="322"/>
      <c r="E64" s="322"/>
      <c r="F64" s="322"/>
      <c r="G64" s="322"/>
      <c r="H64" s="322"/>
      <c r="I64" s="322"/>
      <c r="J64" s="322"/>
      <c r="K64" s="322"/>
      <c r="L64" s="322"/>
      <c r="M64" s="322"/>
      <c r="N64" s="322"/>
      <c r="O64" s="322"/>
    </row>
    <row r="65" spans="4:10" ht="15" customHeight="1" x14ac:dyDescent="0.2">
      <c r="D65" s="345"/>
      <c r="E65" s="345"/>
      <c r="F65" s="345"/>
      <c r="J65" s="325"/>
    </row>
  </sheetData>
  <pageMargins left="0.7" right="0.7" top="0.75" bottom="0.75" header="0.3" footer="0.3"/>
  <pageSetup paperSize="9" orientation="portrait" horizontalDpi="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3:S20"/>
  <sheetViews>
    <sheetView showGridLines="0" workbookViewId="0">
      <selection activeCell="C15" sqref="C15"/>
    </sheetView>
  </sheetViews>
  <sheetFormatPr defaultRowHeight="12.75" x14ac:dyDescent="0.2"/>
  <cols>
    <col min="1" max="1" width="9.140625" style="1"/>
    <col min="2" max="2" width="35.85546875" style="1" bestFit="1" customWidth="1"/>
    <col min="3" max="3" width="9.140625" style="1"/>
    <col min="4" max="4" width="8.85546875" style="1"/>
    <col min="5" max="16384" width="9.140625" style="1"/>
  </cols>
  <sheetData>
    <row r="3" spans="1:19" ht="15.75" x14ac:dyDescent="0.2">
      <c r="A3" s="748" t="s">
        <v>535</v>
      </c>
      <c r="B3" s="748"/>
      <c r="C3" s="748"/>
      <c r="D3" s="748"/>
      <c r="E3" s="748"/>
      <c r="F3" s="748"/>
      <c r="G3" s="748"/>
      <c r="H3" s="748"/>
      <c r="I3" s="748"/>
      <c r="J3" s="748"/>
      <c r="K3" s="748"/>
      <c r="L3" s="748"/>
      <c r="M3" s="748"/>
      <c r="N3" s="748"/>
      <c r="O3" s="748"/>
      <c r="P3" s="748"/>
      <c r="Q3" s="748"/>
      <c r="R3" s="748"/>
      <c r="S3" s="748"/>
    </row>
    <row r="4" spans="1:19" s="666" customFormat="1" x14ac:dyDescent="0.2">
      <c r="A4" s="470" t="s">
        <v>402</v>
      </c>
      <c r="B4" s="390" t="s">
        <v>349</v>
      </c>
      <c r="C4" s="665">
        <f t="shared" ref="C4:S4" si="0">C13</f>
        <v>-2</v>
      </c>
      <c r="D4" s="665">
        <f t="shared" si="0"/>
        <v>-1</v>
      </c>
      <c r="E4" s="471">
        <f t="shared" si="0"/>
        <v>1</v>
      </c>
      <c r="F4" s="471">
        <f t="shared" si="0"/>
        <v>2</v>
      </c>
      <c r="G4" s="471">
        <f t="shared" si="0"/>
        <v>3</v>
      </c>
      <c r="H4" s="471">
        <f t="shared" si="0"/>
        <v>4</v>
      </c>
      <c r="I4" s="471">
        <f t="shared" si="0"/>
        <v>5</v>
      </c>
      <c r="J4" s="471">
        <f t="shared" si="0"/>
        <v>6</v>
      </c>
      <c r="K4" s="471">
        <f t="shared" si="0"/>
        <v>7</v>
      </c>
      <c r="L4" s="471">
        <f t="shared" si="0"/>
        <v>8</v>
      </c>
      <c r="M4" s="471">
        <f t="shared" si="0"/>
        <v>9</v>
      </c>
      <c r="N4" s="471">
        <f t="shared" si="0"/>
        <v>10</v>
      </c>
      <c r="O4" s="471">
        <f t="shared" si="0"/>
        <v>11</v>
      </c>
      <c r="P4" s="471">
        <f t="shared" si="0"/>
        <v>12</v>
      </c>
      <c r="Q4" s="471">
        <f t="shared" si="0"/>
        <v>13</v>
      </c>
      <c r="R4" s="471">
        <f t="shared" si="0"/>
        <v>14</v>
      </c>
      <c r="S4" s="471">
        <f t="shared" si="0"/>
        <v>15</v>
      </c>
    </row>
    <row r="5" spans="1:19" x14ac:dyDescent="0.2">
      <c r="A5" s="348">
        <v>1</v>
      </c>
      <c r="B5" s="380" t="s">
        <v>541</v>
      </c>
      <c r="C5" s="375">
        <f>Capex!B70/2/100</f>
        <v>292.89587500000005</v>
      </c>
      <c r="D5" s="387">
        <f>Capex!B70/100</f>
        <v>585.79175000000009</v>
      </c>
      <c r="E5" s="388">
        <f>D5</f>
        <v>585.79175000000009</v>
      </c>
      <c r="F5" s="388">
        <f t="shared" ref="F5:S5" si="1">E5</f>
        <v>585.79175000000009</v>
      </c>
      <c r="G5" s="388">
        <f t="shared" si="1"/>
        <v>585.79175000000009</v>
      </c>
      <c r="H5" s="388">
        <f t="shared" si="1"/>
        <v>585.79175000000009</v>
      </c>
      <c r="I5" s="388">
        <f t="shared" si="1"/>
        <v>585.79175000000009</v>
      </c>
      <c r="J5" s="388">
        <f t="shared" si="1"/>
        <v>585.79175000000009</v>
      </c>
      <c r="K5" s="388">
        <f t="shared" si="1"/>
        <v>585.79175000000009</v>
      </c>
      <c r="L5" s="388">
        <f t="shared" si="1"/>
        <v>585.79175000000009</v>
      </c>
      <c r="M5" s="388">
        <f t="shared" si="1"/>
        <v>585.79175000000009</v>
      </c>
      <c r="N5" s="388">
        <f t="shared" si="1"/>
        <v>585.79175000000009</v>
      </c>
      <c r="O5" s="388">
        <f t="shared" si="1"/>
        <v>585.79175000000009</v>
      </c>
      <c r="P5" s="388">
        <f t="shared" si="1"/>
        <v>585.79175000000009</v>
      </c>
      <c r="Q5" s="388">
        <f t="shared" si="1"/>
        <v>585.79175000000009</v>
      </c>
      <c r="R5" s="388">
        <f t="shared" si="1"/>
        <v>585.79175000000009</v>
      </c>
      <c r="S5" s="388">
        <f t="shared" si="1"/>
        <v>585.79175000000009</v>
      </c>
    </row>
    <row r="6" spans="1:19" x14ac:dyDescent="0.2">
      <c r="A6" s="348">
        <v>2</v>
      </c>
      <c r="B6" s="380" t="s">
        <v>542</v>
      </c>
      <c r="C6" s="387">
        <v>0</v>
      </c>
      <c r="D6" s="387">
        <v>0</v>
      </c>
      <c r="E6" s="388">
        <f>'Cashflow '!F27</f>
        <v>36.819759775000009</v>
      </c>
      <c r="F6" s="388">
        <f>'Cashflow '!G27</f>
        <v>36.819759775000009</v>
      </c>
      <c r="G6" s="388">
        <f>'Cashflow '!H27</f>
        <v>36.819759775000009</v>
      </c>
      <c r="H6" s="388">
        <f>'Cashflow '!I27</f>
        <v>36.819759775000009</v>
      </c>
      <c r="I6" s="388">
        <f>'Cashflow '!J27</f>
        <v>36.819759775000009</v>
      </c>
      <c r="J6" s="388">
        <f>'Cashflow '!K27</f>
        <v>36.819759775000009</v>
      </c>
      <c r="K6" s="388">
        <f>'Cashflow '!L27</f>
        <v>36.819759775000009</v>
      </c>
      <c r="L6" s="388">
        <f>'Cashflow '!M27</f>
        <v>36.819759775000009</v>
      </c>
      <c r="M6" s="388">
        <f>'Cashflow '!N27</f>
        <v>36.819759775000009</v>
      </c>
      <c r="N6" s="388">
        <f>'Cashflow '!O27</f>
        <v>36.819759775000009</v>
      </c>
      <c r="O6" s="388">
        <f>'Cashflow '!P27</f>
        <v>36.819759775000009</v>
      </c>
      <c r="P6" s="388">
        <f>'Cashflow '!Q27</f>
        <v>36.819759775000009</v>
      </c>
      <c r="Q6" s="388">
        <f>'Cashflow '!R27</f>
        <v>36.819759775000009</v>
      </c>
      <c r="R6" s="388">
        <f>'Cashflow '!S27</f>
        <v>36.819759775000009</v>
      </c>
      <c r="S6" s="388">
        <f>'Cashflow '!T27</f>
        <v>36.819759775000009</v>
      </c>
    </row>
    <row r="7" spans="1:19" x14ac:dyDescent="0.2">
      <c r="A7" s="348">
        <v>3</v>
      </c>
      <c r="B7" s="380" t="s">
        <v>543</v>
      </c>
      <c r="C7" s="375">
        <f>C5-C6</f>
        <v>292.89587500000005</v>
      </c>
      <c r="D7" s="375">
        <f t="shared" ref="D7:S7" si="2">D5-D6</f>
        <v>585.79175000000009</v>
      </c>
      <c r="E7" s="375">
        <f t="shared" si="2"/>
        <v>548.97199022500013</v>
      </c>
      <c r="F7" s="375">
        <f t="shared" si="2"/>
        <v>548.97199022500013</v>
      </c>
      <c r="G7" s="375">
        <f t="shared" si="2"/>
        <v>548.97199022500013</v>
      </c>
      <c r="H7" s="375">
        <f t="shared" si="2"/>
        <v>548.97199022500013</v>
      </c>
      <c r="I7" s="375">
        <f t="shared" si="2"/>
        <v>548.97199022500013</v>
      </c>
      <c r="J7" s="375">
        <f t="shared" si="2"/>
        <v>548.97199022500013</v>
      </c>
      <c r="K7" s="375">
        <f t="shared" si="2"/>
        <v>548.97199022500013</v>
      </c>
      <c r="L7" s="375">
        <f t="shared" si="2"/>
        <v>548.97199022500013</v>
      </c>
      <c r="M7" s="375">
        <f t="shared" si="2"/>
        <v>548.97199022500013</v>
      </c>
      <c r="N7" s="375">
        <f t="shared" si="2"/>
        <v>548.97199022500013</v>
      </c>
      <c r="O7" s="375">
        <f t="shared" si="2"/>
        <v>548.97199022500013</v>
      </c>
      <c r="P7" s="375">
        <f t="shared" si="2"/>
        <v>548.97199022500013</v>
      </c>
      <c r="Q7" s="375">
        <f t="shared" si="2"/>
        <v>548.97199022500013</v>
      </c>
      <c r="R7" s="375">
        <f t="shared" si="2"/>
        <v>548.97199022500013</v>
      </c>
      <c r="S7" s="375">
        <f t="shared" si="2"/>
        <v>548.97199022500013</v>
      </c>
    </row>
    <row r="8" spans="1:19" x14ac:dyDescent="0.2">
      <c r="A8" s="348">
        <v>4</v>
      </c>
      <c r="B8" s="380" t="s">
        <v>544</v>
      </c>
      <c r="C8" s="375">
        <v>0</v>
      </c>
      <c r="D8" s="375">
        <v>0</v>
      </c>
      <c r="E8" s="375">
        <f>'Working Capital'!D13</f>
        <v>13.827458335596589</v>
      </c>
      <c r="F8" s="375">
        <f>'Working Capital'!E13</f>
        <v>15.590173115710225</v>
      </c>
      <c r="G8" s="375">
        <f>'Working Capital'!F13</f>
        <v>18.234245285880682</v>
      </c>
      <c r="H8" s="375">
        <f>'Working Capital'!G13</f>
        <v>18.234245285880682</v>
      </c>
      <c r="I8" s="375">
        <f>'Working Capital'!H13</f>
        <v>18.234245285880682</v>
      </c>
      <c r="J8" s="375">
        <f>'Working Capital'!I13</f>
        <v>18.234245285880682</v>
      </c>
      <c r="K8" s="375">
        <f>'Working Capital'!J13</f>
        <v>18.234245285880682</v>
      </c>
      <c r="L8" s="375">
        <f>'Working Capital'!K13</f>
        <v>18.234245285880682</v>
      </c>
      <c r="M8" s="375">
        <f>'Working Capital'!L13</f>
        <v>18.234245285880682</v>
      </c>
      <c r="N8" s="375">
        <f>'Working Capital'!M13</f>
        <v>18.234245285880682</v>
      </c>
      <c r="O8" s="375">
        <f>'Working Capital'!N13</f>
        <v>17.861266895788354</v>
      </c>
      <c r="P8" s="375">
        <f>'Working Capital'!O13</f>
        <v>17.861266895788354</v>
      </c>
      <c r="Q8" s="375">
        <f>'Working Capital'!P13</f>
        <v>17.861266895788354</v>
      </c>
      <c r="R8" s="375">
        <f>'Working Capital'!Q13</f>
        <v>18.234245285880682</v>
      </c>
      <c r="S8" s="375">
        <f>'Working Capital'!R13</f>
        <v>18.234245285880682</v>
      </c>
    </row>
    <row r="9" spans="1:19" x14ac:dyDescent="0.2">
      <c r="A9" s="348">
        <v>5</v>
      </c>
      <c r="B9" s="380" t="s">
        <v>534</v>
      </c>
      <c r="C9" s="375">
        <v>0</v>
      </c>
      <c r="D9" s="375">
        <v>0</v>
      </c>
      <c r="E9" s="375">
        <f>'Cashflow '!E76</f>
        <v>36.893866802059648</v>
      </c>
      <c r="F9" s="375">
        <f>'Cashflow '!F76</f>
        <v>75.714657387367026</v>
      </c>
      <c r="G9" s="375">
        <f>'Cashflow '!G76</f>
        <v>83.738323783079068</v>
      </c>
      <c r="H9" s="375">
        <f>'Cashflow '!H76</f>
        <v>86.497511678292824</v>
      </c>
      <c r="I9" s="375">
        <f>'Cashflow '!I76</f>
        <v>89.090129982215217</v>
      </c>
      <c r="J9" s="375">
        <f>'Cashflow '!J76</f>
        <v>92.103146297102853</v>
      </c>
      <c r="K9" s="375">
        <f>'Cashflow '!K76</f>
        <v>95.473606065972376</v>
      </c>
      <c r="L9" s="375">
        <f>'Cashflow '!L76</f>
        <v>99.14798740092175</v>
      </c>
      <c r="M9" s="375">
        <f>'Cashflow '!M76</f>
        <v>163.10613561702729</v>
      </c>
      <c r="N9" s="375">
        <f>'Cashflow '!N76</f>
        <v>161.85638646991754</v>
      </c>
      <c r="O9" s="375">
        <f>'Cashflow '!O76</f>
        <v>155.57091605500523</v>
      </c>
      <c r="P9" s="375">
        <f>'Cashflow '!P76</f>
        <v>154.57364117845049</v>
      </c>
      <c r="Q9" s="375">
        <f>'Cashflow '!Q76</f>
        <v>153.80471253761738</v>
      </c>
      <c r="R9" s="375">
        <f>'Cashflow '!R76</f>
        <v>158.37323335077639</v>
      </c>
      <c r="S9" s="375">
        <f>'Cashflow '!S76</f>
        <v>157.91013493203903</v>
      </c>
    </row>
    <row r="10" spans="1:19" x14ac:dyDescent="0.2">
      <c r="A10" s="348">
        <v>6</v>
      </c>
      <c r="B10" s="380" t="s">
        <v>47</v>
      </c>
      <c r="C10" s="375">
        <f>SUM(C7:C9)</f>
        <v>292.89587500000005</v>
      </c>
      <c r="D10" s="375">
        <f t="shared" ref="D10:S10" si="3">SUM(D7:D9)</f>
        <v>585.79175000000009</v>
      </c>
      <c r="E10" s="375">
        <f t="shared" si="3"/>
        <v>599.69331536265634</v>
      </c>
      <c r="F10" s="375">
        <f t="shared" si="3"/>
        <v>640.27682072807738</v>
      </c>
      <c r="G10" s="375">
        <f t="shared" si="3"/>
        <v>650.94455929395986</v>
      </c>
      <c r="H10" s="375">
        <f t="shared" si="3"/>
        <v>653.70374718917355</v>
      </c>
      <c r="I10" s="375">
        <f t="shared" si="3"/>
        <v>656.296365493096</v>
      </c>
      <c r="J10" s="375">
        <f t="shared" si="3"/>
        <v>659.30938180798364</v>
      </c>
      <c r="K10" s="375">
        <f t="shared" si="3"/>
        <v>662.67984157685316</v>
      </c>
      <c r="L10" s="375">
        <f t="shared" si="3"/>
        <v>666.35422291180248</v>
      </c>
      <c r="M10" s="375">
        <f t="shared" si="3"/>
        <v>730.31237112790814</v>
      </c>
      <c r="N10" s="375">
        <f t="shared" si="3"/>
        <v>729.06262198079833</v>
      </c>
      <c r="O10" s="375">
        <f t="shared" si="3"/>
        <v>722.40417317579374</v>
      </c>
      <c r="P10" s="375">
        <f t="shared" si="3"/>
        <v>721.40689829923895</v>
      </c>
      <c r="Q10" s="375">
        <f t="shared" si="3"/>
        <v>720.63796965840584</v>
      </c>
      <c r="R10" s="375">
        <f t="shared" si="3"/>
        <v>725.57946886165723</v>
      </c>
      <c r="S10" s="375">
        <f t="shared" si="3"/>
        <v>725.11637044291979</v>
      </c>
    </row>
    <row r="11" spans="1:19" x14ac:dyDescent="0.2">
      <c r="A11" s="374"/>
      <c r="B11" s="373"/>
      <c r="C11" s="379"/>
      <c r="D11" s="379"/>
      <c r="E11" s="377"/>
      <c r="F11" s="377"/>
      <c r="G11" s="377"/>
      <c r="H11" s="377"/>
      <c r="I11" s="377"/>
      <c r="J11" s="377"/>
      <c r="K11" s="377"/>
      <c r="L11" s="377"/>
      <c r="M11" s="377"/>
      <c r="N11" s="377"/>
      <c r="O11" s="377"/>
      <c r="P11" s="373"/>
      <c r="Q11" s="373"/>
      <c r="R11" s="373"/>
      <c r="S11" s="373"/>
    </row>
    <row r="12" spans="1:19" x14ac:dyDescent="0.2">
      <c r="A12" s="373"/>
      <c r="B12" s="373"/>
      <c r="C12" s="376"/>
      <c r="D12" s="376"/>
      <c r="E12" s="376"/>
      <c r="F12" s="376"/>
      <c r="G12" s="376"/>
      <c r="H12" s="376"/>
      <c r="I12" s="376"/>
      <c r="J12" s="376"/>
      <c r="K12" s="376"/>
      <c r="L12" s="376"/>
      <c r="M12" s="376"/>
      <c r="N12" s="376"/>
      <c r="O12" s="378"/>
      <c r="P12" s="378"/>
      <c r="Q12" s="373"/>
      <c r="R12" s="373"/>
      <c r="S12" s="373"/>
    </row>
    <row r="13" spans="1:19" x14ac:dyDescent="0.2">
      <c r="A13" s="667" t="s">
        <v>402</v>
      </c>
      <c r="B13" s="390" t="s">
        <v>350</v>
      </c>
      <c r="C13" s="348">
        <v>-2</v>
      </c>
      <c r="D13" s="348">
        <v>-1</v>
      </c>
      <c r="E13" s="381">
        <v>1</v>
      </c>
      <c r="F13" s="348">
        <v>2</v>
      </c>
      <c r="G13" s="348">
        <v>3</v>
      </c>
      <c r="H13" s="348">
        <v>4</v>
      </c>
      <c r="I13" s="348">
        <v>5</v>
      </c>
      <c r="J13" s="348">
        <v>6</v>
      </c>
      <c r="K13" s="348">
        <v>7</v>
      </c>
      <c r="L13" s="348">
        <v>8</v>
      </c>
      <c r="M13" s="348">
        <v>9</v>
      </c>
      <c r="N13" s="348">
        <v>10</v>
      </c>
      <c r="O13" s="348">
        <v>11</v>
      </c>
      <c r="P13" s="348">
        <v>12</v>
      </c>
      <c r="Q13" s="348">
        <v>13</v>
      </c>
      <c r="R13" s="348">
        <v>14</v>
      </c>
      <c r="S13" s="348">
        <v>15</v>
      </c>
    </row>
    <row r="14" spans="1:19" x14ac:dyDescent="0.2">
      <c r="A14" s="354">
        <v>1</v>
      </c>
      <c r="B14" s="382" t="s">
        <v>537</v>
      </c>
      <c r="C14" s="383">
        <f>Capex!B76/100</f>
        <v>146.44793750000002</v>
      </c>
      <c r="D14" s="383">
        <f>C14</f>
        <v>146.44793750000002</v>
      </c>
      <c r="E14" s="383">
        <f>C14</f>
        <v>146.44793750000002</v>
      </c>
      <c r="F14" s="383">
        <f t="shared" ref="F14:S14" si="4">E14</f>
        <v>146.44793750000002</v>
      </c>
      <c r="G14" s="383">
        <f t="shared" si="4"/>
        <v>146.44793750000002</v>
      </c>
      <c r="H14" s="383">
        <f t="shared" si="4"/>
        <v>146.44793750000002</v>
      </c>
      <c r="I14" s="383">
        <f t="shared" si="4"/>
        <v>146.44793750000002</v>
      </c>
      <c r="J14" s="383">
        <f t="shared" si="4"/>
        <v>146.44793750000002</v>
      </c>
      <c r="K14" s="383">
        <f t="shared" si="4"/>
        <v>146.44793750000002</v>
      </c>
      <c r="L14" s="383">
        <f t="shared" si="4"/>
        <v>146.44793750000002</v>
      </c>
      <c r="M14" s="383">
        <f t="shared" si="4"/>
        <v>146.44793750000002</v>
      </c>
      <c r="N14" s="383">
        <f t="shared" si="4"/>
        <v>146.44793750000002</v>
      </c>
      <c r="O14" s="383">
        <f t="shared" si="4"/>
        <v>146.44793750000002</v>
      </c>
      <c r="P14" s="383">
        <f t="shared" si="4"/>
        <v>146.44793750000002</v>
      </c>
      <c r="Q14" s="383">
        <f t="shared" si="4"/>
        <v>146.44793750000002</v>
      </c>
      <c r="R14" s="383">
        <f t="shared" si="4"/>
        <v>146.44793750000002</v>
      </c>
      <c r="S14" s="383">
        <f t="shared" si="4"/>
        <v>146.44793750000002</v>
      </c>
    </row>
    <row r="15" spans="1:19" x14ac:dyDescent="0.2">
      <c r="A15" s="203">
        <v>2</v>
      </c>
      <c r="B15" s="372" t="s">
        <v>540</v>
      </c>
      <c r="C15" s="384">
        <v>0</v>
      </c>
      <c r="D15" s="384">
        <v>0</v>
      </c>
      <c r="E15" s="384">
        <f>'Cashflow '!F31</f>
        <v>26.736560218771277</v>
      </c>
      <c r="F15" s="384">
        <f>'Cashflow '!G31</f>
        <v>89.277725133979217</v>
      </c>
      <c r="G15" s="384">
        <f>'Cashflow '!H31</f>
        <v>160.06289579241343</v>
      </c>
      <c r="H15" s="384">
        <f>'Cashflow '!I31</f>
        <v>232.94623630351876</v>
      </c>
      <c r="I15" s="384">
        <f>'Cashflow '!J31</f>
        <v>308.42219511854648</v>
      </c>
      <c r="J15" s="384">
        <f>'Cashflow '!K31</f>
        <v>386.91117024846187</v>
      </c>
      <c r="K15" s="384">
        <f>'Cashflow '!L31</f>
        <v>468.77060514724673</v>
      </c>
      <c r="L15" s="384">
        <f>'Cashflow '!M31</f>
        <v>554.30442138098101</v>
      </c>
      <c r="M15" s="384">
        <f>'Cashflow '!N31</f>
        <v>643.77103744800831</v>
      </c>
      <c r="N15" s="384">
        <f>'Cashflow '!O31</f>
        <v>731.98790436792581</v>
      </c>
      <c r="O15" s="384">
        <f>'Cashflow '!P31</f>
        <v>813.82605627540795</v>
      </c>
      <c r="P15" s="384">
        <f>'Cashflow '!Q31</f>
        <v>894.76017790385845</v>
      </c>
      <c r="Q15" s="384">
        <f>'Cashflow '!R31</f>
        <v>974.92537089147584</v>
      </c>
      <c r="R15" s="384">
        <f>'Cashflow '!S31</f>
        <v>1059.7523292897752</v>
      </c>
      <c r="S15" s="384">
        <f>'Cashflow '!T31</f>
        <v>1144.0229446718142</v>
      </c>
    </row>
    <row r="16" spans="1:19" x14ac:dyDescent="0.2">
      <c r="A16" s="203">
        <v>3</v>
      </c>
      <c r="B16" s="372" t="s">
        <v>538</v>
      </c>
      <c r="C16" s="384">
        <f>'Cashflow '!C63</f>
        <v>146.44793750000002</v>
      </c>
      <c r="D16" s="384">
        <f>'Cashflow '!D63+'Cashflow '!C63</f>
        <v>439.34381250000007</v>
      </c>
      <c r="E16" s="384">
        <f>'Cashflow '!E90</f>
        <v>480.20278706250008</v>
      </c>
      <c r="F16" s="384">
        <f>'Cashflow '!F90</f>
        <v>420.17743867968755</v>
      </c>
      <c r="G16" s="384">
        <f>'Cashflow '!G90</f>
        <v>360.15209029687503</v>
      </c>
      <c r="H16" s="384">
        <f>'Cashflow '!H90</f>
        <v>300.12674191406251</v>
      </c>
      <c r="I16" s="384">
        <f>'Cashflow '!I90</f>
        <v>240.10139353124998</v>
      </c>
      <c r="J16" s="384">
        <f>'Cashflow '!J90</f>
        <v>180.07604514843746</v>
      </c>
      <c r="K16" s="384">
        <f>'Cashflow '!K90</f>
        <v>120.05069676562495</v>
      </c>
      <c r="L16" s="384">
        <f>'Cashflow '!L90</f>
        <v>60.025348382812439</v>
      </c>
      <c r="M16" s="384">
        <f>'Cashflow '!M90</f>
        <v>-7.1054273576010019E-14</v>
      </c>
      <c r="N16" s="384">
        <f>'Cashflow '!N90</f>
        <v>-7.1054273576010019E-14</v>
      </c>
      <c r="O16" s="384">
        <f>'Cashflow '!O90</f>
        <v>-7.1054273576010019E-14</v>
      </c>
      <c r="P16" s="384">
        <f>'Cashflow '!P90</f>
        <v>-7.1054273576010019E-14</v>
      </c>
      <c r="Q16" s="384">
        <f>'Cashflow '!Q90</f>
        <v>-7.1054273576010019E-14</v>
      </c>
      <c r="R16" s="384">
        <f>'Cashflow '!R90</f>
        <v>-7.1054273576010019E-14</v>
      </c>
      <c r="S16" s="384">
        <f>'Cashflow '!S90</f>
        <v>-7.1054273576010019E-14</v>
      </c>
    </row>
    <row r="17" spans="1:19" x14ac:dyDescent="0.2">
      <c r="A17" s="203">
        <v>5</v>
      </c>
      <c r="B17" s="385" t="s">
        <v>539</v>
      </c>
      <c r="C17" s="386">
        <v>0</v>
      </c>
      <c r="D17" s="386">
        <v>0</v>
      </c>
      <c r="E17" s="386">
        <f>'Working Capital'!D18</f>
        <v>10.370593751697442</v>
      </c>
      <c r="F17" s="386">
        <f>'Working Capital'!E18</f>
        <v>11.692629836782668</v>
      </c>
      <c r="G17" s="386">
        <f>'Working Capital'!F18</f>
        <v>13.675683964410512</v>
      </c>
      <c r="H17" s="386">
        <f>'Working Capital'!G18</f>
        <v>13.675683964410512</v>
      </c>
      <c r="I17" s="386">
        <f>'Working Capital'!H18</f>
        <v>13.675683964410512</v>
      </c>
      <c r="J17" s="386">
        <f>'Working Capital'!I18</f>
        <v>13.675683964410512</v>
      </c>
      <c r="K17" s="386">
        <f>'Working Capital'!J18</f>
        <v>13.675683964410512</v>
      </c>
      <c r="L17" s="386">
        <f>'Working Capital'!K18</f>
        <v>13.675683964410512</v>
      </c>
      <c r="M17" s="386">
        <f>'Working Capital'!L18</f>
        <v>13.675683964410512</v>
      </c>
      <c r="N17" s="386">
        <f>'Working Capital'!M18</f>
        <v>13.675683964410512</v>
      </c>
      <c r="O17" s="386">
        <f>'Working Capital'!N18</f>
        <v>13.395950171841266</v>
      </c>
      <c r="P17" s="386">
        <f>'Working Capital'!O18</f>
        <v>13.395950171841266</v>
      </c>
      <c r="Q17" s="386">
        <f>'Working Capital'!P18</f>
        <v>13.395950171841266</v>
      </c>
      <c r="R17" s="386">
        <f>'Working Capital'!Q18</f>
        <v>13.675683964410512</v>
      </c>
      <c r="S17" s="386">
        <f>'Working Capital'!R18</f>
        <v>13.675683964410512</v>
      </c>
    </row>
    <row r="18" spans="1:19" x14ac:dyDescent="0.2">
      <c r="A18" s="348">
        <v>6</v>
      </c>
      <c r="B18" s="380" t="s">
        <v>47</v>
      </c>
      <c r="C18" s="375">
        <f>SUM(C14:C17)</f>
        <v>292.89587500000005</v>
      </c>
      <c r="D18" s="375">
        <f t="shared" ref="D18:S18" si="5">SUM(D14:D17)</f>
        <v>585.79175000000009</v>
      </c>
      <c r="E18" s="375">
        <f t="shared" si="5"/>
        <v>663.75787853296879</v>
      </c>
      <c r="F18" s="375">
        <f t="shared" si="5"/>
        <v>667.59573115044952</v>
      </c>
      <c r="G18" s="375">
        <f t="shared" si="5"/>
        <v>680.33860755369903</v>
      </c>
      <c r="H18" s="375">
        <f t="shared" si="5"/>
        <v>693.19659968199187</v>
      </c>
      <c r="I18" s="375">
        <f t="shared" si="5"/>
        <v>708.64721011420704</v>
      </c>
      <c r="J18" s="375">
        <f t="shared" si="5"/>
        <v>727.11083686130985</v>
      </c>
      <c r="K18" s="375">
        <f t="shared" si="5"/>
        <v>748.94492337728218</v>
      </c>
      <c r="L18" s="375">
        <f t="shared" si="5"/>
        <v>774.45339122820405</v>
      </c>
      <c r="M18" s="375">
        <f t="shared" si="5"/>
        <v>803.89465891241866</v>
      </c>
      <c r="N18" s="375">
        <f t="shared" si="5"/>
        <v>892.11152583233616</v>
      </c>
      <c r="O18" s="375">
        <f t="shared" si="5"/>
        <v>973.66994394724907</v>
      </c>
      <c r="P18" s="375">
        <f t="shared" si="5"/>
        <v>1054.6040655756999</v>
      </c>
      <c r="Q18" s="375">
        <f t="shared" si="5"/>
        <v>1134.7692585633172</v>
      </c>
      <c r="R18" s="375">
        <f t="shared" si="5"/>
        <v>1219.8759507541859</v>
      </c>
      <c r="S18" s="375">
        <f t="shared" si="5"/>
        <v>1304.1465661362249</v>
      </c>
    </row>
    <row r="20" spans="1:19" x14ac:dyDescent="0.2">
      <c r="B20" s="374" t="s">
        <v>545</v>
      </c>
      <c r="C20" s="668">
        <f>C10-C18</f>
        <v>0</v>
      </c>
      <c r="D20" s="668">
        <f t="shared" ref="D20:S20" si="6">D10-D18</f>
        <v>0</v>
      </c>
      <c r="E20" s="668">
        <f t="shared" si="6"/>
        <v>-64.064563170312454</v>
      </c>
      <c r="F20" s="668">
        <f t="shared" si="6"/>
        <v>-27.318910422372142</v>
      </c>
      <c r="G20" s="668">
        <f t="shared" si="6"/>
        <v>-29.394048259739179</v>
      </c>
      <c r="H20" s="668">
        <f t="shared" si="6"/>
        <v>-39.492852492818315</v>
      </c>
      <c r="I20" s="668">
        <f t="shared" si="6"/>
        <v>-52.350844621111037</v>
      </c>
      <c r="J20" s="668">
        <f t="shared" si="6"/>
        <v>-67.801455053326208</v>
      </c>
      <c r="K20" s="668">
        <f t="shared" si="6"/>
        <v>-86.265081800429016</v>
      </c>
      <c r="L20" s="668">
        <f t="shared" si="6"/>
        <v>-108.09916831640157</v>
      </c>
      <c r="M20" s="668">
        <f t="shared" si="6"/>
        <v>-73.582287784510527</v>
      </c>
      <c r="N20" s="668">
        <f t="shared" si="6"/>
        <v>-163.04890385153783</v>
      </c>
      <c r="O20" s="668">
        <f t="shared" si="6"/>
        <v>-251.26577077145532</v>
      </c>
      <c r="P20" s="668">
        <f t="shared" si="6"/>
        <v>-333.19716727646096</v>
      </c>
      <c r="Q20" s="668">
        <f t="shared" si="6"/>
        <v>-414.13128890491134</v>
      </c>
      <c r="R20" s="668">
        <f t="shared" si="6"/>
        <v>-494.29648189252862</v>
      </c>
      <c r="S20" s="668">
        <f t="shared" si="6"/>
        <v>-579.03019569330513</v>
      </c>
    </row>
  </sheetData>
  <mergeCells count="1">
    <mergeCell ref="A3:S3"/>
  </mergeCells>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89DA9-AAAC-45E6-B097-95A3D8A24821}">
  <dimension ref="A2:M33"/>
  <sheetViews>
    <sheetView showGridLines="0" workbookViewId="0">
      <selection activeCell="H11" sqref="H11"/>
    </sheetView>
  </sheetViews>
  <sheetFormatPr defaultRowHeight="12.75" x14ac:dyDescent="0.2"/>
  <cols>
    <col min="1" max="1" width="9.140625" style="1"/>
    <col min="2" max="2" width="27.85546875" style="1" bestFit="1" customWidth="1"/>
    <col min="3" max="4" width="9.140625" style="1"/>
    <col min="5" max="5" width="23.28515625" style="1" customWidth="1"/>
    <col min="6" max="8" width="9.140625" style="1"/>
    <col min="9" max="9" width="27" style="1" bestFit="1" customWidth="1"/>
    <col min="10" max="11" width="9.140625" style="1"/>
    <col min="12" max="12" width="21.5703125" style="1" bestFit="1" customWidth="1"/>
    <col min="13" max="16384" width="9.140625" style="1"/>
  </cols>
  <sheetData>
    <row r="2" spans="1:13" ht="15" x14ac:dyDescent="0.25">
      <c r="A2" s="623" t="s">
        <v>585</v>
      </c>
      <c r="B2" s="749" t="s">
        <v>589</v>
      </c>
      <c r="C2" s="749"/>
      <c r="D2" s="749"/>
      <c r="E2" s="749"/>
      <c r="F2" s="749"/>
      <c r="H2" s="623" t="s">
        <v>593</v>
      </c>
      <c r="I2" s="749" t="s">
        <v>594</v>
      </c>
      <c r="J2" s="749"/>
      <c r="K2" s="749"/>
      <c r="L2" s="749"/>
      <c r="M2" s="749"/>
    </row>
    <row r="4" spans="1:13" x14ac:dyDescent="0.2">
      <c r="B4" s="264" t="s">
        <v>586</v>
      </c>
      <c r="C4" s="624">
        <v>0.16109999999999999</v>
      </c>
      <c r="D4" s="625"/>
      <c r="E4" s="624" t="s">
        <v>587</v>
      </c>
      <c r="F4" s="626">
        <v>5.03</v>
      </c>
      <c r="I4" s="264" t="s">
        <v>586</v>
      </c>
      <c r="J4" s="624">
        <v>0.18090000000000001</v>
      </c>
      <c r="K4" s="625"/>
      <c r="L4" s="624" t="s">
        <v>587</v>
      </c>
      <c r="M4" s="626">
        <v>4.57</v>
      </c>
    </row>
    <row r="5" spans="1:13" x14ac:dyDescent="0.2">
      <c r="B5" s="264" t="s">
        <v>419</v>
      </c>
      <c r="C5" s="624">
        <v>0.2374</v>
      </c>
      <c r="D5" s="625"/>
      <c r="E5" s="624" t="s">
        <v>588</v>
      </c>
      <c r="F5" s="626">
        <v>4.68</v>
      </c>
      <c r="I5" s="264" t="s">
        <v>419</v>
      </c>
      <c r="J5" s="624">
        <v>0.27989999999999998</v>
      </c>
      <c r="K5" s="625"/>
      <c r="L5" s="624" t="s">
        <v>588</v>
      </c>
      <c r="M5" s="626">
        <v>3.66</v>
      </c>
    </row>
    <row r="8" spans="1:13" x14ac:dyDescent="0.2">
      <c r="B8" s="328" t="s">
        <v>80</v>
      </c>
      <c r="C8" s="328">
        <v>2025</v>
      </c>
      <c r="D8" s="328">
        <v>2030</v>
      </c>
      <c r="E8" s="328">
        <v>2035</v>
      </c>
      <c r="F8" s="328">
        <v>2037</v>
      </c>
      <c r="I8" s="328" t="s">
        <v>80</v>
      </c>
      <c r="J8" s="328">
        <v>2025</v>
      </c>
      <c r="K8" s="328">
        <v>2030</v>
      </c>
      <c r="L8" s="328">
        <v>2035</v>
      </c>
      <c r="M8" s="328">
        <v>2037</v>
      </c>
    </row>
    <row r="9" spans="1:13" x14ac:dyDescent="0.2">
      <c r="B9" s="270" t="s">
        <v>8</v>
      </c>
      <c r="C9" s="271">
        <v>279.536992</v>
      </c>
      <c r="D9" s="271">
        <v>379.37163199999998</v>
      </c>
      <c r="E9" s="271">
        <v>379.37163199999998</v>
      </c>
      <c r="F9" s="271">
        <v>372.24241311976562</v>
      </c>
      <c r="I9" s="270" t="s">
        <v>8</v>
      </c>
      <c r="J9" s="271">
        <v>279.536992</v>
      </c>
      <c r="K9" s="271">
        <v>379.37163199999998</v>
      </c>
      <c r="L9" s="271">
        <v>379.37163199999998</v>
      </c>
      <c r="M9" s="271">
        <v>372.24241311976562</v>
      </c>
    </row>
    <row r="10" spans="1:13" x14ac:dyDescent="0.2">
      <c r="B10" s="270" t="s">
        <v>9</v>
      </c>
      <c r="C10" s="271">
        <v>149.69571730562501</v>
      </c>
      <c r="D10" s="271">
        <v>187.44542358272656</v>
      </c>
      <c r="E10" s="271">
        <v>187.44542358272656</v>
      </c>
      <c r="F10" s="271">
        <v>187.44542358272656</v>
      </c>
      <c r="I10" s="270" t="s">
        <v>9</v>
      </c>
      <c r="J10" s="271">
        <v>141.17649542604687</v>
      </c>
      <c r="K10" s="271">
        <v>176.51486592622891</v>
      </c>
      <c r="L10" s="271">
        <v>176.51486592622891</v>
      </c>
      <c r="M10" s="271">
        <v>176.51486592622891</v>
      </c>
    </row>
    <row r="11" spans="1:13" x14ac:dyDescent="0.2">
      <c r="B11" s="270" t="s">
        <v>353</v>
      </c>
      <c r="C11" s="271">
        <f>C9-C10</f>
        <v>129.84127469437499</v>
      </c>
      <c r="D11" s="271">
        <f t="shared" ref="D11:F11" si="0">D9-D10</f>
        <v>191.92620841727341</v>
      </c>
      <c r="E11" s="271">
        <f t="shared" si="0"/>
        <v>191.92620841727341</v>
      </c>
      <c r="F11" s="271">
        <f t="shared" si="0"/>
        <v>184.79698953703905</v>
      </c>
      <c r="I11" s="270" t="s">
        <v>353</v>
      </c>
      <c r="J11" s="271">
        <f>J9-J10</f>
        <v>138.36049657395313</v>
      </c>
      <c r="K11" s="271">
        <f t="shared" ref="K11" si="1">K9-K10</f>
        <v>202.85676607377107</v>
      </c>
      <c r="L11" s="271">
        <f t="shared" ref="L11" si="2">L9-L10</f>
        <v>202.85676607377107</v>
      </c>
      <c r="M11" s="271">
        <f t="shared" ref="M11" si="3">M9-M10</f>
        <v>195.72754719353671</v>
      </c>
    </row>
    <row r="12" spans="1:13" x14ac:dyDescent="0.2">
      <c r="B12" s="264" t="s">
        <v>590</v>
      </c>
      <c r="C12" s="627">
        <f>C11/C9</f>
        <v>0.46448691375478129</v>
      </c>
      <c r="D12" s="627">
        <f>D11/D9</f>
        <v>0.50590553491167056</v>
      </c>
      <c r="E12" s="627">
        <f>E11/E9</f>
        <v>0.50590553491167056</v>
      </c>
      <c r="F12" s="627">
        <f>F11/F9</f>
        <v>0.49644259499677779</v>
      </c>
      <c r="I12" s="264" t="s">
        <v>590</v>
      </c>
      <c r="J12" s="627">
        <f>J11/J9</f>
        <v>0.49496310160607698</v>
      </c>
      <c r="K12" s="627">
        <f>K11/K9</f>
        <v>0.53471780429215399</v>
      </c>
      <c r="L12" s="627">
        <f>L11/L9</f>
        <v>0.53471780429215399</v>
      </c>
      <c r="M12" s="627">
        <f>M11/M9</f>
        <v>0.52580667945155179</v>
      </c>
    </row>
    <row r="13" spans="1:13" x14ac:dyDescent="0.2">
      <c r="B13" s="264" t="s">
        <v>130</v>
      </c>
      <c r="C13" s="271">
        <v>48.979698444849404</v>
      </c>
      <c r="D13" s="271">
        <v>137.81380381629469</v>
      </c>
      <c r="E13" s="271">
        <v>154.02064787965406</v>
      </c>
      <c r="F13" s="271">
        <v>146.91087232363856</v>
      </c>
      <c r="I13" s="264" t="s">
        <v>130</v>
      </c>
      <c r="J13" s="271">
        <v>61.508636417438879</v>
      </c>
      <c r="K13" s="271">
        <v>151.40133513389213</v>
      </c>
      <c r="L13" s="271">
        <v>158.61469111545779</v>
      </c>
      <c r="M13" s="271">
        <v>158.61469111545779</v>
      </c>
    </row>
    <row r="14" spans="1:13" x14ac:dyDescent="0.2">
      <c r="B14" s="264" t="s">
        <v>591</v>
      </c>
      <c r="C14" s="627">
        <f>C13/C9</f>
        <v>0.17521723366347666</v>
      </c>
      <c r="D14" s="627">
        <f>D13/D9</f>
        <v>0.3632686057461848</v>
      </c>
      <c r="E14" s="627">
        <f>E13/E9</f>
        <v>0.40598883756193471</v>
      </c>
      <c r="F14" s="627">
        <f>F13/F9</f>
        <v>0.39466451738365266</v>
      </c>
      <c r="I14" s="264" t="s">
        <v>591</v>
      </c>
      <c r="J14" s="627">
        <f>J13/J9</f>
        <v>0.22003755559278138</v>
      </c>
      <c r="K14" s="627">
        <f>K13/K9</f>
        <v>0.39908449225821963</v>
      </c>
      <c r="L14" s="627">
        <f>L13/L9</f>
        <v>0.41809844947884189</v>
      </c>
      <c r="M14" s="627">
        <f>M13/M9</f>
        <v>0.42610590713214874</v>
      </c>
    </row>
    <row r="15" spans="1:13" x14ac:dyDescent="0.2">
      <c r="B15" s="264" t="s">
        <v>357</v>
      </c>
      <c r="C15" s="271">
        <v>21.302295567871003</v>
      </c>
      <c r="D15" s="271">
        <v>71.483068045588467</v>
      </c>
      <c r="E15" s="271">
        <v>80.148052191835944</v>
      </c>
      <c r="F15" s="271">
        <v>73.856551961464774</v>
      </c>
      <c r="I15" s="264" t="s">
        <v>357</v>
      </c>
      <c r="J15" s="552">
        <v>29.966906182225493</v>
      </c>
      <c r="K15" s="271">
        <v>81.217702366221559</v>
      </c>
      <c r="L15" s="271">
        <v>84.135482369097176</v>
      </c>
      <c r="M15" s="271">
        <v>82.546397839429943</v>
      </c>
    </row>
    <row r="16" spans="1:13" x14ac:dyDescent="0.2">
      <c r="B16" s="264" t="s">
        <v>592</v>
      </c>
      <c r="C16" s="627">
        <f>C15/C9</f>
        <v>7.6205640675531788E-2</v>
      </c>
      <c r="D16" s="627">
        <f>D15/D9</f>
        <v>0.18842491640384032</v>
      </c>
      <c r="E16" s="627">
        <f>E15/E9</f>
        <v>0.21126527507949236</v>
      </c>
      <c r="F16" s="627">
        <f>F15/F9</f>
        <v>0.19840982477647462</v>
      </c>
      <c r="I16" s="264" t="s">
        <v>592</v>
      </c>
      <c r="J16" s="627">
        <f>J15/J9</f>
        <v>0.10720193405467243</v>
      </c>
      <c r="K16" s="627">
        <f>K15/K9</f>
        <v>0.21408480633634083</v>
      </c>
      <c r="L16" s="627">
        <f>L15/L9</f>
        <v>0.22177589274544698</v>
      </c>
      <c r="M16" s="627">
        <f>M15/M9</f>
        <v>0.22175441306542193</v>
      </c>
    </row>
    <row r="19" spans="1:6" ht="15" x14ac:dyDescent="0.25">
      <c r="A19" s="623" t="s">
        <v>595</v>
      </c>
      <c r="B19" s="749" t="s">
        <v>596</v>
      </c>
      <c r="C19" s="749"/>
      <c r="D19" s="749"/>
      <c r="E19" s="749"/>
      <c r="F19" s="749"/>
    </row>
    <row r="21" spans="1:6" x14ac:dyDescent="0.2">
      <c r="B21" s="264" t="s">
        <v>586</v>
      </c>
      <c r="C21" s="624">
        <v>0.2044</v>
      </c>
      <c r="D21" s="625"/>
      <c r="E21" s="624" t="s">
        <v>587</v>
      </c>
      <c r="F21" s="626">
        <v>4.12</v>
      </c>
    </row>
    <row r="22" spans="1:6" x14ac:dyDescent="0.2">
      <c r="B22" s="264" t="s">
        <v>419</v>
      </c>
      <c r="C22" s="624">
        <v>0.33150000000000002</v>
      </c>
      <c r="D22" s="625"/>
      <c r="E22" s="624" t="s">
        <v>588</v>
      </c>
      <c r="F22" s="626">
        <v>2.9</v>
      </c>
    </row>
    <row r="25" spans="1:6" x14ac:dyDescent="0.2">
      <c r="B25" s="328" t="s">
        <v>80</v>
      </c>
      <c r="C25" s="328">
        <v>2025</v>
      </c>
      <c r="D25" s="328">
        <v>2030</v>
      </c>
      <c r="E25" s="328">
        <v>2035</v>
      </c>
      <c r="F25" s="328">
        <v>2037</v>
      </c>
    </row>
    <row r="26" spans="1:6" x14ac:dyDescent="0.2">
      <c r="B26" s="270" t="s">
        <v>8</v>
      </c>
      <c r="C26" s="271">
        <v>307.49069120000001</v>
      </c>
      <c r="D26" s="271">
        <v>417.30879520000008</v>
      </c>
      <c r="E26" s="271">
        <v>407.20641245796884</v>
      </c>
      <c r="F26" s="271">
        <v>407.20641245796884</v>
      </c>
    </row>
    <row r="27" spans="1:6" x14ac:dyDescent="0.2">
      <c r="B27" s="270" t="s">
        <v>9</v>
      </c>
      <c r="C27" s="271">
        <v>141.3331581071875</v>
      </c>
      <c r="D27" s="271">
        <v>176.66369547331252</v>
      </c>
      <c r="E27" s="271">
        <v>176.66369547331252</v>
      </c>
      <c r="F27" s="271">
        <v>176.66369547331252</v>
      </c>
    </row>
    <row r="28" spans="1:6" x14ac:dyDescent="0.2">
      <c r="B28" s="270" t="s">
        <v>353</v>
      </c>
      <c r="C28" s="271">
        <f>C26-C27</f>
        <v>166.15753309281251</v>
      </c>
      <c r="D28" s="271">
        <f t="shared" ref="D28" si="4">D26-D27</f>
        <v>240.64509972668756</v>
      </c>
      <c r="E28" s="271">
        <f t="shared" ref="E28" si="5">E26-E27</f>
        <v>230.54271698465632</v>
      </c>
      <c r="F28" s="271">
        <f t="shared" ref="F28" si="6">F26-F27</f>
        <v>230.54271698465632</v>
      </c>
    </row>
    <row r="29" spans="1:6" x14ac:dyDescent="0.2">
      <c r="B29" s="264" t="s">
        <v>590</v>
      </c>
      <c r="C29" s="627">
        <f>C28/C26</f>
        <v>0.54036605935735238</v>
      </c>
      <c r="D29" s="627">
        <f>D28/D26</f>
        <v>0.57665954443005596</v>
      </c>
      <c r="E29" s="627">
        <f>E28/E26</f>
        <v>0.56615689225781174</v>
      </c>
      <c r="F29" s="627">
        <f>F28/F26</f>
        <v>0.56615689225781174</v>
      </c>
    </row>
    <row r="30" spans="1:6" x14ac:dyDescent="0.2">
      <c r="B30" s="264" t="s">
        <v>130</v>
      </c>
      <c r="C30" s="271">
        <v>85.210562350051688</v>
      </c>
      <c r="D30" s="271">
        <v>186.41680259917536</v>
      </c>
      <c r="E30" s="271">
        <v>192.5488158734363</v>
      </c>
      <c r="F30" s="271">
        <v>192.5488158734363</v>
      </c>
    </row>
    <row r="31" spans="1:6" x14ac:dyDescent="0.2">
      <c r="B31" s="264" t="s">
        <v>591</v>
      </c>
      <c r="C31" s="627">
        <f>C30/C26</f>
        <v>0.27711590883454906</v>
      </c>
      <c r="D31" s="627">
        <f>D30/D26</f>
        <v>0.44671189474890638</v>
      </c>
      <c r="E31" s="627">
        <f>E30/E26</f>
        <v>0.4728531034449534</v>
      </c>
      <c r="F31" s="627">
        <f>F30/F26</f>
        <v>0.4728531034449534</v>
      </c>
    </row>
    <row r="32" spans="1:6" x14ac:dyDescent="0.2">
      <c r="B32" s="264" t="s">
        <v>357</v>
      </c>
      <c r="C32" s="271">
        <v>44.842806138323276</v>
      </c>
      <c r="D32" s="271">
        <v>103.06173744930746</v>
      </c>
      <c r="E32" s="271">
        <v>105.1820674318319</v>
      </c>
      <c r="F32" s="271">
        <v>103.50910851196714</v>
      </c>
    </row>
    <row r="33" spans="2:6" x14ac:dyDescent="0.2">
      <c r="B33" s="264" t="s">
        <v>592</v>
      </c>
      <c r="C33" s="627">
        <f>C32/C26</f>
        <v>0.14583467864773941</v>
      </c>
      <c r="D33" s="627">
        <f>D32/D26</f>
        <v>0.24696756606798553</v>
      </c>
      <c r="E33" s="627">
        <f>E32/E26</f>
        <v>0.25830159892850069</v>
      </c>
      <c r="F33" s="627">
        <f>F32/F26</f>
        <v>0.25419321834145031</v>
      </c>
    </row>
  </sheetData>
  <mergeCells count="3">
    <mergeCell ref="B2:F2"/>
    <mergeCell ref="I2:M2"/>
    <mergeCell ref="B19:F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G1:U56"/>
  <sheetViews>
    <sheetView showGridLines="0" zoomScale="90" zoomScaleNormal="90" workbookViewId="0">
      <selection activeCell="I57" sqref="I57"/>
    </sheetView>
  </sheetViews>
  <sheetFormatPr defaultRowHeight="15" x14ac:dyDescent="0.25"/>
  <cols>
    <col min="21" max="22" width="0" hidden="1" customWidth="1"/>
  </cols>
  <sheetData>
    <row r="1" spans="7:21" x14ac:dyDescent="0.25">
      <c r="G1" t="s">
        <v>249</v>
      </c>
    </row>
    <row r="5" spans="7:21" x14ac:dyDescent="0.25">
      <c r="U5" s="208" t="s">
        <v>250</v>
      </c>
    </row>
    <row r="16" spans="7:21" x14ac:dyDescent="0.25">
      <c r="U16" s="208" t="s">
        <v>251</v>
      </c>
    </row>
    <row r="31" spans="21:21" x14ac:dyDescent="0.25">
      <c r="U31" s="208" t="s">
        <v>252</v>
      </c>
    </row>
    <row r="32" spans="21:21" x14ac:dyDescent="0.25">
      <c r="U32" t="s">
        <v>253</v>
      </c>
    </row>
    <row r="33" spans="21:21" x14ac:dyDescent="0.25">
      <c r="U33" t="s">
        <v>254</v>
      </c>
    </row>
    <row r="34" spans="21:21" x14ac:dyDescent="0.25">
      <c r="U34" t="s">
        <v>255</v>
      </c>
    </row>
    <row r="36" spans="21:21" x14ac:dyDescent="0.25">
      <c r="U36" t="s">
        <v>256</v>
      </c>
    </row>
    <row r="39" spans="21:21" x14ac:dyDescent="0.25">
      <c r="U39" t="s">
        <v>257</v>
      </c>
    </row>
    <row r="43" spans="21:21" x14ac:dyDescent="0.25">
      <c r="U43" t="s">
        <v>258</v>
      </c>
    </row>
    <row r="47" spans="21:21" x14ac:dyDescent="0.25">
      <c r="U47" t="s">
        <v>259</v>
      </c>
    </row>
    <row r="48" spans="21:21" x14ac:dyDescent="0.25">
      <c r="U48" t="s">
        <v>260</v>
      </c>
    </row>
    <row r="49" spans="21:21" x14ac:dyDescent="0.25">
      <c r="U49" t="s">
        <v>261</v>
      </c>
    </row>
    <row r="52" spans="21:21" x14ac:dyDescent="0.25">
      <c r="U52" t="s">
        <v>262</v>
      </c>
    </row>
    <row r="53" spans="21:21" x14ac:dyDescent="0.25">
      <c r="U53" t="s">
        <v>263</v>
      </c>
    </row>
    <row r="56" spans="21:21" x14ac:dyDescent="0.25">
      <c r="U56" t="s">
        <v>264</v>
      </c>
    </row>
  </sheetData>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53"/>
  <sheetViews>
    <sheetView showGridLines="0" zoomScaleNormal="100" workbookViewId="0">
      <selection activeCell="B5" sqref="B5:B6"/>
    </sheetView>
  </sheetViews>
  <sheetFormatPr defaultColWidth="9.140625" defaultRowHeight="12.75" x14ac:dyDescent="0.2"/>
  <cols>
    <col min="1" max="1" width="34.85546875" style="184" bestFit="1" customWidth="1"/>
    <col min="2" max="2" width="50.85546875" style="184" customWidth="1"/>
    <col min="3" max="3" width="43.42578125" style="184" bestFit="1" customWidth="1"/>
    <col min="4" max="4" width="26.85546875" style="184" bestFit="1" customWidth="1"/>
    <col min="5" max="5" width="20" style="184" bestFit="1" customWidth="1"/>
    <col min="6" max="6" width="25.7109375" style="184" customWidth="1"/>
    <col min="7" max="7" width="30.7109375" style="185" bestFit="1" customWidth="1"/>
    <col min="8" max="8" width="17.42578125" style="185" bestFit="1" customWidth="1"/>
    <col min="9" max="16384" width="9.140625" style="185"/>
  </cols>
  <sheetData>
    <row r="1" spans="1:44" x14ac:dyDescent="0.2">
      <c r="A1" s="685" t="s">
        <v>197</v>
      </c>
      <c r="B1" s="685"/>
      <c r="C1" s="685"/>
      <c r="D1" s="685"/>
      <c r="E1" s="685"/>
      <c r="F1" s="685"/>
    </row>
    <row r="2" spans="1:44" ht="38.25" customHeight="1" x14ac:dyDescent="0.2">
      <c r="A2" s="151" t="s">
        <v>206</v>
      </c>
      <c r="B2" s="151" t="s">
        <v>204</v>
      </c>
      <c r="C2" s="151" t="s">
        <v>198</v>
      </c>
      <c r="D2" s="151" t="s">
        <v>203</v>
      </c>
      <c r="E2" s="151" t="s">
        <v>45</v>
      </c>
      <c r="F2" s="151" t="s">
        <v>207</v>
      </c>
    </row>
    <row r="3" spans="1:44" ht="38.25" customHeight="1" x14ac:dyDescent="0.2">
      <c r="A3" s="686" t="s">
        <v>134</v>
      </c>
      <c r="B3" s="688">
        <v>82500</v>
      </c>
      <c r="C3" s="264" t="s">
        <v>136</v>
      </c>
      <c r="D3" s="264">
        <v>0.28749999999999998</v>
      </c>
      <c r="E3" s="264" t="s">
        <v>46</v>
      </c>
      <c r="F3" s="606">
        <f>D3*B3</f>
        <v>23718.749999999996</v>
      </c>
      <c r="G3" s="192"/>
    </row>
    <row r="4" spans="1:44" ht="38.25" customHeight="1" x14ac:dyDescent="0.2">
      <c r="A4" s="686"/>
      <c r="B4" s="688"/>
      <c r="C4" s="264" t="s">
        <v>205</v>
      </c>
      <c r="D4" s="264">
        <v>8.5000000000000006E-5</v>
      </c>
      <c r="E4" s="264" t="s">
        <v>199</v>
      </c>
      <c r="F4" s="606">
        <f>D4*B3</f>
        <v>7.0125000000000002</v>
      </c>
    </row>
    <row r="5" spans="1:44" ht="38.25" customHeight="1" x14ac:dyDescent="0.2">
      <c r="A5" s="686" t="s">
        <v>177</v>
      </c>
      <c r="B5" s="688">
        <v>100000</v>
      </c>
      <c r="C5" s="264" t="s">
        <v>187</v>
      </c>
      <c r="D5" s="264">
        <v>0.747</v>
      </c>
      <c r="E5" s="264" t="s">
        <v>46</v>
      </c>
      <c r="F5" s="264">
        <f>D5*B5</f>
        <v>74700</v>
      </c>
    </row>
    <row r="6" spans="1:44" ht="38.25" customHeight="1" x14ac:dyDescent="0.2">
      <c r="A6" s="686"/>
      <c r="B6" s="688"/>
      <c r="C6" s="264" t="s">
        <v>136</v>
      </c>
      <c r="D6" s="264">
        <v>0.21299999999999999</v>
      </c>
      <c r="E6" s="264" t="s">
        <v>46</v>
      </c>
      <c r="F6" s="264">
        <f>D6*B5</f>
        <v>21300</v>
      </c>
    </row>
    <row r="7" spans="1:44" x14ac:dyDescent="0.2">
      <c r="A7" s="685" t="s">
        <v>329</v>
      </c>
      <c r="B7" s="685"/>
      <c r="C7" s="685"/>
      <c r="D7" s="685"/>
      <c r="E7" s="685"/>
      <c r="F7" s="685"/>
      <c r="G7" s="169"/>
    </row>
    <row r="8" spans="1:44" s="187" customFormat="1" x14ac:dyDescent="0.2">
      <c r="A8" s="151" t="s">
        <v>97</v>
      </c>
      <c r="B8" s="151" t="s">
        <v>98</v>
      </c>
      <c r="C8" s="151" t="s">
        <v>45</v>
      </c>
      <c r="D8" s="151" t="s">
        <v>248</v>
      </c>
      <c r="E8" s="151" t="s">
        <v>99</v>
      </c>
      <c r="F8" s="608" t="s">
        <v>1</v>
      </c>
      <c r="G8" s="607" t="s">
        <v>216</v>
      </c>
      <c r="H8" s="186"/>
      <c r="I8" s="186"/>
      <c r="J8" s="186"/>
      <c r="K8" s="186"/>
      <c r="L8" s="186"/>
      <c r="M8" s="186"/>
      <c r="N8" s="186"/>
      <c r="O8" s="186"/>
      <c r="P8" s="186"/>
      <c r="Q8" s="186"/>
      <c r="R8" s="186"/>
      <c r="S8" s="186"/>
      <c r="T8" s="186"/>
      <c r="U8" s="186"/>
      <c r="V8" s="186"/>
      <c r="W8" s="186"/>
      <c r="X8" s="186"/>
      <c r="Y8" s="186"/>
      <c r="Z8" s="186"/>
      <c r="AA8" s="186"/>
      <c r="AB8" s="186"/>
      <c r="AC8" s="186"/>
      <c r="AD8" s="186"/>
      <c r="AE8" s="186"/>
      <c r="AF8" s="186"/>
      <c r="AG8" s="186"/>
      <c r="AH8" s="186"/>
      <c r="AI8" s="186"/>
      <c r="AJ8" s="186"/>
      <c r="AK8" s="186"/>
      <c r="AL8" s="186"/>
      <c r="AM8" s="186"/>
      <c r="AN8" s="186"/>
      <c r="AO8" s="186"/>
      <c r="AP8" s="186"/>
      <c r="AQ8" s="186"/>
      <c r="AR8" s="186"/>
    </row>
    <row r="9" spans="1:44" s="187" customFormat="1" x14ac:dyDescent="0.2">
      <c r="A9" s="686" t="s">
        <v>102</v>
      </c>
      <c r="B9" s="264" t="s">
        <v>101</v>
      </c>
      <c r="C9" s="609" t="s">
        <v>219</v>
      </c>
      <c r="D9" s="270"/>
      <c r="E9" s="264" t="s">
        <v>218</v>
      </c>
      <c r="F9" s="610" t="s">
        <v>136</v>
      </c>
      <c r="G9" s="619">
        <v>26536.75</v>
      </c>
      <c r="H9" s="186"/>
      <c r="I9" s="186"/>
      <c r="J9" s="186"/>
      <c r="K9" s="186"/>
      <c r="L9" s="186"/>
      <c r="M9" s="186"/>
      <c r="N9" s="186"/>
      <c r="O9" s="186"/>
      <c r="P9" s="186"/>
      <c r="Q9" s="186"/>
      <c r="R9" s="186"/>
      <c r="S9" s="186"/>
      <c r="T9" s="186"/>
      <c r="U9" s="186"/>
      <c r="V9" s="186"/>
      <c r="W9" s="186"/>
      <c r="X9" s="186"/>
      <c r="Y9" s="186"/>
      <c r="Z9" s="186"/>
      <c r="AA9" s="186"/>
      <c r="AB9" s="186"/>
      <c r="AC9" s="186"/>
      <c r="AD9" s="186"/>
      <c r="AE9" s="186"/>
      <c r="AF9" s="186"/>
      <c r="AG9" s="186"/>
      <c r="AH9" s="186"/>
      <c r="AI9" s="186"/>
      <c r="AJ9" s="186"/>
      <c r="AK9" s="186"/>
      <c r="AL9" s="186"/>
      <c r="AM9" s="186"/>
      <c r="AN9" s="186"/>
      <c r="AO9" s="186"/>
      <c r="AP9" s="186"/>
      <c r="AQ9" s="186"/>
      <c r="AR9" s="186"/>
    </row>
    <row r="10" spans="1:44" s="187" customFormat="1" x14ac:dyDescent="0.2">
      <c r="A10" s="686"/>
      <c r="B10" s="264" t="s">
        <v>101</v>
      </c>
      <c r="C10" s="609" t="s">
        <v>219</v>
      </c>
      <c r="D10" s="270"/>
      <c r="E10" s="264" t="s">
        <v>220</v>
      </c>
      <c r="F10" s="610" t="s">
        <v>136</v>
      </c>
      <c r="G10" s="620">
        <v>29242.25</v>
      </c>
      <c r="H10" s="186"/>
      <c r="I10" s="186"/>
      <c r="J10" s="186"/>
      <c r="K10" s="186"/>
      <c r="L10" s="186"/>
      <c r="M10" s="186"/>
      <c r="N10" s="186"/>
      <c r="O10" s="186"/>
      <c r="P10" s="186"/>
      <c r="Q10" s="186"/>
      <c r="R10" s="186"/>
      <c r="S10" s="186"/>
      <c r="T10" s="186"/>
      <c r="U10" s="186"/>
      <c r="V10" s="186"/>
      <c r="W10" s="186"/>
      <c r="X10" s="186"/>
      <c r="Y10" s="186"/>
      <c r="Z10" s="186"/>
      <c r="AA10" s="186"/>
      <c r="AB10" s="186"/>
      <c r="AC10" s="186"/>
      <c r="AD10" s="186"/>
      <c r="AE10" s="186"/>
      <c r="AF10" s="186"/>
      <c r="AG10" s="186"/>
      <c r="AH10" s="186"/>
      <c r="AI10" s="186"/>
      <c r="AJ10" s="186"/>
      <c r="AK10" s="186"/>
      <c r="AL10" s="186"/>
      <c r="AM10" s="186"/>
      <c r="AN10" s="186"/>
      <c r="AO10" s="186"/>
      <c r="AP10" s="186"/>
      <c r="AQ10" s="186"/>
      <c r="AR10" s="186"/>
    </row>
    <row r="11" spans="1:44" s="187" customFormat="1" x14ac:dyDescent="0.2">
      <c r="A11" s="611" t="s">
        <v>137</v>
      </c>
      <c r="B11" s="270" t="s">
        <v>103</v>
      </c>
      <c r="C11" s="270" t="s">
        <v>104</v>
      </c>
      <c r="D11" s="270"/>
      <c r="E11" s="264" t="s">
        <v>138</v>
      </c>
      <c r="F11" s="610" t="s">
        <v>134</v>
      </c>
      <c r="G11" s="286">
        <f t="shared" ref="G11" si="0">100000</f>
        <v>100000</v>
      </c>
      <c r="H11" s="186"/>
      <c r="I11" s="186"/>
      <c r="J11" s="186"/>
      <c r="K11" s="186"/>
      <c r="L11" s="186"/>
      <c r="M11" s="186"/>
      <c r="N11" s="186"/>
      <c r="O11" s="186"/>
      <c r="P11" s="186"/>
      <c r="Q11" s="186"/>
      <c r="R11" s="186"/>
      <c r="S11" s="186"/>
      <c r="T11" s="186"/>
      <c r="U11" s="186"/>
      <c r="V11" s="186"/>
      <c r="W11" s="186"/>
      <c r="X11" s="186"/>
      <c r="Y11" s="186"/>
      <c r="Z11" s="186"/>
      <c r="AA11" s="186"/>
      <c r="AB11" s="186"/>
      <c r="AC11" s="186"/>
      <c r="AD11" s="186"/>
      <c r="AE11" s="186"/>
      <c r="AF11" s="186"/>
      <c r="AG11" s="186"/>
      <c r="AH11" s="186"/>
      <c r="AI11" s="186"/>
      <c r="AJ11" s="186"/>
      <c r="AK11" s="186"/>
      <c r="AL11" s="186"/>
      <c r="AM11" s="186"/>
      <c r="AN11" s="186"/>
      <c r="AO11" s="186"/>
      <c r="AP11" s="186"/>
      <c r="AQ11" s="186"/>
      <c r="AR11" s="186"/>
    </row>
    <row r="12" spans="1:44" s="187" customFormat="1" ht="15" customHeight="1" x14ac:dyDescent="0.2">
      <c r="A12" s="686" t="s">
        <v>140</v>
      </c>
      <c r="B12" s="270"/>
      <c r="C12" s="270"/>
      <c r="D12" s="612"/>
      <c r="E12" s="687" t="s">
        <v>245</v>
      </c>
      <c r="F12" s="613"/>
      <c r="G12" s="287"/>
      <c r="H12" s="186"/>
      <c r="J12" s="186"/>
      <c r="K12" s="186"/>
    </row>
    <row r="13" spans="1:44" s="187" customFormat="1" x14ac:dyDescent="0.2">
      <c r="A13" s="686"/>
      <c r="B13" s="270" t="s">
        <v>101</v>
      </c>
      <c r="C13" s="270" t="s">
        <v>104</v>
      </c>
      <c r="D13" s="328">
        <v>132.69999999999999</v>
      </c>
      <c r="E13" s="687"/>
      <c r="F13" s="613" t="s">
        <v>41</v>
      </c>
      <c r="G13" s="176"/>
      <c r="H13" s="186"/>
      <c r="J13" s="186"/>
      <c r="K13" s="186"/>
    </row>
    <row r="14" spans="1:44" s="187" customFormat="1" x14ac:dyDescent="0.2">
      <c r="A14" s="686"/>
      <c r="B14" s="270"/>
      <c r="C14" s="270"/>
      <c r="D14" s="614"/>
      <c r="E14" s="687"/>
      <c r="F14" s="613"/>
      <c r="G14" s="176"/>
      <c r="H14" s="186"/>
      <c r="J14" s="186"/>
      <c r="K14" s="186"/>
    </row>
    <row r="15" spans="1:44" s="187" customFormat="1" ht="24.75" customHeight="1" x14ac:dyDescent="0.2">
      <c r="A15" s="686"/>
      <c r="B15" s="264"/>
      <c r="C15" s="264"/>
      <c r="D15" s="615"/>
      <c r="E15" s="687"/>
      <c r="F15" s="613"/>
      <c r="G15" s="176"/>
      <c r="H15" s="186"/>
      <c r="J15" s="186"/>
      <c r="K15" s="186"/>
    </row>
    <row r="16" spans="1:44" s="187" customFormat="1" x14ac:dyDescent="0.2">
      <c r="A16" s="686"/>
      <c r="B16" s="346" t="s">
        <v>101</v>
      </c>
      <c r="C16" s="346" t="s">
        <v>452</v>
      </c>
      <c r="D16" s="346">
        <v>8.5000000000000006E-2</v>
      </c>
      <c r="E16" s="687"/>
      <c r="F16" s="613" t="s">
        <v>453</v>
      </c>
      <c r="G16" s="176"/>
      <c r="H16" s="186"/>
      <c r="J16" s="618">
        <v>50</v>
      </c>
      <c r="K16" s="618" t="s">
        <v>448</v>
      </c>
    </row>
    <row r="17" spans="1:45" s="187" customFormat="1" ht="12" customHeight="1" x14ac:dyDescent="0.2">
      <c r="A17" s="686"/>
      <c r="B17" s="270"/>
      <c r="C17" s="270"/>
      <c r="D17" s="270"/>
      <c r="E17" s="687"/>
      <c r="F17" s="613"/>
      <c r="G17" s="176"/>
      <c r="H17" s="186"/>
      <c r="J17" s="618"/>
      <c r="K17" s="618"/>
    </row>
    <row r="18" spans="1:45" s="187" customFormat="1" x14ac:dyDescent="0.2">
      <c r="A18" s="686"/>
      <c r="B18" s="270" t="s">
        <v>101</v>
      </c>
      <c r="C18" s="270" t="s">
        <v>46</v>
      </c>
      <c r="D18" s="346">
        <v>1.07</v>
      </c>
      <c r="E18" s="687"/>
      <c r="F18" s="616" t="s">
        <v>105</v>
      </c>
      <c r="G18" s="176"/>
      <c r="H18" s="186"/>
      <c r="J18" s="618">
        <v>250</v>
      </c>
      <c r="K18" s="618" t="s">
        <v>448</v>
      </c>
    </row>
    <row r="19" spans="1:45" s="187" customFormat="1" x14ac:dyDescent="0.2">
      <c r="A19" s="686"/>
      <c r="B19" s="605"/>
      <c r="C19" s="270"/>
      <c r="D19" s="614"/>
      <c r="E19" s="687"/>
      <c r="F19" s="617"/>
      <c r="G19" s="175"/>
      <c r="H19" s="603"/>
      <c r="I19" s="186"/>
      <c r="J19" s="186"/>
      <c r="K19" s="186"/>
    </row>
    <row r="20" spans="1:45" s="187" customFormat="1" ht="29.45" customHeight="1" x14ac:dyDescent="0.2">
      <c r="A20" s="686" t="s">
        <v>231</v>
      </c>
      <c r="B20" s="270"/>
      <c r="C20" s="270"/>
      <c r="D20" s="614"/>
      <c r="E20" s="688" t="s">
        <v>245</v>
      </c>
      <c r="F20" s="613"/>
      <c r="G20" s="287"/>
      <c r="H20" s="186"/>
      <c r="I20" s="186"/>
      <c r="J20" s="186"/>
      <c r="K20" s="186"/>
    </row>
    <row r="21" spans="1:45" s="187" customFormat="1" x14ac:dyDescent="0.2">
      <c r="A21" s="686"/>
      <c r="B21" s="270" t="s">
        <v>101</v>
      </c>
      <c r="C21" s="270" t="s">
        <v>104</v>
      </c>
      <c r="D21" s="346">
        <v>15</v>
      </c>
      <c r="E21" s="688"/>
      <c r="F21" s="613" t="s">
        <v>41</v>
      </c>
      <c r="G21" s="176"/>
      <c r="H21" s="186"/>
    </row>
    <row r="22" spans="1:45" s="187" customFormat="1" x14ac:dyDescent="0.2">
      <c r="A22" s="686"/>
      <c r="B22" s="270"/>
      <c r="C22" s="270"/>
      <c r="D22" s="614"/>
      <c r="E22" s="688"/>
      <c r="F22" s="613"/>
      <c r="G22" s="176"/>
      <c r="H22" s="186"/>
    </row>
    <row r="23" spans="1:45" s="187" customFormat="1" x14ac:dyDescent="0.2">
      <c r="A23" s="686"/>
      <c r="B23" s="264"/>
      <c r="C23" s="264"/>
      <c r="D23" s="615"/>
      <c r="E23" s="688"/>
      <c r="F23" s="613"/>
      <c r="G23" s="176"/>
      <c r="H23" s="186"/>
    </row>
    <row r="24" spans="1:45" s="187" customFormat="1" x14ac:dyDescent="0.2">
      <c r="A24" s="686"/>
      <c r="B24" s="270"/>
      <c r="C24" s="270"/>
      <c r="D24" s="614"/>
      <c r="E24" s="688"/>
      <c r="F24" s="613"/>
      <c r="G24" s="176"/>
    </row>
    <row r="25" spans="1:45" s="187" customFormat="1" x14ac:dyDescent="0.2">
      <c r="A25" s="686"/>
      <c r="B25" s="270"/>
      <c r="C25" s="270"/>
      <c r="D25" s="270"/>
      <c r="E25" s="688"/>
      <c r="F25" s="613"/>
      <c r="G25" s="176"/>
      <c r="H25" s="186"/>
    </row>
    <row r="26" spans="1:45" x14ac:dyDescent="0.2">
      <c r="A26" s="686"/>
      <c r="B26" s="270"/>
      <c r="C26" s="270"/>
      <c r="D26" s="346"/>
      <c r="E26" s="688"/>
      <c r="F26" s="616"/>
      <c r="G26" s="176"/>
      <c r="H26" s="186"/>
    </row>
    <row r="27" spans="1:45" s="187" customFormat="1" x14ac:dyDescent="0.2">
      <c r="A27" s="686"/>
      <c r="B27" s="270"/>
      <c r="C27" s="270"/>
      <c r="D27" s="270"/>
      <c r="E27" s="688"/>
      <c r="F27" s="617"/>
      <c r="G27" s="288"/>
      <c r="H27" s="186"/>
    </row>
    <row r="28" spans="1:45" s="187" customFormat="1" ht="32.25" customHeight="1" x14ac:dyDescent="0.2">
      <c r="A28" s="381" t="s">
        <v>454</v>
      </c>
      <c r="B28" s="348" t="s">
        <v>101</v>
      </c>
      <c r="C28" s="348" t="s">
        <v>455</v>
      </c>
      <c r="D28" s="388">
        <v>3000</v>
      </c>
      <c r="E28" s="347"/>
      <c r="F28" s="610" t="s">
        <v>236</v>
      </c>
      <c r="G28" s="193">
        <f>$D$28*B3</f>
        <v>247500000</v>
      </c>
      <c r="H28" s="186"/>
      <c r="I28" s="186"/>
      <c r="J28" s="186"/>
      <c r="K28" s="186"/>
      <c r="L28" s="186"/>
      <c r="M28" s="186"/>
      <c r="N28" s="186"/>
      <c r="O28" s="186"/>
      <c r="P28" s="186"/>
      <c r="Q28" s="186"/>
      <c r="R28" s="186"/>
      <c r="S28" s="186"/>
      <c r="T28" s="186"/>
      <c r="U28" s="186"/>
      <c r="V28" s="186"/>
      <c r="W28" s="186"/>
      <c r="X28" s="186"/>
      <c r="Y28" s="186"/>
      <c r="Z28" s="186"/>
      <c r="AA28" s="186"/>
      <c r="AB28" s="186"/>
      <c r="AC28" s="186"/>
      <c r="AD28" s="186"/>
      <c r="AE28" s="186"/>
      <c r="AF28" s="186"/>
      <c r="AG28" s="186"/>
      <c r="AH28" s="186"/>
      <c r="AI28" s="186"/>
      <c r="AJ28" s="186"/>
      <c r="AK28" s="186"/>
      <c r="AL28" s="186"/>
      <c r="AM28" s="186"/>
      <c r="AN28" s="186"/>
      <c r="AO28" s="186"/>
      <c r="AP28" s="186"/>
      <c r="AQ28" s="186"/>
      <c r="AR28" s="186"/>
      <c r="AS28" s="188"/>
    </row>
    <row r="29" spans="1:45" s="187" customFormat="1" ht="32.25" customHeight="1" x14ac:dyDescent="0.2">
      <c r="A29" s="381" t="s">
        <v>456</v>
      </c>
      <c r="B29" s="348" t="s">
        <v>101</v>
      </c>
      <c r="C29" s="348" t="s">
        <v>457</v>
      </c>
      <c r="D29" s="388">
        <v>5</v>
      </c>
      <c r="E29" s="347"/>
      <c r="F29" s="610" t="s">
        <v>47</v>
      </c>
      <c r="G29" s="193">
        <v>500000</v>
      </c>
      <c r="H29" s="186"/>
      <c r="I29" s="186"/>
      <c r="J29" s="186"/>
      <c r="K29" s="186"/>
      <c r="L29" s="186"/>
      <c r="M29" s="186"/>
      <c r="N29" s="186"/>
      <c r="O29" s="186"/>
      <c r="P29" s="186"/>
      <c r="Q29" s="186"/>
      <c r="R29" s="186"/>
      <c r="S29" s="186"/>
      <c r="T29" s="186"/>
      <c r="U29" s="186"/>
      <c r="V29" s="186"/>
      <c r="W29" s="186"/>
      <c r="X29" s="186"/>
      <c r="Y29" s="186"/>
      <c r="Z29" s="186"/>
      <c r="AA29" s="186"/>
      <c r="AB29" s="186"/>
      <c r="AC29" s="186"/>
      <c r="AD29" s="186"/>
      <c r="AE29" s="186"/>
      <c r="AF29" s="186"/>
      <c r="AG29" s="186"/>
      <c r="AH29" s="186"/>
      <c r="AI29" s="186"/>
      <c r="AJ29" s="186"/>
      <c r="AK29" s="186"/>
      <c r="AL29" s="186"/>
      <c r="AM29" s="186"/>
      <c r="AN29" s="186"/>
      <c r="AO29" s="186"/>
      <c r="AP29" s="186"/>
      <c r="AQ29" s="186"/>
      <c r="AR29" s="186"/>
      <c r="AS29" s="188"/>
    </row>
    <row r="30" spans="1:45" s="187" customFormat="1" x14ac:dyDescent="0.2">
      <c r="A30" s="1"/>
      <c r="B30" s="1"/>
      <c r="C30" s="1"/>
      <c r="D30" s="1"/>
      <c r="E30" s="1"/>
      <c r="F30" s="29"/>
      <c r="H30" s="186"/>
    </row>
    <row r="31" spans="1:45" s="187" customFormat="1" x14ac:dyDescent="0.2">
      <c r="A31" s="90"/>
      <c r="B31" s="90"/>
      <c r="C31" s="90"/>
      <c r="D31" s="90"/>
      <c r="E31" s="90"/>
      <c r="F31" s="90"/>
      <c r="H31" s="186"/>
    </row>
    <row r="32" spans="1:45" ht="22.5" customHeight="1" x14ac:dyDescent="0.2">
      <c r="A32" s="689" t="s">
        <v>224</v>
      </c>
      <c r="B32" s="689"/>
      <c r="C32" s="689"/>
      <c r="D32" s="689"/>
      <c r="E32" s="689"/>
    </row>
    <row r="33" spans="1:6" x14ac:dyDescent="0.2">
      <c r="A33" s="682" t="s">
        <v>212</v>
      </c>
      <c r="B33" s="683"/>
      <c r="C33" s="683"/>
      <c r="D33" s="683"/>
      <c r="E33" s="683"/>
    </row>
    <row r="34" spans="1:6" x14ac:dyDescent="0.2">
      <c r="A34" s="151" t="s">
        <v>38</v>
      </c>
      <c r="B34" s="151" t="s">
        <v>52</v>
      </c>
      <c r="C34" s="151" t="s">
        <v>49</v>
      </c>
      <c r="D34" s="106" t="s">
        <v>50</v>
      </c>
      <c r="E34" s="151" t="s">
        <v>51</v>
      </c>
      <c r="F34" s="604"/>
    </row>
    <row r="35" spans="1:6" x14ac:dyDescent="0.2">
      <c r="A35" s="8">
        <v>1</v>
      </c>
      <c r="B35" s="36" t="s">
        <v>139</v>
      </c>
      <c r="C35" s="604">
        <v>20652</v>
      </c>
      <c r="D35" s="290">
        <f>B3-(D5*B5)</f>
        <v>7800</v>
      </c>
      <c r="E35" s="290">
        <f>(D35*C35)/10^7</f>
        <v>16.108560000000001</v>
      </c>
    </row>
    <row r="36" spans="1:6" ht="15" customHeight="1" x14ac:dyDescent="0.2">
      <c r="A36" s="689" t="s">
        <v>268</v>
      </c>
      <c r="B36" s="689"/>
      <c r="C36" s="689"/>
      <c r="D36" s="689"/>
      <c r="E36" s="689"/>
    </row>
    <row r="37" spans="1:6" x14ac:dyDescent="0.2">
      <c r="A37" s="682" t="s">
        <v>212</v>
      </c>
      <c r="B37" s="683"/>
      <c r="C37" s="683"/>
      <c r="D37" s="683"/>
      <c r="E37" s="683"/>
    </row>
    <row r="38" spans="1:6" x14ac:dyDescent="0.2">
      <c r="A38" s="151" t="s">
        <v>38</v>
      </c>
      <c r="B38" s="151" t="s">
        <v>52</v>
      </c>
      <c r="C38" s="151" t="s">
        <v>49</v>
      </c>
      <c r="D38" s="106" t="s">
        <v>50</v>
      </c>
      <c r="E38" s="151" t="s">
        <v>51</v>
      </c>
      <c r="F38" s="185"/>
    </row>
    <row r="39" spans="1:6" x14ac:dyDescent="0.2">
      <c r="A39" s="8">
        <v>1</v>
      </c>
      <c r="B39" s="36" t="s">
        <v>226</v>
      </c>
      <c r="C39" s="289">
        <v>38323</v>
      </c>
      <c r="D39" s="290">
        <f>B5</f>
        <v>100000</v>
      </c>
      <c r="E39" s="290">
        <f>(C39*D39)/10^7</f>
        <v>383.23</v>
      </c>
      <c r="F39" s="289"/>
    </row>
    <row r="40" spans="1:6" ht="18" customHeight="1" x14ac:dyDescent="0.2">
      <c r="A40" s="143"/>
      <c r="B40" s="143"/>
      <c r="C40" s="143"/>
      <c r="D40" s="143"/>
      <c r="E40" s="143"/>
    </row>
    <row r="41" spans="1:6" x14ac:dyDescent="0.2">
      <c r="A41" s="684" t="s">
        <v>225</v>
      </c>
      <c r="B41" s="684"/>
      <c r="C41" s="684"/>
      <c r="D41" s="684"/>
    </row>
    <row r="42" spans="1:6" x14ac:dyDescent="0.2">
      <c r="A42" s="98" t="s">
        <v>26</v>
      </c>
      <c r="B42" s="99" t="s">
        <v>27</v>
      </c>
      <c r="C42" s="99" t="s">
        <v>36</v>
      </c>
      <c r="D42" s="100" t="s">
        <v>28</v>
      </c>
    </row>
    <row r="43" spans="1:6" x14ac:dyDescent="0.2">
      <c r="A43" s="7" t="s">
        <v>29</v>
      </c>
      <c r="B43" s="13">
        <v>1</v>
      </c>
      <c r="C43" s="13">
        <v>35</v>
      </c>
      <c r="D43" s="13">
        <f t="shared" ref="D43:D48" si="1">C43*B43</f>
        <v>35</v>
      </c>
    </row>
    <row r="44" spans="1:6" x14ac:dyDescent="0.2">
      <c r="A44" s="7" t="s">
        <v>30</v>
      </c>
      <c r="B44" s="13">
        <v>2</v>
      </c>
      <c r="C44" s="13">
        <v>25</v>
      </c>
      <c r="D44" s="13">
        <f t="shared" si="1"/>
        <v>50</v>
      </c>
    </row>
    <row r="45" spans="1:6" x14ac:dyDescent="0.2">
      <c r="A45" s="7" t="s">
        <v>31</v>
      </c>
      <c r="B45" s="13">
        <v>3</v>
      </c>
      <c r="C45" s="13">
        <v>20</v>
      </c>
      <c r="D45" s="13">
        <f t="shared" si="1"/>
        <v>60</v>
      </c>
    </row>
    <row r="46" spans="1:6" x14ac:dyDescent="0.2">
      <c r="A46" s="7" t="s">
        <v>32</v>
      </c>
      <c r="B46" s="13">
        <v>5</v>
      </c>
      <c r="C46" s="13">
        <v>8</v>
      </c>
      <c r="D46" s="13">
        <f t="shared" si="1"/>
        <v>40</v>
      </c>
    </row>
    <row r="47" spans="1:6" x14ac:dyDescent="0.2">
      <c r="A47" s="7" t="s">
        <v>33</v>
      </c>
      <c r="B47" s="13">
        <v>10</v>
      </c>
      <c r="C47" s="13">
        <v>6</v>
      </c>
      <c r="D47" s="13">
        <f t="shared" si="1"/>
        <v>60</v>
      </c>
    </row>
    <row r="48" spans="1:6" x14ac:dyDescent="0.2">
      <c r="A48" s="7" t="s">
        <v>34</v>
      </c>
      <c r="B48" s="13">
        <v>30</v>
      </c>
      <c r="C48" s="13">
        <v>3.5</v>
      </c>
      <c r="D48" s="13">
        <f t="shared" si="1"/>
        <v>105</v>
      </c>
    </row>
    <row r="49" spans="1:6" x14ac:dyDescent="0.2">
      <c r="A49" s="101" t="s">
        <v>47</v>
      </c>
      <c r="B49" s="102"/>
      <c r="C49" s="102"/>
      <c r="D49" s="102">
        <f>SUM(D43:D48)/100</f>
        <v>3.5</v>
      </c>
    </row>
    <row r="50" spans="1:6" s="209" customFormat="1" x14ac:dyDescent="0.2">
      <c r="A50" s="363" t="s">
        <v>459</v>
      </c>
      <c r="B50" s="206"/>
      <c r="C50" s="206"/>
      <c r="D50" s="206">
        <f>D49*0.25</f>
        <v>0.875</v>
      </c>
    </row>
    <row r="51" spans="1:6" s="358" customFormat="1" x14ac:dyDescent="0.2">
      <c r="A51" s="181"/>
      <c r="B51" s="181"/>
      <c r="C51" s="181"/>
      <c r="D51" s="181"/>
      <c r="E51" s="181"/>
      <c r="F51" s="181"/>
    </row>
    <row r="52" spans="1:6" s="358" customFormat="1" x14ac:dyDescent="0.2">
      <c r="A52" s="621" t="s">
        <v>504</v>
      </c>
      <c r="B52" s="622">
        <v>0.09</v>
      </c>
      <c r="C52" s="181"/>
      <c r="D52" s="181"/>
      <c r="E52" s="181"/>
      <c r="F52" s="181"/>
    </row>
    <row r="53" spans="1:6" s="358" customFormat="1" x14ac:dyDescent="0.2">
      <c r="A53" s="621" t="s">
        <v>505</v>
      </c>
      <c r="B53" s="622">
        <v>0.08</v>
      </c>
      <c r="C53" s="181"/>
      <c r="D53" s="181"/>
      <c r="E53" s="181"/>
      <c r="F53" s="181"/>
    </row>
  </sheetData>
  <mergeCells count="16">
    <mergeCell ref="A1:F1"/>
    <mergeCell ref="A32:E32"/>
    <mergeCell ref="A33:E33"/>
    <mergeCell ref="A36:E36"/>
    <mergeCell ref="B3:B4"/>
    <mergeCell ref="A3:A4"/>
    <mergeCell ref="A5:A6"/>
    <mergeCell ref="B5:B6"/>
    <mergeCell ref="A37:E37"/>
    <mergeCell ref="A41:D41"/>
    <mergeCell ref="A7:F7"/>
    <mergeCell ref="A9:A10"/>
    <mergeCell ref="A12:A19"/>
    <mergeCell ref="E12:E19"/>
    <mergeCell ref="A20:A27"/>
    <mergeCell ref="E20:E27"/>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dimension ref="A1:L92"/>
  <sheetViews>
    <sheetView showGridLines="0" zoomScaleNormal="100" workbookViewId="0">
      <selection activeCell="B33" sqref="B33"/>
    </sheetView>
  </sheetViews>
  <sheetFormatPr defaultColWidth="9.140625" defaultRowHeight="12.75" x14ac:dyDescent="0.2"/>
  <cols>
    <col min="1" max="1" width="31.85546875" style="94" customWidth="1"/>
    <col min="2" max="2" width="25.7109375" style="94" customWidth="1"/>
    <col min="3" max="3" width="18" style="94" customWidth="1"/>
    <col min="4" max="4" width="14.7109375" style="94" customWidth="1"/>
    <col min="5" max="5" width="18.28515625" style="94" customWidth="1"/>
    <col min="6" max="6" width="16.85546875" style="94" customWidth="1"/>
    <col min="7" max="7" width="13.28515625" style="94" customWidth="1"/>
    <col min="8" max="8" width="12" style="94" bestFit="1" customWidth="1"/>
    <col min="9" max="9" width="12" style="94" hidden="1" customWidth="1"/>
    <col min="10" max="10" width="0" style="94" hidden="1" customWidth="1"/>
    <col min="11" max="16384" width="9.140625" style="94"/>
  </cols>
  <sheetData>
    <row r="1" spans="1:12" x14ac:dyDescent="0.2">
      <c r="A1" s="266"/>
      <c r="B1" s="267"/>
      <c r="C1" s="268"/>
      <c r="D1" s="583" t="s">
        <v>424</v>
      </c>
      <c r="E1" s="584"/>
      <c r="F1" s="584"/>
      <c r="G1" s="583"/>
      <c r="H1" s="583"/>
      <c r="I1" s="268"/>
      <c r="J1" s="268"/>
    </row>
    <row r="2" spans="1:12" x14ac:dyDescent="0.2">
      <c r="A2" s="283" t="s">
        <v>80</v>
      </c>
      <c r="B2" s="283" t="s">
        <v>39</v>
      </c>
      <c r="C2" s="268"/>
      <c r="D2" s="585" t="s">
        <v>433</v>
      </c>
      <c r="E2" s="462" t="s">
        <v>6</v>
      </c>
      <c r="F2" s="586" t="s">
        <v>434</v>
      </c>
      <c r="G2" s="587" t="s">
        <v>446</v>
      </c>
      <c r="H2" s="586" t="s">
        <v>435</v>
      </c>
      <c r="I2" s="268"/>
      <c r="J2" s="268"/>
    </row>
    <row r="3" spans="1:12" x14ac:dyDescent="0.2">
      <c r="A3" s="282" t="s">
        <v>392</v>
      </c>
      <c r="B3" s="270">
        <v>0</v>
      </c>
      <c r="C3" s="268"/>
      <c r="D3" s="588">
        <v>1</v>
      </c>
      <c r="E3" s="589" t="s">
        <v>425</v>
      </c>
      <c r="F3" s="589">
        <v>6000</v>
      </c>
      <c r="G3" s="589" t="s">
        <v>438</v>
      </c>
      <c r="H3" s="461">
        <v>10</v>
      </c>
      <c r="I3" s="268"/>
      <c r="J3" s="268" t="s">
        <v>583</v>
      </c>
    </row>
    <row r="4" spans="1:12" x14ac:dyDescent="0.2">
      <c r="A4" s="282" t="s">
        <v>393</v>
      </c>
      <c r="B4" s="271">
        <f>D21</f>
        <v>8.254999999999999</v>
      </c>
      <c r="C4" s="268"/>
      <c r="D4" s="588">
        <v>2</v>
      </c>
      <c r="E4" s="589" t="s">
        <v>426</v>
      </c>
      <c r="F4" s="589">
        <v>50</v>
      </c>
      <c r="G4" s="589" t="s">
        <v>439</v>
      </c>
      <c r="H4" s="461">
        <v>1</v>
      </c>
      <c r="I4" s="268">
        <f>65*82</f>
        <v>5330</v>
      </c>
      <c r="J4" s="268">
        <f>I4/10</f>
        <v>533</v>
      </c>
    </row>
    <row r="5" spans="1:12" x14ac:dyDescent="0.2">
      <c r="A5" s="282" t="s">
        <v>394</v>
      </c>
      <c r="B5" s="271">
        <f>B44</f>
        <v>440.73750000000001</v>
      </c>
      <c r="C5" s="268"/>
      <c r="D5" s="588">
        <v>3</v>
      </c>
      <c r="E5" s="589" t="s">
        <v>427</v>
      </c>
      <c r="F5" s="589" t="s">
        <v>436</v>
      </c>
      <c r="G5" s="589" t="s">
        <v>440</v>
      </c>
      <c r="H5" s="461">
        <v>20</v>
      </c>
      <c r="I5" s="268"/>
      <c r="J5" s="268"/>
    </row>
    <row r="6" spans="1:12" x14ac:dyDescent="0.2">
      <c r="A6" s="282" t="s">
        <v>314</v>
      </c>
      <c r="B6" s="271">
        <f>B55</f>
        <v>15</v>
      </c>
      <c r="C6" s="268"/>
      <c r="D6" s="588">
        <v>4</v>
      </c>
      <c r="E6" s="589" t="s">
        <v>428</v>
      </c>
      <c r="F6" s="589">
        <v>3</v>
      </c>
      <c r="G6" s="589" t="s">
        <v>441</v>
      </c>
      <c r="H6" s="461">
        <v>10</v>
      </c>
      <c r="I6" s="268"/>
      <c r="J6" s="268"/>
    </row>
    <row r="7" spans="1:12" x14ac:dyDescent="0.2">
      <c r="A7" s="282" t="s">
        <v>327</v>
      </c>
      <c r="B7" s="271">
        <f>B29</f>
        <v>20</v>
      </c>
      <c r="C7" s="268"/>
      <c r="D7" s="588">
        <v>5</v>
      </c>
      <c r="E7" s="589" t="s">
        <v>429</v>
      </c>
      <c r="F7" s="589">
        <v>250</v>
      </c>
      <c r="G7" s="589" t="s">
        <v>442</v>
      </c>
      <c r="H7" s="461">
        <v>0.5</v>
      </c>
      <c r="I7" s="268"/>
      <c r="J7" s="268"/>
    </row>
    <row r="8" spans="1:12" x14ac:dyDescent="0.2">
      <c r="A8" s="282" t="s">
        <v>395</v>
      </c>
      <c r="B8" s="271">
        <f>B66</f>
        <v>2</v>
      </c>
      <c r="C8" s="268"/>
      <c r="D8" s="588">
        <v>6</v>
      </c>
      <c r="E8" s="589" t="s">
        <v>430</v>
      </c>
      <c r="F8" s="589">
        <v>300</v>
      </c>
      <c r="G8" s="589" t="s">
        <v>46</v>
      </c>
      <c r="H8" s="461">
        <v>0.5</v>
      </c>
      <c r="I8" s="268"/>
      <c r="J8" s="268"/>
    </row>
    <row r="9" spans="1:12" x14ac:dyDescent="0.2">
      <c r="A9" s="282" t="s">
        <v>303</v>
      </c>
      <c r="B9" s="271">
        <f>B33</f>
        <v>48.599250000000005</v>
      </c>
      <c r="D9" s="588">
        <v>7</v>
      </c>
      <c r="E9" s="589" t="s">
        <v>431</v>
      </c>
      <c r="F9" s="589">
        <v>500</v>
      </c>
      <c r="G9" s="589" t="s">
        <v>46</v>
      </c>
      <c r="H9" s="461">
        <v>3</v>
      </c>
      <c r="I9" s="268"/>
      <c r="J9" s="268"/>
    </row>
    <row r="10" spans="1:12" x14ac:dyDescent="0.2">
      <c r="A10" s="282" t="s">
        <v>396</v>
      </c>
      <c r="B10" s="591">
        <v>4.5</v>
      </c>
      <c r="C10" s="268">
        <v>52</v>
      </c>
      <c r="D10" s="588">
        <v>8</v>
      </c>
      <c r="E10" s="589" t="s">
        <v>432</v>
      </c>
      <c r="F10" s="589">
        <v>100</v>
      </c>
      <c r="G10" s="589" t="s">
        <v>443</v>
      </c>
      <c r="H10" s="461">
        <v>0.5</v>
      </c>
      <c r="I10" s="268"/>
      <c r="J10" s="268"/>
    </row>
    <row r="11" spans="1:12" x14ac:dyDescent="0.2">
      <c r="A11" s="284" t="s">
        <v>397</v>
      </c>
      <c r="B11" s="285">
        <f>SUM(B4:B10)+H13</f>
        <v>585.79175000000009</v>
      </c>
      <c r="C11" s="274">
        <f>B11*2%</f>
        <v>11.715835000000002</v>
      </c>
      <c r="D11" s="588">
        <v>9</v>
      </c>
      <c r="E11" s="589" t="s">
        <v>437</v>
      </c>
      <c r="F11" s="589">
        <v>500</v>
      </c>
      <c r="G11" s="589" t="s">
        <v>444</v>
      </c>
      <c r="H11" s="461">
        <v>0.2</v>
      </c>
      <c r="I11" s="268"/>
      <c r="J11" s="268"/>
    </row>
    <row r="12" spans="1:12" x14ac:dyDescent="0.2">
      <c r="A12" s="282" t="s">
        <v>398</v>
      </c>
      <c r="B12" s="271">
        <f>K86/100</f>
        <v>40.858974562500002</v>
      </c>
      <c r="C12" s="274"/>
      <c r="D12" s="588">
        <v>10</v>
      </c>
      <c r="E12" s="589" t="s">
        <v>447</v>
      </c>
      <c r="F12" s="589">
        <v>1000</v>
      </c>
      <c r="G12" s="589" t="s">
        <v>445</v>
      </c>
      <c r="H12" s="461">
        <v>1</v>
      </c>
      <c r="I12" s="268"/>
      <c r="J12" s="268"/>
    </row>
    <row r="13" spans="1:12" x14ac:dyDescent="0.2">
      <c r="A13" s="29"/>
      <c r="B13" s="166">
        <f>B12+B11</f>
        <v>626.65072456250005</v>
      </c>
      <c r="C13" s="592">
        <f>'Working Capital'!F16</f>
        <v>4.5585613214701706</v>
      </c>
      <c r="D13" s="586"/>
      <c r="E13" s="462" t="s">
        <v>47</v>
      </c>
      <c r="F13" s="462"/>
      <c r="G13" s="586"/>
      <c r="H13" s="590">
        <f>SUM(H3:H12)</f>
        <v>46.7</v>
      </c>
      <c r="I13" s="268"/>
      <c r="J13" s="268"/>
      <c r="L13" s="750">
        <v>46.7</v>
      </c>
    </row>
    <row r="14" spans="1:12" x14ac:dyDescent="0.2">
      <c r="A14" s="282" t="s">
        <v>352</v>
      </c>
      <c r="B14" s="272">
        <v>0.25</v>
      </c>
      <c r="C14" s="268"/>
      <c r="D14" s="672">
        <v>585.79175000000009</v>
      </c>
      <c r="E14" s="672">
        <f>D14*0.95</f>
        <v>556.50216250000005</v>
      </c>
      <c r="F14" s="294"/>
      <c r="G14" s="293"/>
      <c r="H14" s="293"/>
      <c r="I14" s="268"/>
      <c r="J14" s="268"/>
    </row>
    <row r="15" spans="1:12" x14ac:dyDescent="0.2">
      <c r="A15" s="266"/>
      <c r="B15" s="267"/>
      <c r="C15" s="268"/>
      <c r="D15" s="268"/>
      <c r="E15" s="267"/>
      <c r="F15" s="267"/>
      <c r="G15" s="268"/>
      <c r="H15" s="268"/>
      <c r="I15" s="268"/>
      <c r="J15" s="268"/>
    </row>
    <row r="16" spans="1:12" ht="41.25" customHeight="1" x14ac:dyDescent="0.2">
      <c r="A16" s="693"/>
      <c r="B16" s="693"/>
      <c r="C16" s="693"/>
      <c r="D16" s="693"/>
      <c r="E16" s="693"/>
      <c r="F16" s="503"/>
    </row>
    <row r="17" spans="1:4" x14ac:dyDescent="0.2">
      <c r="A17" s="260" t="s">
        <v>297</v>
      </c>
      <c r="B17" s="260" t="s">
        <v>298</v>
      </c>
      <c r="C17" s="260" t="s">
        <v>328</v>
      </c>
      <c r="D17" s="260" t="s">
        <v>295</v>
      </c>
    </row>
    <row r="18" spans="1:4" x14ac:dyDescent="0.2">
      <c r="A18" s="260"/>
      <c r="B18" s="260" t="s">
        <v>299</v>
      </c>
      <c r="C18" s="260"/>
      <c r="D18" s="260" t="s">
        <v>39</v>
      </c>
    </row>
    <row r="19" spans="1:4" x14ac:dyDescent="0.2">
      <c r="A19" s="260" t="s">
        <v>300</v>
      </c>
      <c r="B19" s="260">
        <f>31*42</f>
        <v>1302</v>
      </c>
      <c r="C19" s="260">
        <v>25000</v>
      </c>
      <c r="D19" s="263">
        <f>(C19*B19)/10^7</f>
        <v>3.2549999999999999</v>
      </c>
    </row>
    <row r="20" spans="1:4" ht="76.5" x14ac:dyDescent="0.2">
      <c r="A20" s="261" t="s">
        <v>301</v>
      </c>
      <c r="B20" s="264" t="s">
        <v>302</v>
      </c>
      <c r="C20" s="260"/>
      <c r="D20" s="260">
        <v>5</v>
      </c>
    </row>
    <row r="21" spans="1:4" x14ac:dyDescent="0.2">
      <c r="A21" s="260" t="s">
        <v>47</v>
      </c>
      <c r="B21" s="260"/>
      <c r="C21" s="260"/>
      <c r="D21" s="263">
        <f>SUM(D19:D20)</f>
        <v>8.254999999999999</v>
      </c>
    </row>
    <row r="22" spans="1:4" x14ac:dyDescent="0.2">
      <c r="A22" s="260"/>
      <c r="B22" s="260"/>
      <c r="C22" s="260"/>
      <c r="D22" s="260"/>
    </row>
    <row r="23" spans="1:4" x14ac:dyDescent="0.2">
      <c r="A23" s="260"/>
      <c r="B23" s="260"/>
      <c r="C23" s="260"/>
      <c r="D23" s="260"/>
    </row>
    <row r="24" spans="1:4" x14ac:dyDescent="0.2">
      <c r="A24" s="260" t="s">
        <v>303</v>
      </c>
      <c r="B24" s="260"/>
      <c r="C24" s="260"/>
      <c r="D24" s="260"/>
    </row>
    <row r="25" spans="1:4" x14ac:dyDescent="0.2">
      <c r="A25" s="260" t="s">
        <v>6</v>
      </c>
      <c r="B25" s="260" t="s">
        <v>39</v>
      </c>
      <c r="C25" s="260"/>
      <c r="D25" s="260"/>
    </row>
    <row r="26" spans="1:4" x14ac:dyDescent="0.2">
      <c r="A26" s="260" t="s">
        <v>304</v>
      </c>
      <c r="B26" s="263">
        <f>D21</f>
        <v>8.254999999999999</v>
      </c>
      <c r="C26" s="260"/>
      <c r="D26" s="260"/>
    </row>
    <row r="27" spans="1:4" x14ac:dyDescent="0.2">
      <c r="A27" s="260" t="s">
        <v>305</v>
      </c>
      <c r="B27" s="265">
        <f>B44</f>
        <v>440.73750000000001</v>
      </c>
      <c r="C27" s="260"/>
      <c r="D27" s="260"/>
    </row>
    <row r="28" spans="1:4" x14ac:dyDescent="0.2">
      <c r="A28" s="260" t="s">
        <v>314</v>
      </c>
      <c r="B28" s="260">
        <f>B55</f>
        <v>15</v>
      </c>
      <c r="C28" s="260"/>
      <c r="D28" s="260"/>
    </row>
    <row r="29" spans="1:4" x14ac:dyDescent="0.2">
      <c r="A29" s="260" t="s">
        <v>327</v>
      </c>
      <c r="B29" s="260">
        <v>20</v>
      </c>
      <c r="C29" s="260"/>
      <c r="D29" s="260"/>
    </row>
    <row r="30" spans="1:4" x14ac:dyDescent="0.2">
      <c r="A30" s="260" t="s">
        <v>306</v>
      </c>
      <c r="B30" s="260">
        <v>2</v>
      </c>
      <c r="C30" s="260"/>
      <c r="D30" s="260"/>
    </row>
    <row r="31" spans="1:4" x14ac:dyDescent="0.2">
      <c r="A31" s="260" t="s">
        <v>47</v>
      </c>
      <c r="B31" s="265">
        <f>SUM(B26:B30)</f>
        <v>485.99250000000001</v>
      </c>
      <c r="C31" s="260"/>
      <c r="D31" s="260"/>
    </row>
    <row r="32" spans="1:4" x14ac:dyDescent="0.2">
      <c r="A32" s="260"/>
      <c r="B32" s="260"/>
      <c r="C32" s="260"/>
      <c r="D32" s="260"/>
    </row>
    <row r="33" spans="1:6" x14ac:dyDescent="0.2">
      <c r="A33" s="260" t="s">
        <v>307</v>
      </c>
      <c r="B33" s="265">
        <f>B31*0.1</f>
        <v>48.599250000000005</v>
      </c>
      <c r="C33" s="260"/>
      <c r="D33" s="260"/>
    </row>
    <row r="34" spans="1:6" x14ac:dyDescent="0.2">
      <c r="A34" s="260"/>
      <c r="B34" s="260"/>
      <c r="C34" s="260"/>
      <c r="D34" s="260"/>
    </row>
    <row r="35" spans="1:6" x14ac:dyDescent="0.2">
      <c r="A35" s="260"/>
      <c r="B35" s="260"/>
      <c r="C35" s="260"/>
      <c r="D35" s="260"/>
    </row>
    <row r="36" spans="1:6" x14ac:dyDescent="0.2">
      <c r="A36" s="260"/>
      <c r="B36" s="260"/>
      <c r="C36" s="260"/>
      <c r="D36" s="260"/>
    </row>
    <row r="37" spans="1:6" x14ac:dyDescent="0.2">
      <c r="A37" s="260" t="s">
        <v>308</v>
      </c>
      <c r="B37" s="260" t="s">
        <v>39</v>
      </c>
      <c r="C37" s="260"/>
      <c r="D37" s="260"/>
    </row>
    <row r="38" spans="1:6" x14ac:dyDescent="0.2">
      <c r="A38" s="260" t="s">
        <v>309</v>
      </c>
      <c r="B38" s="501">
        <v>365</v>
      </c>
      <c r="C38" s="260">
        <v>365</v>
      </c>
      <c r="D38" s="260"/>
      <c r="E38" s="94">
        <v>370</v>
      </c>
      <c r="F38" s="501">
        <v>365</v>
      </c>
    </row>
    <row r="39" spans="1:6" x14ac:dyDescent="0.2">
      <c r="A39" s="260" t="s">
        <v>310</v>
      </c>
      <c r="B39" s="262">
        <f>5%*B38</f>
        <v>18.25</v>
      </c>
      <c r="C39" s="260"/>
      <c r="D39" s="260"/>
      <c r="F39" s="262">
        <f>5%*F38</f>
        <v>18.25</v>
      </c>
    </row>
    <row r="40" spans="1:6" x14ac:dyDescent="0.2">
      <c r="A40" s="260" t="s">
        <v>311</v>
      </c>
      <c r="B40" s="262">
        <f>1%*(B38+B39)</f>
        <v>3.8325</v>
      </c>
      <c r="C40" s="260"/>
      <c r="D40" s="260"/>
      <c r="F40" s="262">
        <f>1%*(F38+F39)</f>
        <v>3.8325</v>
      </c>
    </row>
    <row r="41" spans="1:6" x14ac:dyDescent="0.2">
      <c r="A41" s="260" t="s">
        <v>312</v>
      </c>
      <c r="B41" s="262">
        <f>2%*(B38+B39)</f>
        <v>7.665</v>
      </c>
      <c r="C41" s="260"/>
      <c r="D41" s="260"/>
      <c r="F41" s="262">
        <f>2%*(F38+F39)</f>
        <v>7.665</v>
      </c>
    </row>
    <row r="42" spans="1:6" x14ac:dyDescent="0.2">
      <c r="A42" s="260" t="s">
        <v>584</v>
      </c>
      <c r="B42" s="262">
        <f>10%*(B38+B39)</f>
        <v>38.325000000000003</v>
      </c>
      <c r="C42" s="260"/>
      <c r="D42" s="260"/>
      <c r="E42" s="94">
        <f>10%*(B39+B38)</f>
        <v>38.325000000000003</v>
      </c>
      <c r="F42" s="262">
        <f>10%*(F38+F39)</f>
        <v>38.325000000000003</v>
      </c>
    </row>
    <row r="43" spans="1:6" x14ac:dyDescent="0.2">
      <c r="A43" s="260" t="s">
        <v>313</v>
      </c>
      <c r="B43" s="262">
        <f>2%*(B38+B39)</f>
        <v>7.665</v>
      </c>
      <c r="C43" s="260"/>
      <c r="D43" s="260"/>
      <c r="F43" s="262">
        <f>2%*(F38+F39)</f>
        <v>7.665</v>
      </c>
    </row>
    <row r="44" spans="1:6" x14ac:dyDescent="0.2">
      <c r="A44" s="260" t="s">
        <v>47</v>
      </c>
      <c r="B44" s="262">
        <f>SUM(B38:B43)</f>
        <v>440.73750000000001</v>
      </c>
      <c r="C44" s="260"/>
      <c r="D44" s="260"/>
      <c r="F44" s="262">
        <f>SUM(F38:F43)</f>
        <v>440.73750000000001</v>
      </c>
    </row>
    <row r="45" spans="1:6" x14ac:dyDescent="0.2">
      <c r="A45" s="260"/>
      <c r="B45" s="260"/>
      <c r="C45" s="260"/>
      <c r="D45" s="260"/>
    </row>
    <row r="46" spans="1:6" x14ac:dyDescent="0.2">
      <c r="A46" s="260" t="s">
        <v>314</v>
      </c>
      <c r="B46" s="260"/>
      <c r="C46" s="260"/>
      <c r="D46" s="260"/>
    </row>
    <row r="47" spans="1:6" x14ac:dyDescent="0.2">
      <c r="A47" s="260"/>
      <c r="B47" s="260"/>
      <c r="C47" s="260"/>
      <c r="D47" s="260"/>
    </row>
    <row r="48" spans="1:6" x14ac:dyDescent="0.2">
      <c r="A48" s="260" t="s">
        <v>315</v>
      </c>
      <c r="B48" s="260"/>
      <c r="C48" s="260"/>
      <c r="D48" s="260"/>
    </row>
    <row r="49" spans="1:4" x14ac:dyDescent="0.2">
      <c r="A49" s="260" t="s">
        <v>316</v>
      </c>
      <c r="B49" s="260"/>
      <c r="C49" s="260"/>
      <c r="D49" s="260"/>
    </row>
    <row r="50" spans="1:4" x14ac:dyDescent="0.2">
      <c r="A50" s="260" t="s">
        <v>317</v>
      </c>
      <c r="B50" s="260"/>
      <c r="C50" s="260"/>
      <c r="D50" s="260"/>
    </row>
    <row r="51" spans="1:4" x14ac:dyDescent="0.2">
      <c r="A51" s="260" t="s">
        <v>318</v>
      </c>
      <c r="B51" s="260"/>
      <c r="C51" s="260"/>
      <c r="D51" s="260"/>
    </row>
    <row r="52" spans="1:4" x14ac:dyDescent="0.2">
      <c r="A52" s="260" t="s">
        <v>319</v>
      </c>
      <c r="B52" s="260"/>
      <c r="C52" s="260"/>
      <c r="D52" s="260"/>
    </row>
    <row r="53" spans="1:4" x14ac:dyDescent="0.2">
      <c r="A53" s="260" t="s">
        <v>320</v>
      </c>
      <c r="B53" s="260"/>
      <c r="C53" s="260"/>
      <c r="D53" s="260"/>
    </row>
    <row r="54" spans="1:4" x14ac:dyDescent="0.2">
      <c r="A54" s="260" t="s">
        <v>330</v>
      </c>
      <c r="B54" s="260"/>
      <c r="C54" s="260"/>
      <c r="D54" s="260"/>
    </row>
    <row r="55" spans="1:4" x14ac:dyDescent="0.2">
      <c r="A55" s="260" t="s">
        <v>47</v>
      </c>
      <c r="B55" s="260">
        <v>15</v>
      </c>
      <c r="C55" s="260"/>
      <c r="D55" s="260"/>
    </row>
    <row r="56" spans="1:4" x14ac:dyDescent="0.2">
      <c r="A56" s="260"/>
      <c r="B56" s="260"/>
      <c r="C56" s="260"/>
      <c r="D56" s="260"/>
    </row>
    <row r="57" spans="1:4" x14ac:dyDescent="0.2">
      <c r="A57" s="260"/>
      <c r="B57" s="260"/>
      <c r="C57" s="260"/>
      <c r="D57" s="260"/>
    </row>
    <row r="58" spans="1:4" x14ac:dyDescent="0.2">
      <c r="A58" s="260" t="s">
        <v>321</v>
      </c>
      <c r="B58" s="260"/>
      <c r="C58" s="260"/>
      <c r="D58" s="260"/>
    </row>
    <row r="59" spans="1:4" x14ac:dyDescent="0.2">
      <c r="A59" s="260"/>
      <c r="B59" s="260"/>
      <c r="C59" s="260"/>
      <c r="D59" s="260"/>
    </row>
    <row r="60" spans="1:4" x14ac:dyDescent="0.2">
      <c r="A60" s="260" t="s">
        <v>6</v>
      </c>
      <c r="B60" s="260"/>
      <c r="C60" s="260"/>
      <c r="D60" s="260"/>
    </row>
    <row r="61" spans="1:4" x14ac:dyDescent="0.2">
      <c r="A61" s="260" t="s">
        <v>322</v>
      </c>
      <c r="B61" s="260"/>
      <c r="C61" s="260"/>
      <c r="D61" s="260"/>
    </row>
    <row r="62" spans="1:4" x14ac:dyDescent="0.2">
      <c r="A62" s="260" t="s">
        <v>323</v>
      </c>
      <c r="B62" s="260"/>
      <c r="C62" s="260"/>
      <c r="D62" s="260"/>
    </row>
    <row r="63" spans="1:4" x14ac:dyDescent="0.2">
      <c r="A63" s="260" t="s">
        <v>324</v>
      </c>
      <c r="B63" s="260"/>
      <c r="C63" s="260"/>
      <c r="D63" s="260"/>
    </row>
    <row r="64" spans="1:4" x14ac:dyDescent="0.2">
      <c r="A64" s="260" t="s">
        <v>325</v>
      </c>
      <c r="B64" s="260"/>
      <c r="C64" s="260"/>
      <c r="D64" s="260"/>
    </row>
    <row r="65" spans="1:11" x14ac:dyDescent="0.2">
      <c r="A65" s="260" t="s">
        <v>326</v>
      </c>
      <c r="B65" s="260"/>
      <c r="C65" s="260"/>
      <c r="D65" s="260"/>
    </row>
    <row r="66" spans="1:11" x14ac:dyDescent="0.2">
      <c r="A66" s="260" t="s">
        <v>47</v>
      </c>
      <c r="B66" s="260">
        <v>2</v>
      </c>
      <c r="C66" s="260"/>
      <c r="D66" s="260"/>
    </row>
    <row r="67" spans="1:11" s="1" customFormat="1" x14ac:dyDescent="0.2">
      <c r="A67" s="349"/>
      <c r="B67" s="349"/>
      <c r="C67" s="349"/>
      <c r="D67" s="349"/>
      <c r="E67" s="349"/>
      <c r="F67" s="349"/>
      <c r="G67" s="349"/>
      <c r="H67" s="349"/>
      <c r="I67" s="349"/>
      <c r="J67" s="349"/>
      <c r="K67" s="349"/>
    </row>
    <row r="68" spans="1:11" s="319" customFormat="1" x14ac:dyDescent="0.2">
      <c r="A68" s="593" t="s">
        <v>398</v>
      </c>
      <c r="B68" s="349"/>
      <c r="C68" s="349"/>
      <c r="D68" s="349"/>
      <c r="E68" s="349"/>
      <c r="F68" s="349"/>
      <c r="G68" s="349"/>
      <c r="H68" s="349"/>
      <c r="I68" s="349"/>
      <c r="J68" s="349"/>
      <c r="K68" s="349"/>
    </row>
    <row r="69" spans="1:11" s="319" customFormat="1" x14ac:dyDescent="0.2">
      <c r="A69" s="349"/>
      <c r="B69" s="349"/>
      <c r="C69" s="349"/>
      <c r="D69" s="349"/>
      <c r="E69" s="349"/>
      <c r="F69" s="349"/>
      <c r="G69" s="349"/>
      <c r="H69" s="349"/>
      <c r="I69" s="349"/>
      <c r="J69" s="349"/>
      <c r="K69" s="349"/>
    </row>
    <row r="70" spans="1:11" s="319" customFormat="1" x14ac:dyDescent="0.2">
      <c r="A70" s="347" t="s">
        <v>474</v>
      </c>
      <c r="B70" s="552">
        <f>B11*100</f>
        <v>58579.17500000001</v>
      </c>
      <c r="C70" s="347" t="s">
        <v>475</v>
      </c>
      <c r="D70" s="349"/>
      <c r="E70" s="349"/>
      <c r="F70" s="349"/>
      <c r="G70" s="349"/>
      <c r="H70" s="349"/>
      <c r="I70" s="349"/>
      <c r="J70" s="349"/>
      <c r="K70" s="349"/>
    </row>
    <row r="71" spans="1:11" s="319" customFormat="1" x14ac:dyDescent="0.2">
      <c r="A71" s="347" t="s">
        <v>410</v>
      </c>
      <c r="B71" s="438">
        <f>K86</f>
        <v>4085.8974562500002</v>
      </c>
      <c r="C71" s="347" t="s">
        <v>475</v>
      </c>
      <c r="D71" s="349"/>
      <c r="E71" s="349"/>
      <c r="F71" s="349"/>
      <c r="G71" s="349"/>
      <c r="H71" s="349"/>
      <c r="I71" s="349"/>
      <c r="J71" s="349"/>
      <c r="K71" s="349"/>
    </row>
    <row r="72" spans="1:11" s="319" customFormat="1" x14ac:dyDescent="0.2">
      <c r="A72" s="347" t="s">
        <v>480</v>
      </c>
      <c r="B72" s="594">
        <f>B70+B71</f>
        <v>62665.072456250011</v>
      </c>
      <c r="C72" s="347" t="s">
        <v>475</v>
      </c>
      <c r="D72" s="349"/>
      <c r="E72" s="349"/>
      <c r="F72" s="349"/>
      <c r="G72" s="349"/>
      <c r="H72" s="349"/>
      <c r="I72" s="349"/>
      <c r="J72" s="349"/>
      <c r="K72" s="349"/>
    </row>
    <row r="73" spans="1:11" s="319" customFormat="1" x14ac:dyDescent="0.2">
      <c r="A73" s="347"/>
      <c r="B73" s="552"/>
      <c r="C73" s="347"/>
      <c r="D73" s="349"/>
      <c r="E73" s="349"/>
      <c r="F73" s="349"/>
      <c r="G73" s="349"/>
      <c r="H73" s="349"/>
      <c r="I73" s="349"/>
      <c r="J73" s="349"/>
      <c r="K73" s="349"/>
    </row>
    <row r="74" spans="1:11" s="319" customFormat="1" x14ac:dyDescent="0.2">
      <c r="A74" s="347" t="s">
        <v>477</v>
      </c>
      <c r="B74" s="595">
        <v>0.75</v>
      </c>
      <c r="C74" s="595">
        <v>0.25</v>
      </c>
      <c r="D74" s="349"/>
      <c r="E74" s="349"/>
      <c r="F74" s="349"/>
      <c r="G74" s="349"/>
      <c r="H74" s="349"/>
      <c r="I74" s="349"/>
      <c r="J74" s="349"/>
      <c r="K74" s="349"/>
    </row>
    <row r="75" spans="1:11" s="319" customFormat="1" x14ac:dyDescent="0.2">
      <c r="A75" s="347" t="s">
        <v>417</v>
      </c>
      <c r="B75" s="596">
        <f>B70-B76+B71</f>
        <v>48020.278706250007</v>
      </c>
      <c r="C75" s="347"/>
      <c r="D75" s="349"/>
      <c r="E75" s="349"/>
      <c r="F75" s="349"/>
      <c r="G75" s="349"/>
      <c r="H75" s="349"/>
      <c r="I75" s="349"/>
      <c r="J75" s="349"/>
      <c r="K75" s="349"/>
    </row>
    <row r="76" spans="1:11" s="319" customFormat="1" x14ac:dyDescent="0.2">
      <c r="A76" s="347" t="s">
        <v>418</v>
      </c>
      <c r="B76" s="596">
        <f>B70*C74</f>
        <v>14644.793750000003</v>
      </c>
      <c r="C76" s="347"/>
      <c r="D76" s="349"/>
      <c r="E76" s="349"/>
      <c r="F76" s="349"/>
      <c r="G76" s="349"/>
      <c r="H76" s="349"/>
      <c r="I76" s="349"/>
      <c r="J76" s="349"/>
      <c r="K76" s="349"/>
    </row>
    <row r="77" spans="1:11" s="319" customFormat="1" x14ac:dyDescent="0.2">
      <c r="A77" s="347"/>
      <c r="B77" s="597">
        <f>B75+B76</f>
        <v>62665.072456250011</v>
      </c>
      <c r="C77" s="586"/>
      <c r="D77" s="593"/>
      <c r="E77" s="593"/>
      <c r="F77" s="593"/>
      <c r="G77" s="593"/>
      <c r="H77" s="349"/>
      <c r="I77" s="593"/>
      <c r="J77" s="593"/>
      <c r="K77" s="593"/>
    </row>
    <row r="78" spans="1:11" s="281" customFormat="1" x14ac:dyDescent="0.2">
      <c r="A78" s="328">
        <v>1</v>
      </c>
      <c r="B78" s="329" t="s">
        <v>464</v>
      </c>
      <c r="C78" s="464">
        <v>24</v>
      </c>
      <c r="D78" s="324"/>
      <c r="E78" s="324"/>
      <c r="F78" s="324"/>
      <c r="G78" s="324"/>
      <c r="H78" s="324"/>
      <c r="I78" s="324"/>
      <c r="J78" s="324"/>
      <c r="K78" s="324"/>
    </row>
    <row r="79" spans="1:11" s="281" customFormat="1" x14ac:dyDescent="0.2">
      <c r="A79" s="328">
        <v>2</v>
      </c>
      <c r="B79" s="329" t="s">
        <v>465</v>
      </c>
      <c r="C79" s="600">
        <f>Norms!B52</f>
        <v>0.09</v>
      </c>
      <c r="D79" s="324"/>
      <c r="E79" s="324"/>
      <c r="F79" s="324"/>
      <c r="G79" s="324"/>
      <c r="H79" s="324"/>
      <c r="I79" s="324"/>
      <c r="J79" s="324"/>
      <c r="K79" s="324"/>
    </row>
    <row r="80" spans="1:11" s="319" customFormat="1" x14ac:dyDescent="0.2">
      <c r="A80" s="206"/>
      <c r="B80" s="349"/>
      <c r="C80" s="598"/>
      <c r="D80" s="349"/>
      <c r="E80" s="690" t="s">
        <v>418</v>
      </c>
      <c r="F80" s="691"/>
      <c r="G80" s="692"/>
      <c r="H80" s="690" t="s">
        <v>417</v>
      </c>
      <c r="I80" s="691"/>
      <c r="J80" s="691"/>
      <c r="K80" s="692"/>
    </row>
    <row r="81" spans="1:11" s="319" customFormat="1" x14ac:dyDescent="0.2">
      <c r="A81" s="346" t="s">
        <v>402</v>
      </c>
      <c r="B81" s="347" t="s">
        <v>469</v>
      </c>
      <c r="C81" s="438" t="s">
        <v>468</v>
      </c>
      <c r="D81" s="346" t="s">
        <v>476</v>
      </c>
      <c r="E81" s="346" t="s">
        <v>479</v>
      </c>
      <c r="F81" s="346" t="s">
        <v>466</v>
      </c>
      <c r="G81" s="346" t="s">
        <v>478</v>
      </c>
      <c r="H81" s="346" t="s">
        <v>479</v>
      </c>
      <c r="I81" s="346" t="s">
        <v>467</v>
      </c>
      <c r="J81" s="346" t="s">
        <v>478</v>
      </c>
      <c r="K81" s="346" t="s">
        <v>280</v>
      </c>
    </row>
    <row r="82" spans="1:11" s="281" customFormat="1" x14ac:dyDescent="0.2">
      <c r="A82" s="328">
        <v>1</v>
      </c>
      <c r="B82" s="347" t="s">
        <v>470</v>
      </c>
      <c r="C82" s="599">
        <v>0.2</v>
      </c>
      <c r="D82" s="438">
        <f>C82*$B$70</f>
        <v>11715.835000000003</v>
      </c>
      <c r="E82" s="464">
        <f>D82</f>
        <v>11715.835000000003</v>
      </c>
      <c r="F82" s="464">
        <f>E82</f>
        <v>11715.835000000003</v>
      </c>
      <c r="G82" s="464">
        <f>B76-F82</f>
        <v>2928.9587499999998</v>
      </c>
      <c r="H82" s="464">
        <f>D82-E82</f>
        <v>0</v>
      </c>
      <c r="I82" s="464">
        <f>H82</f>
        <v>0</v>
      </c>
      <c r="J82" s="464">
        <f>B75-I82</f>
        <v>48020.278706250007</v>
      </c>
      <c r="K82" s="464">
        <f>I82*$C$79/2</f>
        <v>0</v>
      </c>
    </row>
    <row r="83" spans="1:11" s="281" customFormat="1" x14ac:dyDescent="0.2">
      <c r="A83" s="328">
        <v>2</v>
      </c>
      <c r="B83" s="347" t="s">
        <v>471</v>
      </c>
      <c r="C83" s="599">
        <v>0.3</v>
      </c>
      <c r="D83" s="438">
        <f t="shared" ref="D83:D85" si="0">C83*$B$70</f>
        <v>17573.752500000002</v>
      </c>
      <c r="E83" s="464">
        <f>IF(G82&gt;0, MIN(D83,G82),0)</f>
        <v>2928.9587499999998</v>
      </c>
      <c r="F83" s="464">
        <f>E83+F82</f>
        <v>14644.793750000003</v>
      </c>
      <c r="G83" s="464">
        <f>$B$76-F83</f>
        <v>0</v>
      </c>
      <c r="H83" s="464">
        <f>D83-E83</f>
        <v>14644.793750000003</v>
      </c>
      <c r="I83" s="464">
        <f>H83+I82</f>
        <v>14644.793750000003</v>
      </c>
      <c r="J83" s="464">
        <f>$B$75-I83</f>
        <v>33375.484956250002</v>
      </c>
      <c r="K83" s="464">
        <f t="shared" ref="K83:K85" si="1">I83*$C$79/2</f>
        <v>659.01571875000013</v>
      </c>
    </row>
    <row r="84" spans="1:11" s="281" customFormat="1" x14ac:dyDescent="0.2">
      <c r="A84" s="328">
        <v>3</v>
      </c>
      <c r="B84" s="347" t="s">
        <v>472</v>
      </c>
      <c r="C84" s="599">
        <v>0.3</v>
      </c>
      <c r="D84" s="438">
        <f t="shared" si="0"/>
        <v>17573.752500000002</v>
      </c>
      <c r="E84" s="464">
        <f>IF(G83&gt;0, MIN(D84,G83),0)</f>
        <v>0</v>
      </c>
      <c r="F84" s="464">
        <f>E84+F83</f>
        <v>14644.793750000003</v>
      </c>
      <c r="G84" s="464">
        <f t="shared" ref="G84:G86" si="2">$B$76-F84</f>
        <v>0</v>
      </c>
      <c r="H84" s="464">
        <f t="shared" ref="H84:H85" si="3">D84-E84</f>
        <v>17573.752500000002</v>
      </c>
      <c r="I84" s="464">
        <f>H84+I83</f>
        <v>32218.546250000007</v>
      </c>
      <c r="J84" s="464">
        <f>$B$75-I84</f>
        <v>15801.73245625</v>
      </c>
      <c r="K84" s="464">
        <f t="shared" si="1"/>
        <v>1449.8345812500002</v>
      </c>
    </row>
    <row r="85" spans="1:11" s="281" customFormat="1" x14ac:dyDescent="0.2">
      <c r="A85" s="328">
        <v>4</v>
      </c>
      <c r="B85" s="347" t="s">
        <v>473</v>
      </c>
      <c r="C85" s="599">
        <v>0.2</v>
      </c>
      <c r="D85" s="438">
        <f t="shared" si="0"/>
        <v>11715.835000000003</v>
      </c>
      <c r="E85" s="464">
        <f>IF(G84&gt;0, MIN(D85,G84),0)</f>
        <v>0</v>
      </c>
      <c r="F85" s="464">
        <f>E85+F84</f>
        <v>14644.793750000003</v>
      </c>
      <c r="G85" s="464">
        <f t="shared" si="2"/>
        <v>0</v>
      </c>
      <c r="H85" s="464">
        <f t="shared" si="3"/>
        <v>11715.835000000003</v>
      </c>
      <c r="I85" s="464">
        <f>H85+I84</f>
        <v>43934.381250000006</v>
      </c>
      <c r="J85" s="464">
        <f>$B$75-I85</f>
        <v>4085.8974562500007</v>
      </c>
      <c r="K85" s="464">
        <f t="shared" si="1"/>
        <v>1977.0471562500002</v>
      </c>
    </row>
    <row r="86" spans="1:11" s="281" customFormat="1" x14ac:dyDescent="0.2">
      <c r="A86" s="328"/>
      <c r="B86" s="359" t="s">
        <v>47</v>
      </c>
      <c r="C86" s="600">
        <f>SUM(C82:C85)</f>
        <v>1</v>
      </c>
      <c r="D86" s="438">
        <f>SUM(D82:D85)</f>
        <v>58579.175000000017</v>
      </c>
      <c r="E86" s="464">
        <f>SUM(E82:E85)</f>
        <v>14644.793750000003</v>
      </c>
      <c r="F86" s="464">
        <f>F85</f>
        <v>14644.793750000003</v>
      </c>
      <c r="G86" s="464">
        <f t="shared" si="2"/>
        <v>0</v>
      </c>
      <c r="H86" s="464">
        <f>SUM(H82:H85)</f>
        <v>43934.381250000006</v>
      </c>
      <c r="I86" s="464">
        <f>I85</f>
        <v>43934.381250000006</v>
      </c>
      <c r="J86" s="464">
        <f>J85</f>
        <v>4085.8974562500007</v>
      </c>
      <c r="K86" s="601">
        <f>SUM(K82:K85)</f>
        <v>4085.8974562500002</v>
      </c>
    </row>
    <row r="87" spans="1:11" s="281" customFormat="1" x14ac:dyDescent="0.2"/>
    <row r="92" spans="1:11" x14ac:dyDescent="0.2">
      <c r="K92" s="94" t="s">
        <v>249</v>
      </c>
    </row>
  </sheetData>
  <mergeCells count="3">
    <mergeCell ref="H80:K80"/>
    <mergeCell ref="A16:E16"/>
    <mergeCell ref="E80:G8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S28"/>
  <sheetViews>
    <sheetView showGridLines="0" topLeftCell="A10" zoomScaleNormal="100" workbookViewId="0">
      <selection activeCell="D26" sqref="D26"/>
    </sheetView>
  </sheetViews>
  <sheetFormatPr defaultColWidth="9.140625" defaultRowHeight="15" x14ac:dyDescent="0.25"/>
  <cols>
    <col min="1" max="1" width="54.140625" style="92" customWidth="1"/>
    <col min="2" max="2" width="17.85546875" style="92" customWidth="1"/>
    <col min="3" max="3" width="18.140625" style="92" customWidth="1"/>
    <col min="4" max="4" width="13.140625" style="92" customWidth="1"/>
    <col min="5" max="5" width="15.140625" style="92" bestFit="1" customWidth="1"/>
    <col min="6" max="6" width="14.42578125" style="92" customWidth="1"/>
    <col min="7" max="7" width="12.28515625" style="92" bestFit="1" customWidth="1"/>
    <col min="8" max="18" width="11.5703125" style="92" bestFit="1" customWidth="1"/>
    <col min="19" max="19" width="15.7109375" style="546" customWidth="1"/>
    <col min="20" max="20" width="15.140625" style="546" customWidth="1"/>
    <col min="21" max="30" width="9.140625" style="546" customWidth="1"/>
    <col min="31" max="16384" width="9.140625" style="546"/>
  </cols>
  <sheetData>
    <row r="1" spans="1:19" x14ac:dyDescent="0.25">
      <c r="A1" s="694" t="s">
        <v>597</v>
      </c>
      <c r="B1" s="694"/>
      <c r="C1" s="694"/>
      <c r="D1" s="512" t="s">
        <v>39</v>
      </c>
      <c r="E1" s="513"/>
      <c r="F1" s="513"/>
      <c r="G1" s="513"/>
      <c r="H1" s="513"/>
      <c r="I1" s="513"/>
      <c r="J1" s="513"/>
      <c r="K1" s="513"/>
      <c r="L1" s="513"/>
      <c r="M1" s="513"/>
      <c r="N1" s="513"/>
      <c r="O1" s="513"/>
      <c r="P1" s="513"/>
      <c r="Q1" s="513"/>
      <c r="R1" s="535"/>
    </row>
    <row r="2" spans="1:19" x14ac:dyDescent="0.25">
      <c r="A2" s="694"/>
      <c r="B2" s="694"/>
      <c r="C2" s="694"/>
      <c r="D2" s="512">
        <v>2025</v>
      </c>
      <c r="E2" s="512">
        <v>2026</v>
      </c>
      <c r="F2" s="512">
        <v>2027</v>
      </c>
      <c r="G2" s="512">
        <v>2028</v>
      </c>
      <c r="H2" s="512">
        <v>2029</v>
      </c>
      <c r="I2" s="512">
        <v>2030</v>
      </c>
      <c r="J2" s="512">
        <v>2031</v>
      </c>
      <c r="K2" s="512">
        <v>2032</v>
      </c>
      <c r="L2" s="512">
        <v>2033</v>
      </c>
      <c r="M2" s="512">
        <v>2034</v>
      </c>
      <c r="N2" s="512">
        <v>2035</v>
      </c>
      <c r="O2" s="512">
        <v>2036</v>
      </c>
      <c r="P2" s="512">
        <v>2037</v>
      </c>
      <c r="Q2" s="512">
        <v>2038</v>
      </c>
      <c r="R2" s="504">
        <v>2039</v>
      </c>
    </row>
    <row r="3" spans="1:19" s="547" customFormat="1" x14ac:dyDescent="0.25">
      <c r="A3" s="514" t="s">
        <v>423</v>
      </c>
      <c r="B3" s="514" t="s">
        <v>422</v>
      </c>
      <c r="C3" s="514"/>
      <c r="D3" s="515">
        <v>0.7</v>
      </c>
      <c r="E3" s="515">
        <v>0.8</v>
      </c>
      <c r="F3" s="515">
        <v>0.95</v>
      </c>
      <c r="G3" s="515">
        <v>0.95</v>
      </c>
      <c r="H3" s="515">
        <v>0.95</v>
      </c>
      <c r="I3" s="515">
        <v>0.95</v>
      </c>
      <c r="J3" s="515">
        <v>0.95</v>
      </c>
      <c r="K3" s="515">
        <v>0.95</v>
      </c>
      <c r="L3" s="515">
        <v>0.95</v>
      </c>
      <c r="M3" s="515">
        <v>0.95</v>
      </c>
      <c r="N3" s="515">
        <v>0.95</v>
      </c>
      <c r="O3" s="515">
        <v>0.95</v>
      </c>
      <c r="P3" s="515">
        <v>0.95</v>
      </c>
      <c r="Q3" s="515">
        <v>0.95</v>
      </c>
      <c r="R3" s="536">
        <v>0.95</v>
      </c>
    </row>
    <row r="4" spans="1:19" s="547" customFormat="1" x14ac:dyDescent="0.25">
      <c r="A4" s="514" t="s">
        <v>421</v>
      </c>
      <c r="B4" s="514" t="s">
        <v>46</v>
      </c>
      <c r="C4" s="514"/>
      <c r="D4" s="516">
        <f>Norms!$B$3*Opex!D3</f>
        <v>57749.999999999993</v>
      </c>
      <c r="E4" s="516">
        <f>Norms!$B$3*Opex!E3</f>
        <v>66000</v>
      </c>
      <c r="F4" s="516">
        <f>Norms!$B$3*Opex!F3</f>
        <v>78375</v>
      </c>
      <c r="G4" s="516">
        <f>Norms!$B$3*Opex!G3</f>
        <v>78375</v>
      </c>
      <c r="H4" s="516">
        <f>Norms!$B$3*Opex!H3</f>
        <v>78375</v>
      </c>
      <c r="I4" s="516">
        <f>Norms!$B$3*Opex!I3</f>
        <v>78375</v>
      </c>
      <c r="J4" s="516">
        <f>Norms!$B$3*Opex!J3</f>
        <v>78375</v>
      </c>
      <c r="K4" s="516">
        <f>Norms!$B$3*Opex!K3</f>
        <v>78375</v>
      </c>
      <c r="L4" s="516">
        <f>Norms!$B$3*Opex!L3</f>
        <v>78375</v>
      </c>
      <c r="M4" s="516">
        <f>Norms!$B$3*Opex!M3</f>
        <v>78375</v>
      </c>
      <c r="N4" s="516">
        <f>Norms!$B$3*Opex!N3</f>
        <v>78375</v>
      </c>
      <c r="O4" s="516">
        <f>Norms!$B$3*Opex!O3</f>
        <v>78375</v>
      </c>
      <c r="P4" s="516">
        <f>Norms!$B$3*Opex!P3</f>
        <v>78375</v>
      </c>
      <c r="Q4" s="516">
        <f>Norms!$B$3*Opex!Q3</f>
        <v>78375</v>
      </c>
      <c r="R4" s="537">
        <f>Norms!$B$3*Opex!R3</f>
        <v>78375</v>
      </c>
    </row>
    <row r="5" spans="1:19" s="548" customFormat="1" x14ac:dyDescent="0.25">
      <c r="A5" s="514"/>
      <c r="B5" s="514"/>
      <c r="C5" s="514"/>
      <c r="D5" s="516"/>
      <c r="E5" s="516"/>
      <c r="F5" s="516"/>
      <c r="G5" s="516"/>
      <c r="H5" s="516"/>
      <c r="I5" s="516"/>
      <c r="J5" s="516"/>
      <c r="K5" s="516"/>
      <c r="L5" s="516"/>
      <c r="M5" s="516"/>
      <c r="N5" s="516"/>
      <c r="O5" s="516"/>
      <c r="P5" s="516"/>
      <c r="Q5" s="516"/>
      <c r="R5" s="537"/>
    </row>
    <row r="6" spans="1:19" s="548" customFormat="1" x14ac:dyDescent="0.25">
      <c r="A6" s="517" t="s">
        <v>274</v>
      </c>
      <c r="B6" s="518" t="s">
        <v>25</v>
      </c>
      <c r="C6" s="518" t="s">
        <v>43</v>
      </c>
      <c r="D6" s="519">
        <f>SUM(D7:D9)</f>
        <v>83.92123523437499</v>
      </c>
      <c r="E6" s="519">
        <f t="shared" ref="E6:J6" si="0">SUM(E7:E9)</f>
        <v>95.909983124999997</v>
      </c>
      <c r="F6" s="519">
        <f t="shared" si="0"/>
        <v>113.89310496093751</v>
      </c>
      <c r="G6" s="519">
        <f t="shared" si="0"/>
        <v>113.89310496093751</v>
      </c>
      <c r="H6" s="519">
        <f t="shared" si="0"/>
        <v>113.89310496093751</v>
      </c>
      <c r="I6" s="519">
        <f t="shared" si="0"/>
        <v>113.89310496093751</v>
      </c>
      <c r="J6" s="519">
        <f t="shared" si="0"/>
        <v>113.89310496093751</v>
      </c>
      <c r="K6" s="519">
        <f>SUM(K7:K9)</f>
        <v>113.89310496093751</v>
      </c>
      <c r="L6" s="519">
        <f t="shared" ref="L6" si="1">SUM(L7:L9)</f>
        <v>113.89310496093751</v>
      </c>
      <c r="M6" s="519">
        <f t="shared" ref="M6" si="2">SUM(M7:M9)</f>
        <v>113.89310496093751</v>
      </c>
      <c r="N6" s="519">
        <f t="shared" ref="N6" si="3">SUM(N7:N9)</f>
        <v>113.89310496093751</v>
      </c>
      <c r="O6" s="519">
        <f t="shared" ref="O6" si="4">SUM(O7:O9)</f>
        <v>113.89310496093751</v>
      </c>
      <c r="P6" s="519">
        <f>SUM(P7:P9)</f>
        <v>113.89310496093751</v>
      </c>
      <c r="Q6" s="519">
        <f t="shared" ref="Q6" si="5">SUM(Q7:Q9)</f>
        <v>113.89310496093751</v>
      </c>
      <c r="R6" s="538">
        <f t="shared" ref="R6" si="6">SUM(R7:R9)</f>
        <v>113.89310496093751</v>
      </c>
    </row>
    <row r="7" spans="1:19" s="548" customFormat="1" x14ac:dyDescent="0.25">
      <c r="A7" s="348" t="s">
        <v>133</v>
      </c>
      <c r="B7" s="388">
        <f>Norms!F3</f>
        <v>23718.749999999996</v>
      </c>
      <c r="C7" s="388">
        <f>Norms!G9</f>
        <v>26536.75</v>
      </c>
      <c r="D7" s="520">
        <f>D4*Norms!$D$3*Opex!$C$7/10^7</f>
        <v>44.059297734374987</v>
      </c>
      <c r="E7" s="520">
        <f>E4*Norms!$D$3*Opex!$C$7/10^7</f>
        <v>50.353483124999997</v>
      </c>
      <c r="F7" s="520">
        <f>F4*Norms!$D$3*Opex!$C$7/10^7</f>
        <v>59.794761210937502</v>
      </c>
      <c r="G7" s="520">
        <f>G4*Norms!$D$3*Opex!$C$7/10^7</f>
        <v>59.794761210937502</v>
      </c>
      <c r="H7" s="520">
        <f>H4*Norms!$D$3*Opex!$C$7/10^7</f>
        <v>59.794761210937502</v>
      </c>
      <c r="I7" s="520">
        <f>I4*Norms!$D$3*Opex!$C$7/10^7</f>
        <v>59.794761210937502</v>
      </c>
      <c r="J7" s="520">
        <f>J4*Norms!$D$3*Opex!$C$7/10^7</f>
        <v>59.794761210937502</v>
      </c>
      <c r="K7" s="520">
        <f>K4*Norms!$D$3*Opex!$C$7/10^7</f>
        <v>59.794761210937502</v>
      </c>
      <c r="L7" s="520">
        <f>L4*Norms!$D$3*Opex!$C$7/10^7</f>
        <v>59.794761210937502</v>
      </c>
      <c r="M7" s="520">
        <f>M4*Norms!$D$3*Opex!$C$7/10^7</f>
        <v>59.794761210937502</v>
      </c>
      <c r="N7" s="520">
        <f>N4*Norms!$D$3*Opex!$C$7/10^7</f>
        <v>59.794761210937502</v>
      </c>
      <c r="O7" s="520">
        <f>O4*Norms!$D$3*Opex!$C$7/10^7</f>
        <v>59.794761210937502</v>
      </c>
      <c r="P7" s="520">
        <f>P4*Norms!$D$3*Opex!$C$7/10^7</f>
        <v>59.794761210937502</v>
      </c>
      <c r="Q7" s="520">
        <f>Q4*Norms!$D$3*Opex!$C$7/10^7</f>
        <v>59.794761210937502</v>
      </c>
      <c r="R7" s="368">
        <f>R4*Norms!$D$3*Opex!$C$7/10^7</f>
        <v>59.794761210937502</v>
      </c>
    </row>
    <row r="8" spans="1:19" s="548" customFormat="1" x14ac:dyDescent="0.25">
      <c r="A8" s="348" t="s">
        <v>450</v>
      </c>
      <c r="B8" s="388"/>
      <c r="C8" s="388"/>
      <c r="D8" s="520">
        <f>D4*Norms!$D$13*Norms!$J$16/10^7</f>
        <v>38.31712499999999</v>
      </c>
      <c r="E8" s="520">
        <f>E4*Norms!$D$13*Norms!$J$16/10^7</f>
        <v>43.790999999999997</v>
      </c>
      <c r="F8" s="520">
        <f>F4*Norms!$D$13*Norms!$J$16/10^7</f>
        <v>52.0018125</v>
      </c>
      <c r="G8" s="520">
        <f>G4*Norms!$D$13*Norms!$J$16/10^7</f>
        <v>52.0018125</v>
      </c>
      <c r="H8" s="520">
        <f>H4*Norms!$D$13*Norms!$J$16/10^7</f>
        <v>52.0018125</v>
      </c>
      <c r="I8" s="520">
        <f>I4*Norms!$D$13*Norms!$J$16/10^7</f>
        <v>52.0018125</v>
      </c>
      <c r="J8" s="520">
        <f>J4*Norms!$D$13*Norms!$J$16/10^7</f>
        <v>52.0018125</v>
      </c>
      <c r="K8" s="520">
        <f>K4*Norms!$D$13*Norms!$J$16/10^7</f>
        <v>52.0018125</v>
      </c>
      <c r="L8" s="520">
        <f>L4*Norms!$D$13*Norms!$J$16/10^7</f>
        <v>52.0018125</v>
      </c>
      <c r="M8" s="520">
        <f>M4*Norms!$D$13*Norms!$J$16/10^7</f>
        <v>52.0018125</v>
      </c>
      <c r="N8" s="520">
        <f>N4*Norms!$D$13*Norms!$J$16/10^7</f>
        <v>52.0018125</v>
      </c>
      <c r="O8" s="520">
        <f>O4*Norms!$D$13*Norms!$J$16/10^7</f>
        <v>52.0018125</v>
      </c>
      <c r="P8" s="520">
        <f>P4*Norms!$D$13*Norms!$J$16/10^7</f>
        <v>52.0018125</v>
      </c>
      <c r="Q8" s="520">
        <f>Q4*Norms!$D$13*Norms!$J$16/10^7</f>
        <v>52.0018125</v>
      </c>
      <c r="R8" s="368">
        <f>R4*Norms!$D$13*Norms!$J$16/10^7</f>
        <v>52.0018125</v>
      </c>
    </row>
    <row r="9" spans="1:19" s="548" customFormat="1" x14ac:dyDescent="0.25">
      <c r="A9" s="348" t="s">
        <v>449</v>
      </c>
      <c r="B9" s="388"/>
      <c r="C9" s="388"/>
      <c r="D9" s="520">
        <f>D4*Norms!$D$18*Norms!$J$18/10^7</f>
        <v>1.5448124999999999</v>
      </c>
      <c r="E9" s="520">
        <f>E4*Norms!$D$18*Norms!$J$18/10^7</f>
        <v>1.7655000000000001</v>
      </c>
      <c r="F9" s="520">
        <f>F4*Norms!$D$18*Norms!$J$18/10^7</f>
        <v>2.09653125</v>
      </c>
      <c r="G9" s="520">
        <f>G4*Norms!$D$18*Norms!$J$18/10^7</f>
        <v>2.09653125</v>
      </c>
      <c r="H9" s="520">
        <f>H4*Norms!$D$18*Norms!$J$18/10^7</f>
        <v>2.09653125</v>
      </c>
      <c r="I9" s="520">
        <f>I4*Norms!$D$18*Norms!$J$18/10^7</f>
        <v>2.09653125</v>
      </c>
      <c r="J9" s="520">
        <f>J4*Norms!$D$18*Norms!$J$18/10^7</f>
        <v>2.09653125</v>
      </c>
      <c r="K9" s="520">
        <f>K4*Norms!$D$18*Norms!$J$18/10^7</f>
        <v>2.09653125</v>
      </c>
      <c r="L9" s="520">
        <f>L4*Norms!$D$18*Norms!$J$18/10^7</f>
        <v>2.09653125</v>
      </c>
      <c r="M9" s="520">
        <f>M4*Norms!$D$18*Norms!$J$18/10^7</f>
        <v>2.09653125</v>
      </c>
      <c r="N9" s="520">
        <f>N4*Norms!$D$18*Norms!$J$18/10^7</f>
        <v>2.09653125</v>
      </c>
      <c r="O9" s="520">
        <f>O4*Norms!$D$18*Norms!$J$18/10^7</f>
        <v>2.09653125</v>
      </c>
      <c r="P9" s="520">
        <f>P4*Norms!$D$18*Norms!$J$18/10^7</f>
        <v>2.09653125</v>
      </c>
      <c r="Q9" s="520">
        <f>Q4*Norms!$D$18*Norms!$J$18/10^7</f>
        <v>2.09653125</v>
      </c>
      <c r="R9" s="368">
        <f>R4*Norms!$D$18*Norms!$J$18/10^7</f>
        <v>2.09653125</v>
      </c>
    </row>
    <row r="10" spans="1:19" s="548" customFormat="1" x14ac:dyDescent="0.25">
      <c r="A10" s="381" t="s">
        <v>451</v>
      </c>
      <c r="B10" s="388"/>
      <c r="C10" s="388"/>
      <c r="D10" s="520">
        <f>SUM(D7:D9)</f>
        <v>83.92123523437499</v>
      </c>
      <c r="E10" s="520">
        <f t="shared" ref="E10:R10" si="7">SUM(E7:E9)</f>
        <v>95.909983124999997</v>
      </c>
      <c r="F10" s="520">
        <f t="shared" si="7"/>
        <v>113.89310496093751</v>
      </c>
      <c r="G10" s="520">
        <f t="shared" si="7"/>
        <v>113.89310496093751</v>
      </c>
      <c r="H10" s="520">
        <f t="shared" si="7"/>
        <v>113.89310496093751</v>
      </c>
      <c r="I10" s="520">
        <f t="shared" si="7"/>
        <v>113.89310496093751</v>
      </c>
      <c r="J10" s="520">
        <f t="shared" si="7"/>
        <v>113.89310496093751</v>
      </c>
      <c r="K10" s="520">
        <f t="shared" si="7"/>
        <v>113.89310496093751</v>
      </c>
      <c r="L10" s="520">
        <f t="shared" si="7"/>
        <v>113.89310496093751</v>
      </c>
      <c r="M10" s="520">
        <f t="shared" si="7"/>
        <v>113.89310496093751</v>
      </c>
      <c r="N10" s="520">
        <f t="shared" si="7"/>
        <v>113.89310496093751</v>
      </c>
      <c r="O10" s="520">
        <f t="shared" si="7"/>
        <v>113.89310496093751</v>
      </c>
      <c r="P10" s="520">
        <f t="shared" si="7"/>
        <v>113.89310496093751</v>
      </c>
      <c r="Q10" s="520">
        <f t="shared" si="7"/>
        <v>113.89310496093751</v>
      </c>
      <c r="R10" s="368">
        <f t="shared" si="7"/>
        <v>113.89310496093751</v>
      </c>
    </row>
    <row r="11" spans="1:19" x14ac:dyDescent="0.25">
      <c r="A11" s="518" t="s">
        <v>275</v>
      </c>
      <c r="B11" s="521"/>
      <c r="C11" s="521"/>
      <c r="D11" s="519">
        <f>SUM(D12:D17)</f>
        <v>17.845628622812498</v>
      </c>
      <c r="E11" s="522">
        <f>SUM(E12:E17)</f>
        <v>18.056003622812501</v>
      </c>
      <c r="F11" s="522">
        <f t="shared" ref="F11:R11" si="8">SUM(F12:F17)</f>
        <v>18.371566122812503</v>
      </c>
      <c r="G11" s="522">
        <f t="shared" si="8"/>
        <v>18.371566122812503</v>
      </c>
      <c r="H11" s="522">
        <f t="shared" si="8"/>
        <v>18.371566122812503</v>
      </c>
      <c r="I11" s="522">
        <f t="shared" si="8"/>
        <v>18.371566122812503</v>
      </c>
      <c r="J11" s="522">
        <f t="shared" si="8"/>
        <v>18.371566122812503</v>
      </c>
      <c r="K11" s="522">
        <f t="shared" si="8"/>
        <v>18.371566122812503</v>
      </c>
      <c r="L11" s="522">
        <f t="shared" si="8"/>
        <v>18.371566122812503</v>
      </c>
      <c r="M11" s="522">
        <f t="shared" si="8"/>
        <v>18.371566122812503</v>
      </c>
      <c r="N11" s="522">
        <f t="shared" si="8"/>
        <v>18.371566122812503</v>
      </c>
      <c r="O11" s="522">
        <f t="shared" si="8"/>
        <v>18.371566122812503</v>
      </c>
      <c r="P11" s="522">
        <f t="shared" si="8"/>
        <v>18.371566122812503</v>
      </c>
      <c r="Q11" s="522">
        <f t="shared" si="8"/>
        <v>18.371566122812503</v>
      </c>
      <c r="R11" s="539">
        <f t="shared" si="8"/>
        <v>18.371566122812503</v>
      </c>
    </row>
    <row r="12" spans="1:19" s="548" customFormat="1" x14ac:dyDescent="0.25">
      <c r="A12" s="523" t="s">
        <v>458</v>
      </c>
      <c r="B12" s="388"/>
      <c r="C12" s="388"/>
      <c r="D12" s="520">
        <f>Norms!$D$16*Norms!$D$28*Opex!D4/10^7</f>
        <v>1.4726250000000001</v>
      </c>
      <c r="E12" s="520">
        <f>Norms!$D$16*Norms!$D$28*Opex!E4/10^7</f>
        <v>1.6830000000000003</v>
      </c>
      <c r="F12" s="520">
        <f>Norms!$D$16*Norms!$D$28*Opex!F4/10^7</f>
        <v>1.9985625000000005</v>
      </c>
      <c r="G12" s="520">
        <f>Norms!$D$16*Norms!$D$28*Opex!G4/10^7</f>
        <v>1.9985625000000005</v>
      </c>
      <c r="H12" s="520">
        <f>Norms!$D$16*Norms!$D$28*Opex!H4/10^7</f>
        <v>1.9985625000000005</v>
      </c>
      <c r="I12" s="520">
        <f>Norms!$D$16*Norms!$D$28*Opex!I4/10^7</f>
        <v>1.9985625000000005</v>
      </c>
      <c r="J12" s="520">
        <f>Norms!$D$16*Norms!$D$28*Opex!J4/10^7</f>
        <v>1.9985625000000005</v>
      </c>
      <c r="K12" s="520">
        <f>Norms!$D$16*Norms!$D$28*Opex!K4/10^7</f>
        <v>1.9985625000000005</v>
      </c>
      <c r="L12" s="520">
        <f>Norms!$D$16*Norms!$D$28*Opex!L4/10^7</f>
        <v>1.9985625000000005</v>
      </c>
      <c r="M12" s="520">
        <f>Norms!$D$16*Norms!$D$28*Opex!M4/10^7</f>
        <v>1.9985625000000005</v>
      </c>
      <c r="N12" s="520">
        <f>Norms!$D$16*Norms!$D$28*Opex!N4/10^7</f>
        <v>1.9985625000000005</v>
      </c>
      <c r="O12" s="520">
        <f>Norms!$D$16*Norms!$D$28*Opex!O4/10^7</f>
        <v>1.9985625000000005</v>
      </c>
      <c r="P12" s="520">
        <f>Norms!$D$16*Norms!$D$28*Opex!P4/10^7</f>
        <v>1.9985625000000005</v>
      </c>
      <c r="Q12" s="520">
        <f>Norms!$D$16*Norms!$D$28*Opex!Q4/10^7</f>
        <v>1.9985625000000005</v>
      </c>
      <c r="R12" s="368">
        <f>Norms!$D$16*Norms!$D$28*Opex!R4/10^7</f>
        <v>1.9985625000000005</v>
      </c>
    </row>
    <row r="13" spans="1:19" s="548" customFormat="1" x14ac:dyDescent="0.25">
      <c r="A13" s="523" t="s">
        <v>456</v>
      </c>
      <c r="B13" s="523"/>
      <c r="C13" s="523"/>
      <c r="D13" s="520">
        <f>Norms!$D$29/100</f>
        <v>0.05</v>
      </c>
      <c r="E13" s="520">
        <f>Norms!$D$29/100</f>
        <v>0.05</v>
      </c>
      <c r="F13" s="520">
        <f>Norms!$D$29/100</f>
        <v>0.05</v>
      </c>
      <c r="G13" s="520">
        <f>Norms!$D$29/100</f>
        <v>0.05</v>
      </c>
      <c r="H13" s="520">
        <f>Norms!$D$29/100</f>
        <v>0.05</v>
      </c>
      <c r="I13" s="520">
        <f>Norms!$D$29/100</f>
        <v>0.05</v>
      </c>
      <c r="J13" s="520">
        <f>Norms!$D$29/100</f>
        <v>0.05</v>
      </c>
      <c r="K13" s="520">
        <f>Norms!$D$29/100</f>
        <v>0.05</v>
      </c>
      <c r="L13" s="520">
        <f>Norms!$D$29/100</f>
        <v>0.05</v>
      </c>
      <c r="M13" s="520">
        <f>Norms!$D$29/100</f>
        <v>0.05</v>
      </c>
      <c r="N13" s="520">
        <f>Norms!$D$29/100</f>
        <v>0.05</v>
      </c>
      <c r="O13" s="520">
        <f>Norms!$D$29/100</f>
        <v>0.05</v>
      </c>
      <c r="P13" s="520">
        <f>Norms!$D$29/100</f>
        <v>0.05</v>
      </c>
      <c r="Q13" s="520">
        <f>Norms!$D$29/100</f>
        <v>0.05</v>
      </c>
      <c r="R13" s="368">
        <f>Norms!$D$29/100</f>
        <v>0.05</v>
      </c>
    </row>
    <row r="14" spans="1:19" s="548" customFormat="1" x14ac:dyDescent="0.25">
      <c r="A14" s="523" t="s">
        <v>599</v>
      </c>
      <c r="B14" s="523"/>
      <c r="C14" s="523"/>
      <c r="D14" s="520">
        <f>Norms!D49</f>
        <v>3.5</v>
      </c>
      <c r="E14" s="530">
        <f>D14</f>
        <v>3.5</v>
      </c>
      <c r="F14" s="530">
        <f t="shared" ref="F14:R14" si="9">E14</f>
        <v>3.5</v>
      </c>
      <c r="G14" s="530">
        <f t="shared" si="9"/>
        <v>3.5</v>
      </c>
      <c r="H14" s="530">
        <f t="shared" si="9"/>
        <v>3.5</v>
      </c>
      <c r="I14" s="530">
        <f t="shared" si="9"/>
        <v>3.5</v>
      </c>
      <c r="J14" s="530">
        <f t="shared" si="9"/>
        <v>3.5</v>
      </c>
      <c r="K14" s="530">
        <f t="shared" si="9"/>
        <v>3.5</v>
      </c>
      <c r="L14" s="530">
        <f t="shared" si="9"/>
        <v>3.5</v>
      </c>
      <c r="M14" s="530">
        <f t="shared" si="9"/>
        <v>3.5</v>
      </c>
      <c r="N14" s="530">
        <f t="shared" si="9"/>
        <v>3.5</v>
      </c>
      <c r="O14" s="530">
        <f t="shared" si="9"/>
        <v>3.5</v>
      </c>
      <c r="P14" s="530">
        <f t="shared" si="9"/>
        <v>3.5</v>
      </c>
      <c r="Q14" s="530">
        <f t="shared" si="9"/>
        <v>3.5</v>
      </c>
      <c r="R14" s="540">
        <f t="shared" si="9"/>
        <v>3.5</v>
      </c>
    </row>
    <row r="15" spans="1:19" s="548" customFormat="1" ht="29.25" customHeight="1" x14ac:dyDescent="0.25">
      <c r="A15" s="523" t="s">
        <v>276</v>
      </c>
      <c r="B15" s="523"/>
      <c r="C15" s="531">
        <v>0.02</v>
      </c>
      <c r="D15" s="532">
        <f>C15*Capex!$B$5</f>
        <v>8.8147500000000001</v>
      </c>
      <c r="E15" s="532">
        <f>D15</f>
        <v>8.8147500000000001</v>
      </c>
      <c r="F15" s="532">
        <f t="shared" ref="F15:R15" si="10">E15</f>
        <v>8.8147500000000001</v>
      </c>
      <c r="G15" s="532">
        <f t="shared" si="10"/>
        <v>8.8147500000000001</v>
      </c>
      <c r="H15" s="532">
        <f t="shared" si="10"/>
        <v>8.8147500000000001</v>
      </c>
      <c r="I15" s="532">
        <f t="shared" si="10"/>
        <v>8.8147500000000001</v>
      </c>
      <c r="J15" s="532">
        <f t="shared" si="10"/>
        <v>8.8147500000000001</v>
      </c>
      <c r="K15" s="532">
        <f t="shared" si="10"/>
        <v>8.8147500000000001</v>
      </c>
      <c r="L15" s="532">
        <f t="shared" si="10"/>
        <v>8.8147500000000001</v>
      </c>
      <c r="M15" s="532">
        <f t="shared" si="10"/>
        <v>8.8147500000000001</v>
      </c>
      <c r="N15" s="532">
        <f t="shared" si="10"/>
        <v>8.8147500000000001</v>
      </c>
      <c r="O15" s="532">
        <f t="shared" si="10"/>
        <v>8.8147500000000001</v>
      </c>
      <c r="P15" s="532">
        <f t="shared" si="10"/>
        <v>8.8147500000000001</v>
      </c>
      <c r="Q15" s="532">
        <f t="shared" si="10"/>
        <v>8.8147500000000001</v>
      </c>
      <c r="R15" s="541">
        <f t="shared" si="10"/>
        <v>8.8147500000000001</v>
      </c>
      <c r="S15" s="549"/>
    </row>
    <row r="16" spans="1:19" s="548" customFormat="1" ht="29.25" customHeight="1" x14ac:dyDescent="0.25">
      <c r="A16" s="523" t="s">
        <v>500</v>
      </c>
      <c r="B16" s="523"/>
      <c r="C16" s="531">
        <v>5.0000000000000001E-3</v>
      </c>
      <c r="D16" s="532">
        <f>$C$16*Capex!$B$13</f>
        <v>3.1332536228125001</v>
      </c>
      <c r="E16" s="532">
        <f>$C$16*Capex!$B$13</f>
        <v>3.1332536228125001</v>
      </c>
      <c r="F16" s="532">
        <f>$C$16*Capex!$B$13</f>
        <v>3.1332536228125001</v>
      </c>
      <c r="G16" s="532">
        <f>$C$16*Capex!$B$13</f>
        <v>3.1332536228125001</v>
      </c>
      <c r="H16" s="532">
        <f>$C$16*Capex!$B$13</f>
        <v>3.1332536228125001</v>
      </c>
      <c r="I16" s="532">
        <f>$C$16*Capex!$B$13</f>
        <v>3.1332536228125001</v>
      </c>
      <c r="J16" s="532">
        <f>$C$16*Capex!$B$13</f>
        <v>3.1332536228125001</v>
      </c>
      <c r="K16" s="532">
        <f>$C$16*Capex!$B$13</f>
        <v>3.1332536228125001</v>
      </c>
      <c r="L16" s="532">
        <f>$C$16*Capex!$B$13</f>
        <v>3.1332536228125001</v>
      </c>
      <c r="M16" s="532">
        <f>$C$16*Capex!$B$13</f>
        <v>3.1332536228125001</v>
      </c>
      <c r="N16" s="532">
        <f>$C$16*Capex!$B$13</f>
        <v>3.1332536228125001</v>
      </c>
      <c r="O16" s="532">
        <f>$C$16*Capex!$B$13</f>
        <v>3.1332536228125001</v>
      </c>
      <c r="P16" s="532">
        <f>$C$16*Capex!$B$13</f>
        <v>3.1332536228125001</v>
      </c>
      <c r="Q16" s="532">
        <f>$C$16*Capex!$B$13</f>
        <v>3.1332536228125001</v>
      </c>
      <c r="R16" s="541">
        <f>$C$16*Capex!$B$13</f>
        <v>3.1332536228125001</v>
      </c>
      <c r="S16" s="549"/>
    </row>
    <row r="17" spans="1:18" s="548" customFormat="1" ht="14.25" customHeight="1" x14ac:dyDescent="0.25">
      <c r="A17" s="533" t="s">
        <v>460</v>
      </c>
      <c r="B17" s="533"/>
      <c r="C17" s="533"/>
      <c r="D17" s="534">
        <f>Norms!$D$50</f>
        <v>0.875</v>
      </c>
      <c r="E17" s="534">
        <f>Norms!$D$50</f>
        <v>0.875</v>
      </c>
      <c r="F17" s="534">
        <f>Norms!$D$50</f>
        <v>0.875</v>
      </c>
      <c r="G17" s="534">
        <f>Norms!$D$50</f>
        <v>0.875</v>
      </c>
      <c r="H17" s="534">
        <f>Norms!$D$50</f>
        <v>0.875</v>
      </c>
      <c r="I17" s="534">
        <f>Norms!$D$50</f>
        <v>0.875</v>
      </c>
      <c r="J17" s="534">
        <f>Norms!$D$50</f>
        <v>0.875</v>
      </c>
      <c r="K17" s="534">
        <f>Norms!$D$50</f>
        <v>0.875</v>
      </c>
      <c r="L17" s="534">
        <f>Norms!$D$50</f>
        <v>0.875</v>
      </c>
      <c r="M17" s="534">
        <f>Norms!$D$50</f>
        <v>0.875</v>
      </c>
      <c r="N17" s="534">
        <f>Norms!$D$50</f>
        <v>0.875</v>
      </c>
      <c r="O17" s="534">
        <f>Norms!$D$50</f>
        <v>0.875</v>
      </c>
      <c r="P17" s="534">
        <f>Norms!$D$50</f>
        <v>0.875</v>
      </c>
      <c r="Q17" s="534">
        <f>Norms!$D$50</f>
        <v>0.875</v>
      </c>
      <c r="R17" s="542">
        <f>Norms!$D$50</f>
        <v>0.875</v>
      </c>
    </row>
    <row r="18" spans="1:18" ht="17.25" customHeight="1" x14ac:dyDescent="0.25">
      <c r="A18" s="695" t="s">
        <v>462</v>
      </c>
      <c r="B18" s="695"/>
      <c r="C18" s="695"/>
      <c r="D18" s="524">
        <f t="shared" ref="D18:R18" si="11">D6+D11</f>
        <v>101.76686385718749</v>
      </c>
      <c r="E18" s="524">
        <f t="shared" si="11"/>
        <v>113.96598674781249</v>
      </c>
      <c r="F18" s="524">
        <f t="shared" si="11"/>
        <v>132.26467108375002</v>
      </c>
      <c r="G18" s="524">
        <f t="shared" si="11"/>
        <v>132.26467108375002</v>
      </c>
      <c r="H18" s="524">
        <f t="shared" si="11"/>
        <v>132.26467108375002</v>
      </c>
      <c r="I18" s="524">
        <f t="shared" si="11"/>
        <v>132.26467108375002</v>
      </c>
      <c r="J18" s="524">
        <f t="shared" si="11"/>
        <v>132.26467108375002</v>
      </c>
      <c r="K18" s="524">
        <f t="shared" si="11"/>
        <v>132.26467108375002</v>
      </c>
      <c r="L18" s="524">
        <f t="shared" si="11"/>
        <v>132.26467108375002</v>
      </c>
      <c r="M18" s="524">
        <f t="shared" si="11"/>
        <v>132.26467108375002</v>
      </c>
      <c r="N18" s="524">
        <f t="shared" si="11"/>
        <v>132.26467108375002</v>
      </c>
      <c r="O18" s="524">
        <f t="shared" si="11"/>
        <v>132.26467108375002</v>
      </c>
      <c r="P18" s="524">
        <f t="shared" si="11"/>
        <v>132.26467108375002</v>
      </c>
      <c r="Q18" s="524">
        <f t="shared" si="11"/>
        <v>132.26467108375002</v>
      </c>
      <c r="R18" s="543">
        <f t="shared" si="11"/>
        <v>132.26467108375002</v>
      </c>
    </row>
    <row r="19" spans="1:18" x14ac:dyDescent="0.25">
      <c r="A19" s="695" t="s">
        <v>598</v>
      </c>
      <c r="B19" s="695"/>
      <c r="C19" s="695"/>
      <c r="D19" s="512" t="s">
        <v>39</v>
      </c>
      <c r="E19" s="81"/>
      <c r="F19" s="81"/>
      <c r="G19" s="525"/>
      <c r="H19" s="81"/>
      <c r="I19" s="81"/>
      <c r="J19" s="81"/>
      <c r="K19" s="81"/>
      <c r="L19" s="81"/>
      <c r="M19" s="81"/>
      <c r="N19" s="81"/>
      <c r="O19" s="81"/>
      <c r="P19" s="81"/>
      <c r="Q19" s="81"/>
      <c r="R19" s="544"/>
    </row>
    <row r="20" spans="1:18" x14ac:dyDescent="0.25">
      <c r="A20" s="512"/>
      <c r="B20" s="512"/>
      <c r="C20" s="512"/>
      <c r="D20" s="512">
        <v>2025</v>
      </c>
      <c r="E20" s="512">
        <v>2026</v>
      </c>
      <c r="F20" s="512">
        <v>2027</v>
      </c>
      <c r="G20" s="512">
        <v>2028</v>
      </c>
      <c r="H20" s="512">
        <v>2029</v>
      </c>
      <c r="I20" s="512">
        <v>2030</v>
      </c>
      <c r="J20" s="512">
        <v>2031</v>
      </c>
      <c r="K20" s="512">
        <v>2032</v>
      </c>
      <c r="L20" s="512">
        <v>2033</v>
      </c>
      <c r="M20" s="512">
        <v>2034</v>
      </c>
      <c r="N20" s="512">
        <v>2035</v>
      </c>
      <c r="O20" s="512">
        <v>2036</v>
      </c>
      <c r="P20" s="512">
        <v>2037</v>
      </c>
      <c r="Q20" s="512">
        <v>2038</v>
      </c>
      <c r="R20" s="504">
        <v>2039</v>
      </c>
    </row>
    <row r="21" spans="1:18" s="548" customFormat="1" x14ac:dyDescent="0.25">
      <c r="A21" s="514" t="s">
        <v>423</v>
      </c>
      <c r="B21" s="514" t="s">
        <v>422</v>
      </c>
      <c r="C21" s="514"/>
      <c r="D21" s="515">
        <v>0.7</v>
      </c>
      <c r="E21" s="515">
        <v>0.8</v>
      </c>
      <c r="F21" s="515">
        <v>0.95</v>
      </c>
      <c r="G21" s="515">
        <v>0.95</v>
      </c>
      <c r="H21" s="515">
        <v>0.95</v>
      </c>
      <c r="I21" s="515">
        <v>0.95</v>
      </c>
      <c r="J21" s="515">
        <v>0.95</v>
      </c>
      <c r="K21" s="515">
        <v>0.95</v>
      </c>
      <c r="L21" s="515">
        <v>0.95</v>
      </c>
      <c r="M21" s="515">
        <v>0.95</v>
      </c>
      <c r="N21" s="515">
        <v>0.95</v>
      </c>
      <c r="O21" s="515">
        <v>0.95</v>
      </c>
      <c r="P21" s="515">
        <v>0.95</v>
      </c>
      <c r="Q21" s="515">
        <v>0.95</v>
      </c>
      <c r="R21" s="536">
        <v>0.95</v>
      </c>
    </row>
    <row r="22" spans="1:18" s="548" customFormat="1" x14ac:dyDescent="0.25">
      <c r="A22" s="514" t="s">
        <v>463</v>
      </c>
      <c r="B22" s="514" t="s">
        <v>46</v>
      </c>
      <c r="C22" s="514"/>
      <c r="D22" s="514">
        <f>D21*Norms!$B$5</f>
        <v>70000</v>
      </c>
      <c r="E22" s="514">
        <f>E21*Norms!$B$5</f>
        <v>80000</v>
      </c>
      <c r="F22" s="514">
        <f>F21*Norms!$B$5</f>
        <v>95000</v>
      </c>
      <c r="G22" s="514">
        <f>G21*Norms!$B$5</f>
        <v>95000</v>
      </c>
      <c r="H22" s="514">
        <f>H21*Norms!$B$5</f>
        <v>95000</v>
      </c>
      <c r="I22" s="514">
        <f>I21*Norms!$B$5</f>
        <v>95000</v>
      </c>
      <c r="J22" s="514">
        <f>J21*Norms!$B$5</f>
        <v>95000</v>
      </c>
      <c r="K22" s="514">
        <f>K21*Norms!$B$5</f>
        <v>95000</v>
      </c>
      <c r="L22" s="514">
        <f>L21*Norms!$B$5</f>
        <v>95000</v>
      </c>
      <c r="M22" s="514">
        <f>M21*Norms!$B$5</f>
        <v>95000</v>
      </c>
      <c r="N22" s="514">
        <f>N21*Norms!$B$5</f>
        <v>95000</v>
      </c>
      <c r="O22" s="514">
        <f>O21*Norms!$B$5</f>
        <v>95000</v>
      </c>
      <c r="P22" s="514">
        <f>P21*Norms!$B$5</f>
        <v>95000</v>
      </c>
      <c r="Q22" s="514">
        <f>Q21*Norms!$B$5</f>
        <v>95000</v>
      </c>
      <c r="R22" s="545">
        <f>R21*Norms!$B$5</f>
        <v>95000</v>
      </c>
    </row>
    <row r="23" spans="1:18" ht="18" customHeight="1" x14ac:dyDescent="0.25">
      <c r="A23" s="526" t="s">
        <v>277</v>
      </c>
      <c r="B23" s="518" t="s">
        <v>25</v>
      </c>
      <c r="C23" s="518" t="s">
        <v>43</v>
      </c>
      <c r="D23" s="529">
        <f t="shared" ref="D23:R23" si="12">SUM(D24:D24)</f>
        <v>39.566294249999999</v>
      </c>
      <c r="E23" s="529">
        <f t="shared" si="12"/>
        <v>45.218622000000003</v>
      </c>
      <c r="F23" s="529">
        <f t="shared" si="12"/>
        <v>53.697113625</v>
      </c>
      <c r="G23" s="529">
        <f t="shared" si="12"/>
        <v>53.697113625</v>
      </c>
      <c r="H23" s="529">
        <f t="shared" si="12"/>
        <v>53.697113625</v>
      </c>
      <c r="I23" s="529">
        <f t="shared" si="12"/>
        <v>53.697113625</v>
      </c>
      <c r="J23" s="529">
        <f t="shared" si="12"/>
        <v>53.697113625</v>
      </c>
      <c r="K23" s="529">
        <f t="shared" si="12"/>
        <v>53.697113625</v>
      </c>
      <c r="L23" s="529">
        <f t="shared" si="12"/>
        <v>53.697113625</v>
      </c>
      <c r="M23" s="529">
        <f t="shared" si="12"/>
        <v>53.697113625</v>
      </c>
      <c r="N23" s="529">
        <f t="shared" si="12"/>
        <v>53.697113625</v>
      </c>
      <c r="O23" s="529">
        <f t="shared" si="12"/>
        <v>53.697113625</v>
      </c>
      <c r="P23" s="529">
        <f t="shared" si="12"/>
        <v>53.697113625</v>
      </c>
      <c r="Q23" s="529">
        <f t="shared" si="12"/>
        <v>53.697113625</v>
      </c>
      <c r="R23" s="550">
        <f t="shared" si="12"/>
        <v>53.697113625</v>
      </c>
    </row>
    <row r="24" spans="1:18" ht="16.5" customHeight="1" x14ac:dyDescent="0.25">
      <c r="A24" s="527" t="s">
        <v>133</v>
      </c>
      <c r="B24" s="528">
        <f>Norms!F6</f>
        <v>21300</v>
      </c>
      <c r="C24" s="528">
        <f>C7</f>
        <v>26536.75</v>
      </c>
      <c r="D24" s="520">
        <f>D22*Norms!$D$6*$C$24/10^7</f>
        <v>39.566294249999999</v>
      </c>
      <c r="E24" s="520">
        <f>E22*Norms!$D$6*$C$24/10^7</f>
        <v>45.218622000000003</v>
      </c>
      <c r="F24" s="520">
        <f>F22*Norms!$D$6*$C$24/10^7</f>
        <v>53.697113625</v>
      </c>
      <c r="G24" s="520">
        <f>G22*Norms!$D$6*$C$24/10^7</f>
        <v>53.697113625</v>
      </c>
      <c r="H24" s="520">
        <f>H22*Norms!$D$6*$C$24/10^7</f>
        <v>53.697113625</v>
      </c>
      <c r="I24" s="520">
        <f>I22*Norms!$D$6*$C$24/10^7</f>
        <v>53.697113625</v>
      </c>
      <c r="J24" s="520">
        <f>J22*Norms!$D$6*$C$24/10^7</f>
        <v>53.697113625</v>
      </c>
      <c r="K24" s="520">
        <f>K22*Norms!$D$6*$C$24/10^7</f>
        <v>53.697113625</v>
      </c>
      <c r="L24" s="520">
        <f>L22*Norms!$D$6*$C$24/10^7</f>
        <v>53.697113625</v>
      </c>
      <c r="M24" s="520">
        <f>M22*Norms!$D$6*$C$24/10^7</f>
        <v>53.697113625</v>
      </c>
      <c r="N24" s="520">
        <f>N22*Norms!$D$6*$C$24/10^7</f>
        <v>53.697113625</v>
      </c>
      <c r="O24" s="520">
        <f>O22*Norms!$D$6*$C$24/10^7</f>
        <v>53.697113625</v>
      </c>
      <c r="P24" s="520">
        <f>P22*Norms!$D$6*$C$24/10^7</f>
        <v>53.697113625</v>
      </c>
      <c r="Q24" s="520">
        <f>Q22*Norms!$D$6*$C$24/10^7</f>
        <v>53.697113625</v>
      </c>
      <c r="R24" s="368">
        <f>R22*Norms!$D$6*$C$24/10^7</f>
        <v>53.697113625</v>
      </c>
    </row>
    <row r="25" spans="1:18" x14ac:dyDescent="0.25">
      <c r="A25" s="695" t="s">
        <v>461</v>
      </c>
      <c r="B25" s="695"/>
      <c r="C25" s="695"/>
      <c r="D25" s="524">
        <f>+D23</f>
        <v>39.566294249999999</v>
      </c>
      <c r="E25" s="524">
        <f t="shared" ref="E25:R25" si="13">+E23</f>
        <v>45.218622000000003</v>
      </c>
      <c r="F25" s="524">
        <f t="shared" si="13"/>
        <v>53.697113625</v>
      </c>
      <c r="G25" s="524">
        <f t="shared" si="13"/>
        <v>53.697113625</v>
      </c>
      <c r="H25" s="524">
        <f t="shared" si="13"/>
        <v>53.697113625</v>
      </c>
      <c r="I25" s="524">
        <f t="shared" si="13"/>
        <v>53.697113625</v>
      </c>
      <c r="J25" s="524">
        <f t="shared" si="13"/>
        <v>53.697113625</v>
      </c>
      <c r="K25" s="524">
        <f t="shared" si="13"/>
        <v>53.697113625</v>
      </c>
      <c r="L25" s="524">
        <f t="shared" si="13"/>
        <v>53.697113625</v>
      </c>
      <c r="M25" s="524">
        <f t="shared" si="13"/>
        <v>53.697113625</v>
      </c>
      <c r="N25" s="524">
        <f t="shared" si="13"/>
        <v>53.697113625</v>
      </c>
      <c r="O25" s="524">
        <f t="shared" si="13"/>
        <v>53.697113625</v>
      </c>
      <c r="P25" s="524">
        <f t="shared" si="13"/>
        <v>53.697113625</v>
      </c>
      <c r="Q25" s="524">
        <f t="shared" si="13"/>
        <v>53.697113625</v>
      </c>
      <c r="R25" s="524">
        <f t="shared" si="13"/>
        <v>53.697113625</v>
      </c>
    </row>
    <row r="26" spans="1:18" x14ac:dyDescent="0.25">
      <c r="D26" s="675">
        <f>D18+D25</f>
        <v>141.3331581071875</v>
      </c>
      <c r="E26" s="92">
        <f>D26*100</f>
        <v>14133.31581071875</v>
      </c>
    </row>
    <row r="27" spans="1:18" x14ac:dyDescent="0.25">
      <c r="D27" s="92">
        <f>D26*10^7</f>
        <v>1413331581.0718751</v>
      </c>
    </row>
    <row r="28" spans="1:18" x14ac:dyDescent="0.25">
      <c r="D28" s="676">
        <f>D27/100000</f>
        <v>14133.31581071875</v>
      </c>
    </row>
  </sheetData>
  <mergeCells count="4">
    <mergeCell ref="A1:C2"/>
    <mergeCell ref="A19:C19"/>
    <mergeCell ref="A18:C18"/>
    <mergeCell ref="A25:C25"/>
  </mergeCells>
  <phoneticPr fontId="32"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R20"/>
  <sheetViews>
    <sheetView workbookViewId="0">
      <selection activeCell="E12" sqref="E12"/>
    </sheetView>
  </sheetViews>
  <sheetFormatPr defaultColWidth="9.140625" defaultRowHeight="12.75" x14ac:dyDescent="0.2"/>
  <cols>
    <col min="1" max="1" width="9.140625" style="605"/>
    <col min="2" max="2" width="34.85546875" style="605" customWidth="1"/>
    <col min="3" max="3" width="14.28515625" style="605" customWidth="1"/>
    <col min="4" max="16384" width="9.140625" style="605"/>
  </cols>
  <sheetData>
    <row r="1" spans="1:18" x14ac:dyDescent="0.2">
      <c r="B1" s="643" t="s">
        <v>554</v>
      </c>
    </row>
    <row r="2" spans="1:18" x14ac:dyDescent="0.2">
      <c r="A2" s="316" t="s">
        <v>402</v>
      </c>
      <c r="B2" s="644" t="s">
        <v>333</v>
      </c>
      <c r="C2" s="316" t="s">
        <v>547</v>
      </c>
      <c r="D2" s="316" t="s">
        <v>481</v>
      </c>
      <c r="E2" s="316" t="s">
        <v>482</v>
      </c>
      <c r="H2" s="645"/>
      <c r="I2" s="645"/>
      <c r="J2" s="645"/>
      <c r="K2" s="645"/>
      <c r="L2" s="645"/>
      <c r="M2" s="645"/>
      <c r="N2" s="645"/>
      <c r="O2" s="645"/>
      <c r="P2" s="645"/>
      <c r="Q2" s="645"/>
      <c r="R2" s="645"/>
    </row>
    <row r="3" spans="1:18" x14ac:dyDescent="0.2">
      <c r="A3" s="300">
        <v>1</v>
      </c>
      <c r="B3" s="646" t="s">
        <v>58</v>
      </c>
      <c r="C3" s="647">
        <f>Capex!B5</f>
        <v>440.73750000000001</v>
      </c>
      <c r="D3" s="648">
        <v>6.3299999999999995E-2</v>
      </c>
      <c r="E3" s="649">
        <v>0.15</v>
      </c>
      <c r="H3" s="645"/>
      <c r="I3" s="645"/>
      <c r="J3" s="645"/>
      <c r="K3" s="645"/>
      <c r="L3" s="645"/>
      <c r="M3" s="645"/>
      <c r="N3" s="645"/>
      <c r="O3" s="645"/>
      <c r="P3" s="645"/>
      <c r="Q3" s="645"/>
      <c r="R3" s="645"/>
    </row>
    <row r="4" spans="1:18" x14ac:dyDescent="0.2">
      <c r="A4" s="300">
        <v>2</v>
      </c>
      <c r="B4" s="301" t="s">
        <v>484</v>
      </c>
      <c r="C4" s="647">
        <f>Capex!B4</f>
        <v>8.254999999999999</v>
      </c>
      <c r="D4" s="648">
        <v>3.1699999999999999E-2</v>
      </c>
      <c r="E4" s="649">
        <v>0.1</v>
      </c>
      <c r="H4" s="645"/>
      <c r="I4" s="645"/>
      <c r="J4" s="645"/>
      <c r="K4" s="645"/>
      <c r="L4" s="645"/>
      <c r="M4" s="645"/>
      <c r="N4" s="645"/>
      <c r="O4" s="645"/>
      <c r="P4" s="645"/>
      <c r="Q4" s="645"/>
      <c r="R4" s="645"/>
    </row>
    <row r="5" spans="1:18" x14ac:dyDescent="0.2">
      <c r="A5" s="300">
        <v>3</v>
      </c>
      <c r="B5" s="301" t="s">
        <v>483</v>
      </c>
      <c r="C5" s="647">
        <f>Capex!B11-C3-C4</f>
        <v>136.79925000000009</v>
      </c>
      <c r="D5" s="648">
        <v>6.3299999999999995E-2</v>
      </c>
      <c r="E5" s="649">
        <v>0.15</v>
      </c>
      <c r="H5" s="645"/>
      <c r="I5" s="645" t="s">
        <v>249</v>
      </c>
      <c r="J5" s="645"/>
      <c r="K5" s="645"/>
      <c r="L5" s="645"/>
      <c r="M5" s="645"/>
      <c r="N5" s="645"/>
      <c r="O5" s="645"/>
      <c r="P5" s="645"/>
      <c r="Q5" s="645"/>
      <c r="R5" s="645"/>
    </row>
    <row r="6" spans="1:18" x14ac:dyDescent="0.2">
      <c r="A6" s="300">
        <v>4</v>
      </c>
      <c r="B6" s="650" t="s">
        <v>47</v>
      </c>
      <c r="C6" s="651">
        <f>SUM(C3:C5)</f>
        <v>585.79175000000009</v>
      </c>
      <c r="D6" s="645"/>
      <c r="E6" s="645"/>
      <c r="F6" s="645"/>
      <c r="G6" s="645"/>
      <c r="H6" s="645"/>
      <c r="I6" s="645"/>
      <c r="J6" s="645"/>
      <c r="K6" s="645"/>
      <c r="L6" s="645"/>
      <c r="M6" s="645"/>
      <c r="N6" s="645"/>
      <c r="O6" s="645"/>
      <c r="P6" s="645"/>
      <c r="Q6" s="645"/>
      <c r="R6" s="645"/>
    </row>
    <row r="7" spans="1:18" x14ac:dyDescent="0.2">
      <c r="A7" s="302"/>
      <c r="B7" s="652"/>
      <c r="C7" s="653"/>
      <c r="D7" s="303"/>
      <c r="E7" s="303"/>
      <c r="F7" s="303"/>
      <c r="G7" s="645"/>
      <c r="H7" s="645"/>
      <c r="I7" s="645"/>
      <c r="J7" s="645"/>
      <c r="K7" s="645"/>
      <c r="L7" s="645"/>
      <c r="M7" s="645"/>
      <c r="N7" s="645"/>
      <c r="O7" s="645"/>
      <c r="P7" s="645"/>
      <c r="Q7" s="645"/>
      <c r="R7" s="645"/>
    </row>
    <row r="8" spans="1:18" ht="15.75" x14ac:dyDescent="0.2">
      <c r="A8" s="696" t="s">
        <v>555</v>
      </c>
      <c r="B8" s="696"/>
      <c r="C8" s="696"/>
      <c r="D8" s="696"/>
      <c r="E8" s="696"/>
      <c r="F8" s="696"/>
      <c r="G8" s="696"/>
      <c r="H8" s="696"/>
      <c r="I8" s="696"/>
      <c r="J8" s="696"/>
      <c r="K8" s="696"/>
      <c r="L8" s="696"/>
      <c r="M8" s="696"/>
      <c r="N8" s="696"/>
      <c r="O8" s="696"/>
      <c r="P8" s="696"/>
      <c r="Q8" s="696"/>
      <c r="R8" s="696"/>
    </row>
    <row r="9" spans="1:18" s="643" customFormat="1" x14ac:dyDescent="0.2">
      <c r="A9" s="316" t="s">
        <v>402</v>
      </c>
      <c r="B9" s="316" t="s">
        <v>333</v>
      </c>
      <c r="C9" s="654" t="s">
        <v>446</v>
      </c>
      <c r="D9" s="654">
        <v>1</v>
      </c>
      <c r="E9" s="654">
        <v>2</v>
      </c>
      <c r="F9" s="654">
        <v>3</v>
      </c>
      <c r="G9" s="654">
        <v>4</v>
      </c>
      <c r="H9" s="654">
        <v>5</v>
      </c>
      <c r="I9" s="654">
        <v>6</v>
      </c>
      <c r="J9" s="654">
        <v>7</v>
      </c>
      <c r="K9" s="654">
        <v>8</v>
      </c>
      <c r="L9" s="654">
        <v>9</v>
      </c>
      <c r="M9" s="654">
        <v>10</v>
      </c>
      <c r="N9" s="654">
        <v>11</v>
      </c>
      <c r="O9" s="654">
        <v>12</v>
      </c>
      <c r="P9" s="654">
        <v>13</v>
      </c>
      <c r="Q9" s="654">
        <v>14</v>
      </c>
      <c r="R9" s="654">
        <v>15</v>
      </c>
    </row>
    <row r="10" spans="1:18" x14ac:dyDescent="0.2">
      <c r="A10" s="655">
        <v>1</v>
      </c>
      <c r="B10" s="656" t="str">
        <f>B3</f>
        <v>Plant &amp; Machinery</v>
      </c>
      <c r="C10" s="316" t="s">
        <v>547</v>
      </c>
      <c r="D10" s="657">
        <f>$C$3*$D$3</f>
        <v>27.89868375</v>
      </c>
      <c r="E10" s="657">
        <f t="shared" ref="E10:R10" si="0">$C$3*$D$3</f>
        <v>27.89868375</v>
      </c>
      <c r="F10" s="657">
        <f t="shared" si="0"/>
        <v>27.89868375</v>
      </c>
      <c r="G10" s="657">
        <f t="shared" si="0"/>
        <v>27.89868375</v>
      </c>
      <c r="H10" s="657">
        <f t="shared" si="0"/>
        <v>27.89868375</v>
      </c>
      <c r="I10" s="657">
        <f t="shared" si="0"/>
        <v>27.89868375</v>
      </c>
      <c r="J10" s="657">
        <f t="shared" si="0"/>
        <v>27.89868375</v>
      </c>
      <c r="K10" s="657">
        <f t="shared" si="0"/>
        <v>27.89868375</v>
      </c>
      <c r="L10" s="657">
        <f t="shared" si="0"/>
        <v>27.89868375</v>
      </c>
      <c r="M10" s="657">
        <f t="shared" si="0"/>
        <v>27.89868375</v>
      </c>
      <c r="N10" s="657">
        <f t="shared" si="0"/>
        <v>27.89868375</v>
      </c>
      <c r="O10" s="657">
        <f t="shared" si="0"/>
        <v>27.89868375</v>
      </c>
      <c r="P10" s="657">
        <f t="shared" si="0"/>
        <v>27.89868375</v>
      </c>
      <c r="Q10" s="657">
        <f t="shared" si="0"/>
        <v>27.89868375</v>
      </c>
      <c r="R10" s="657">
        <f t="shared" si="0"/>
        <v>27.89868375</v>
      </c>
    </row>
    <row r="11" spans="1:18" x14ac:dyDescent="0.2">
      <c r="A11" s="655">
        <v>2</v>
      </c>
      <c r="B11" s="656" t="str">
        <f>B4</f>
        <v>Civil Works-building &amp; site development</v>
      </c>
      <c r="C11" s="658" t="str">
        <f>C10</f>
        <v>INR Cr</v>
      </c>
      <c r="D11" s="657">
        <f>$C$4*$D$4</f>
        <v>0.26168349999999996</v>
      </c>
      <c r="E11" s="657">
        <f t="shared" ref="E11:R11" si="1">$C$4*$D$4</f>
        <v>0.26168349999999996</v>
      </c>
      <c r="F11" s="657">
        <f t="shared" si="1"/>
        <v>0.26168349999999996</v>
      </c>
      <c r="G11" s="657">
        <f t="shared" si="1"/>
        <v>0.26168349999999996</v>
      </c>
      <c r="H11" s="657">
        <f t="shared" si="1"/>
        <v>0.26168349999999996</v>
      </c>
      <c r="I11" s="657">
        <f t="shared" si="1"/>
        <v>0.26168349999999996</v>
      </c>
      <c r="J11" s="657">
        <f t="shared" si="1"/>
        <v>0.26168349999999996</v>
      </c>
      <c r="K11" s="657">
        <f t="shared" si="1"/>
        <v>0.26168349999999996</v>
      </c>
      <c r="L11" s="657">
        <f t="shared" si="1"/>
        <v>0.26168349999999996</v>
      </c>
      <c r="M11" s="657">
        <f t="shared" si="1"/>
        <v>0.26168349999999996</v>
      </c>
      <c r="N11" s="657">
        <f t="shared" si="1"/>
        <v>0.26168349999999996</v>
      </c>
      <c r="O11" s="657">
        <f t="shared" si="1"/>
        <v>0.26168349999999996</v>
      </c>
      <c r="P11" s="657">
        <f t="shared" si="1"/>
        <v>0.26168349999999996</v>
      </c>
      <c r="Q11" s="657">
        <f t="shared" si="1"/>
        <v>0.26168349999999996</v>
      </c>
      <c r="R11" s="657">
        <f t="shared" si="1"/>
        <v>0.26168349999999996</v>
      </c>
    </row>
    <row r="12" spans="1:18" x14ac:dyDescent="0.2">
      <c r="A12" s="655">
        <v>3</v>
      </c>
      <c r="B12" s="656" t="str">
        <f>B5</f>
        <v>Miscellaneous</v>
      </c>
      <c r="C12" s="659" t="str">
        <f>C10</f>
        <v>INR Cr</v>
      </c>
      <c r="D12" s="657">
        <f>$C$5*$D$5</f>
        <v>8.6593925250000048</v>
      </c>
      <c r="E12" s="657">
        <f t="shared" ref="E12:R12" si="2">$C$5*$D$5</f>
        <v>8.6593925250000048</v>
      </c>
      <c r="F12" s="657">
        <f t="shared" si="2"/>
        <v>8.6593925250000048</v>
      </c>
      <c r="G12" s="657">
        <f t="shared" si="2"/>
        <v>8.6593925250000048</v>
      </c>
      <c r="H12" s="657">
        <f t="shared" si="2"/>
        <v>8.6593925250000048</v>
      </c>
      <c r="I12" s="657">
        <f t="shared" si="2"/>
        <v>8.6593925250000048</v>
      </c>
      <c r="J12" s="657">
        <f t="shared" si="2"/>
        <v>8.6593925250000048</v>
      </c>
      <c r="K12" s="657">
        <f t="shared" si="2"/>
        <v>8.6593925250000048</v>
      </c>
      <c r="L12" s="657">
        <f t="shared" si="2"/>
        <v>8.6593925250000048</v>
      </c>
      <c r="M12" s="657">
        <f t="shared" si="2"/>
        <v>8.6593925250000048</v>
      </c>
      <c r="N12" s="657">
        <f t="shared" si="2"/>
        <v>8.6593925250000048</v>
      </c>
      <c r="O12" s="657">
        <f t="shared" si="2"/>
        <v>8.6593925250000048</v>
      </c>
      <c r="P12" s="657">
        <f t="shared" si="2"/>
        <v>8.6593925250000048</v>
      </c>
      <c r="Q12" s="657">
        <f t="shared" si="2"/>
        <v>8.6593925250000048</v>
      </c>
      <c r="R12" s="657">
        <f t="shared" si="2"/>
        <v>8.6593925250000048</v>
      </c>
    </row>
    <row r="13" spans="1:18" s="643" customFormat="1" x14ac:dyDescent="0.2">
      <c r="A13" s="654">
        <v>4</v>
      </c>
      <c r="B13" s="660" t="s">
        <v>485</v>
      </c>
      <c r="C13" s="654" t="str">
        <f>C10</f>
        <v>INR Cr</v>
      </c>
      <c r="D13" s="661">
        <f>SUM(D10:D12)</f>
        <v>36.819759775000009</v>
      </c>
      <c r="E13" s="661">
        <f t="shared" ref="E13:R13" si="3">SUM(E10:E12)</f>
        <v>36.819759775000009</v>
      </c>
      <c r="F13" s="661">
        <f t="shared" si="3"/>
        <v>36.819759775000009</v>
      </c>
      <c r="G13" s="661">
        <f t="shared" si="3"/>
        <v>36.819759775000009</v>
      </c>
      <c r="H13" s="661">
        <f t="shared" si="3"/>
        <v>36.819759775000009</v>
      </c>
      <c r="I13" s="661">
        <f t="shared" si="3"/>
        <v>36.819759775000009</v>
      </c>
      <c r="J13" s="661">
        <f t="shared" si="3"/>
        <v>36.819759775000009</v>
      </c>
      <c r="K13" s="661">
        <f t="shared" si="3"/>
        <v>36.819759775000009</v>
      </c>
      <c r="L13" s="661">
        <f t="shared" si="3"/>
        <v>36.819759775000009</v>
      </c>
      <c r="M13" s="661">
        <f t="shared" si="3"/>
        <v>36.819759775000009</v>
      </c>
      <c r="N13" s="661">
        <f t="shared" si="3"/>
        <v>36.819759775000009</v>
      </c>
      <c r="O13" s="661">
        <f t="shared" si="3"/>
        <v>36.819759775000009</v>
      </c>
      <c r="P13" s="661">
        <f t="shared" si="3"/>
        <v>36.819759775000009</v>
      </c>
      <c r="Q13" s="661">
        <f t="shared" si="3"/>
        <v>36.819759775000009</v>
      </c>
      <c r="R13" s="661">
        <f t="shared" si="3"/>
        <v>36.819759775000009</v>
      </c>
    </row>
    <row r="14" spans="1:18" x14ac:dyDescent="0.2">
      <c r="A14" s="655"/>
      <c r="B14" s="645"/>
      <c r="C14" s="645"/>
      <c r="D14" s="645"/>
      <c r="E14" s="645"/>
      <c r="F14" s="645"/>
      <c r="G14" s="645"/>
      <c r="H14" s="645"/>
      <c r="I14" s="645"/>
      <c r="J14" s="645"/>
      <c r="K14" s="645"/>
      <c r="L14" s="645"/>
      <c r="M14" s="645"/>
      <c r="N14" s="645"/>
      <c r="O14" s="645"/>
      <c r="P14" s="645"/>
      <c r="Q14" s="645"/>
      <c r="R14" s="645"/>
    </row>
    <row r="15" spans="1:18" ht="15.75" x14ac:dyDescent="0.2">
      <c r="A15" s="696" t="s">
        <v>556</v>
      </c>
      <c r="B15" s="696"/>
      <c r="C15" s="696"/>
      <c r="D15" s="696"/>
      <c r="E15" s="696"/>
      <c r="F15" s="696"/>
      <c r="G15" s="696"/>
      <c r="H15" s="696"/>
      <c r="I15" s="696"/>
      <c r="J15" s="696"/>
      <c r="K15" s="696"/>
      <c r="L15" s="696"/>
      <c r="M15" s="696"/>
      <c r="N15" s="696"/>
      <c r="O15" s="696"/>
      <c r="P15" s="696"/>
      <c r="Q15" s="696"/>
      <c r="R15" s="696"/>
    </row>
    <row r="16" spans="1:18" s="643" customFormat="1" x14ac:dyDescent="0.2">
      <c r="A16" s="316" t="s">
        <v>402</v>
      </c>
      <c r="B16" s="316" t="s">
        <v>333</v>
      </c>
      <c r="C16" s="654" t="s">
        <v>446</v>
      </c>
      <c r="D16" s="654">
        <v>1</v>
      </c>
      <c r="E16" s="654">
        <v>2</v>
      </c>
      <c r="F16" s="654">
        <v>3</v>
      </c>
      <c r="G16" s="654">
        <v>4</v>
      </c>
      <c r="H16" s="654">
        <v>5</v>
      </c>
      <c r="I16" s="654">
        <v>6</v>
      </c>
      <c r="J16" s="654">
        <v>7</v>
      </c>
      <c r="K16" s="654">
        <v>8</v>
      </c>
      <c r="L16" s="654">
        <v>9</v>
      </c>
      <c r="M16" s="654">
        <v>10</v>
      </c>
      <c r="N16" s="654">
        <v>11</v>
      </c>
      <c r="O16" s="654">
        <v>12</v>
      </c>
      <c r="P16" s="654">
        <v>13</v>
      </c>
      <c r="Q16" s="654">
        <v>14</v>
      </c>
      <c r="R16" s="654">
        <v>15</v>
      </c>
    </row>
    <row r="17" spans="1:18" x14ac:dyDescent="0.2">
      <c r="A17" s="655">
        <v>1</v>
      </c>
      <c r="B17" s="656" t="str">
        <f>B10</f>
        <v>Plant &amp; Machinery</v>
      </c>
      <c r="C17" s="662" t="str">
        <f>C10</f>
        <v>INR Cr</v>
      </c>
      <c r="D17" s="663">
        <f>$C$3*$E$3</f>
        <v>66.110624999999999</v>
      </c>
      <c r="E17" s="663">
        <f>($C$3-SUM($D$17:D17))*$E$3</f>
        <v>56.194031250000002</v>
      </c>
      <c r="F17" s="663">
        <f>($C$3-SUM($D$17:E17))*$E$3</f>
        <v>47.764926562500001</v>
      </c>
      <c r="G17" s="663">
        <f>($C$3-SUM($D$17:F17))*$E$3</f>
        <v>40.600187578125009</v>
      </c>
      <c r="H17" s="663">
        <f>($C$3-SUM($D$17:G17))*$E$3</f>
        <v>34.510159441406252</v>
      </c>
      <c r="I17" s="663">
        <f>($C$3-SUM($D$17:H17))*$E$3</f>
        <v>29.333635525195316</v>
      </c>
      <c r="J17" s="663">
        <f>($C$3-SUM($D$17:I17))*$E$3</f>
        <v>24.933590196416024</v>
      </c>
      <c r="K17" s="663">
        <f>($C$3-SUM($D$17:J17))*$E$3</f>
        <v>21.193551666953613</v>
      </c>
      <c r="L17" s="663">
        <f>($C$3-SUM($D$17:K17))*$E$3</f>
        <v>18.014518916910571</v>
      </c>
      <c r="M17" s="663">
        <f>($C$3-SUM($D$17:L17))*$E$3</f>
        <v>15.312341079373986</v>
      </c>
      <c r="N17" s="663">
        <f>($C$3-SUM($D$17:M17))*$E$3</f>
        <v>13.015489917467889</v>
      </c>
      <c r="O17" s="663">
        <f>($C$3-SUM($D$17:N17))*$E$3</f>
        <v>11.063166429847703</v>
      </c>
      <c r="P17" s="663">
        <f>($C$3-SUM($D$17:O17))*$E$3</f>
        <v>9.4036914653705512</v>
      </c>
      <c r="Q17" s="663">
        <f>($C$3-SUM($D$17:P17))*$E$3</f>
        <v>7.9931377455649653</v>
      </c>
      <c r="R17" s="663">
        <f>($C$3-SUM($D$17:Q17))*$E$3</f>
        <v>6.7941670837302182</v>
      </c>
    </row>
    <row r="18" spans="1:18" x14ac:dyDescent="0.2">
      <c r="A18" s="655">
        <v>2</v>
      </c>
      <c r="B18" s="656" t="str">
        <f>B11</f>
        <v>Civil Works-building &amp; site development</v>
      </c>
      <c r="C18" s="658" t="str">
        <f>C17</f>
        <v>INR Cr</v>
      </c>
      <c r="D18" s="663">
        <f>$C$4*$E$4</f>
        <v>0.8254999999999999</v>
      </c>
      <c r="E18" s="663">
        <f>($C$4-SUM($D$18:D18))*$E$4</f>
        <v>0.74295</v>
      </c>
      <c r="F18" s="663">
        <f>($C$4-SUM($D$18:E18))*$E$4</f>
        <v>0.66865499999999989</v>
      </c>
      <c r="G18" s="663">
        <f>($C$4-SUM($D$18:F18))*$E$4</f>
        <v>0.60178949999999998</v>
      </c>
      <c r="H18" s="663">
        <f>($C$4-SUM($D$18:G18))*$E$4</f>
        <v>0.54161055000000002</v>
      </c>
      <c r="I18" s="663">
        <f>($C$4-SUM($D$18:H18))*$E$4</f>
        <v>0.4874494949999999</v>
      </c>
      <c r="J18" s="663">
        <f>($C$4-SUM($D$18:I18))*$E$4</f>
        <v>0.43870454549999993</v>
      </c>
      <c r="K18" s="663">
        <f>($C$4-SUM($D$18:J18))*$E$4</f>
        <v>0.39483409094999999</v>
      </c>
      <c r="L18" s="663">
        <f>($C$4-SUM($D$18:K18))*$E$4</f>
        <v>0.35535068185500002</v>
      </c>
      <c r="M18" s="663">
        <f>($C$4-SUM($D$18:L18))*$E$4</f>
        <v>0.31981561366950007</v>
      </c>
      <c r="N18" s="663">
        <f>($C$4-SUM($D$18:M18))*$E$4</f>
        <v>0.28783405230254999</v>
      </c>
      <c r="O18" s="663">
        <f>($C$4-SUM($D$18:N18))*$E$4</f>
        <v>0.25905064707229503</v>
      </c>
      <c r="P18" s="663">
        <f>($C$4-SUM($D$18:O18))*$E$4</f>
        <v>0.23314558236506555</v>
      </c>
      <c r="Q18" s="663">
        <f>($C$4-SUM($D$18:P18))*$E$4</f>
        <v>0.20983102412855895</v>
      </c>
      <c r="R18" s="663">
        <f>($C$4-SUM($D$18:Q18))*$E$4</f>
        <v>0.18884792171570305</v>
      </c>
    </row>
    <row r="19" spans="1:18" x14ac:dyDescent="0.2">
      <c r="A19" s="655">
        <v>3</v>
      </c>
      <c r="B19" s="656" t="str">
        <f>B12</f>
        <v>Miscellaneous</v>
      </c>
      <c r="C19" s="659" t="str">
        <f>C17</f>
        <v>INR Cr</v>
      </c>
      <c r="D19" s="663">
        <f>$C$5*$E$5</f>
        <v>20.519887500000014</v>
      </c>
      <c r="E19" s="663">
        <f>($C$5-SUM($D$19:D19))*$E$5</f>
        <v>17.441904375000011</v>
      </c>
      <c r="F19" s="663">
        <f>($C$5-SUM($D$19:E19))*$E$5</f>
        <v>14.825618718750009</v>
      </c>
      <c r="G19" s="663">
        <f>($C$5-SUM($D$19:F19))*$E$5</f>
        <v>12.601775910937508</v>
      </c>
      <c r="H19" s="663">
        <f>($C$5-SUM($D$19:G19))*$E$5</f>
        <v>10.711509524296881</v>
      </c>
      <c r="I19" s="663">
        <f>($C$5-SUM($D$19:H19))*$E$5</f>
        <v>9.1047830956523477</v>
      </c>
      <c r="J19" s="663">
        <f>($C$5-SUM($D$19:I19))*$E$5</f>
        <v>7.739065631304495</v>
      </c>
      <c r="K19" s="663">
        <f>($C$5-SUM($D$19:J19))*$E$5</f>
        <v>6.5782057866088204</v>
      </c>
      <c r="L19" s="663">
        <f>($C$5-SUM($D$19:K19))*$E$5</f>
        <v>5.5914749186174975</v>
      </c>
      <c r="M19" s="663">
        <f>($C$5-SUM($D$19:L19))*$E$5</f>
        <v>4.752753680824874</v>
      </c>
      <c r="N19" s="663">
        <f>($C$5-SUM($D$19:M19))*$E$5</f>
        <v>4.0398406287011435</v>
      </c>
      <c r="O19" s="663">
        <f>($C$5-SUM($D$19:N19))*$E$5</f>
        <v>3.4338645343959726</v>
      </c>
      <c r="P19" s="663">
        <f>($C$5-SUM($D$19:O19))*$E$5</f>
        <v>2.9187848542365757</v>
      </c>
      <c r="Q19" s="663">
        <f>($C$5-SUM($D$19:P19))*$E$5</f>
        <v>2.4809671261010888</v>
      </c>
      <c r="R19" s="663">
        <f>($C$5-SUM($D$19:Q19))*$E$5</f>
        <v>2.1088220571859253</v>
      </c>
    </row>
    <row r="20" spans="1:18" s="643" customFormat="1" x14ac:dyDescent="0.2">
      <c r="A20" s="654">
        <v>4</v>
      </c>
      <c r="B20" s="660" t="s">
        <v>557</v>
      </c>
      <c r="C20" s="664" t="str">
        <f>C17</f>
        <v>INR Cr</v>
      </c>
      <c r="D20" s="661">
        <f>SUM(D17:D19)</f>
        <v>87.456012500000014</v>
      </c>
      <c r="E20" s="661">
        <f t="shared" ref="E20:O20" si="4">SUM(E17:E19)</f>
        <v>74.378885625000009</v>
      </c>
      <c r="F20" s="661">
        <f t="shared" si="4"/>
        <v>63.25920028125001</v>
      </c>
      <c r="G20" s="661">
        <f t="shared" si="4"/>
        <v>53.803752989062517</v>
      </c>
      <c r="H20" s="661">
        <f t="shared" si="4"/>
        <v>45.763279515703132</v>
      </c>
      <c r="I20" s="661">
        <f t="shared" si="4"/>
        <v>38.925868115847663</v>
      </c>
      <c r="J20" s="661">
        <f t="shared" si="4"/>
        <v>33.111360373220521</v>
      </c>
      <c r="K20" s="661">
        <f t="shared" si="4"/>
        <v>28.166591544512432</v>
      </c>
      <c r="L20" s="661">
        <f t="shared" si="4"/>
        <v>23.961344517383068</v>
      </c>
      <c r="M20" s="661">
        <f t="shared" si="4"/>
        <v>20.384910373868358</v>
      </c>
      <c r="N20" s="661">
        <f t="shared" si="4"/>
        <v>17.343164598471581</v>
      </c>
      <c r="O20" s="661">
        <f t="shared" si="4"/>
        <v>14.75608161131597</v>
      </c>
      <c r="P20" s="661">
        <f>SUM(P17:P19)</f>
        <v>12.555621901972192</v>
      </c>
      <c r="Q20" s="661">
        <f t="shared" ref="Q20" si="5">SUM(Q17:Q19)</f>
        <v>10.683935895794612</v>
      </c>
      <c r="R20" s="661">
        <f t="shared" ref="R20" si="6">SUM(R17:R19)</f>
        <v>9.0918370626318463</v>
      </c>
    </row>
  </sheetData>
  <mergeCells count="2">
    <mergeCell ref="A8:R8"/>
    <mergeCell ref="A15:R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G32"/>
  <sheetViews>
    <sheetView workbookViewId="0">
      <selection activeCell="D16" sqref="D16"/>
    </sheetView>
  </sheetViews>
  <sheetFormatPr defaultColWidth="9.140625" defaultRowHeight="12.75" x14ac:dyDescent="0.25"/>
  <cols>
    <col min="1" max="1" width="9.140625" style="303"/>
    <col min="2" max="2" width="35.28515625" style="303" customWidth="1"/>
    <col min="3" max="18" width="10.7109375" style="303" customWidth="1"/>
    <col min="19" max="19" width="9.140625" style="303"/>
    <col min="20" max="32" width="9.140625" style="373"/>
    <col min="33" max="16384" width="9.140625" style="303"/>
  </cols>
  <sheetData>
    <row r="1" spans="1:33" x14ac:dyDescent="0.25">
      <c r="B1" s="472" t="s">
        <v>566</v>
      </c>
      <c r="C1" s="472" t="s">
        <v>567</v>
      </c>
    </row>
    <row r="2" spans="1:33" x14ac:dyDescent="0.25">
      <c r="B2" s="301" t="s">
        <v>331</v>
      </c>
      <c r="C2" s="673">
        <v>0.18</v>
      </c>
      <c r="D2" s="499"/>
    </row>
    <row r="3" spans="1:33" x14ac:dyDescent="0.25">
      <c r="B3" s="301" t="s">
        <v>58</v>
      </c>
      <c r="C3" s="673">
        <v>0.18</v>
      </c>
      <c r="D3" s="476"/>
      <c r="E3" s="476"/>
      <c r="F3" s="477"/>
      <c r="G3" s="476"/>
      <c r="H3" s="476"/>
      <c r="I3" s="476"/>
      <c r="J3" s="476"/>
      <c r="K3" s="476"/>
      <c r="L3" s="476"/>
      <c r="M3" s="476"/>
      <c r="N3" s="476"/>
      <c r="O3" s="476"/>
      <c r="P3" s="476"/>
      <c r="Q3" s="476"/>
      <c r="R3" s="476"/>
    </row>
    <row r="4" spans="1:33" x14ac:dyDescent="0.25">
      <c r="B4" s="301"/>
      <c r="C4" s="301"/>
      <c r="D4" s="476"/>
      <c r="E4" s="476"/>
      <c r="F4" s="477"/>
      <c r="G4" s="476"/>
      <c r="H4" s="476"/>
      <c r="I4" s="476"/>
      <c r="J4" s="476"/>
      <c r="K4" s="476"/>
      <c r="L4" s="476"/>
      <c r="M4" s="476"/>
      <c r="N4" s="476"/>
      <c r="O4" s="476"/>
      <c r="P4" s="476"/>
      <c r="Q4" s="476"/>
      <c r="R4" s="476"/>
    </row>
    <row r="5" spans="1:33" x14ac:dyDescent="0.25">
      <c r="B5" s="472" t="s">
        <v>568</v>
      </c>
      <c r="C5" s="301"/>
      <c r="D5" s="476"/>
      <c r="E5" s="476"/>
      <c r="F5" s="477"/>
      <c r="G5" s="476"/>
      <c r="H5" s="476"/>
      <c r="I5" s="476"/>
      <c r="J5" s="476"/>
      <c r="K5" s="476"/>
      <c r="L5" s="476"/>
      <c r="M5" s="476"/>
      <c r="N5" s="476"/>
      <c r="O5" s="476"/>
      <c r="P5" s="476"/>
      <c r="Q5" s="476"/>
      <c r="R5" s="476"/>
    </row>
    <row r="6" spans="1:33" x14ac:dyDescent="0.25">
      <c r="B6" s="301" t="s">
        <v>569</v>
      </c>
      <c r="C6" s="673">
        <v>0.05</v>
      </c>
      <c r="D6" s="476"/>
      <c r="E6" s="476"/>
      <c r="F6" s="477"/>
      <c r="G6" s="476"/>
      <c r="H6" s="476"/>
      <c r="I6" s="476"/>
      <c r="J6" s="476"/>
      <c r="K6" s="476"/>
      <c r="L6" s="476"/>
      <c r="M6" s="476"/>
      <c r="N6" s="476"/>
      <c r="O6" s="476"/>
      <c r="P6" s="476"/>
      <c r="Q6" s="476"/>
      <c r="R6" s="476"/>
    </row>
    <row r="7" spans="1:33" x14ac:dyDescent="0.25">
      <c r="B7" s="301" t="s">
        <v>139</v>
      </c>
      <c r="C7" s="673">
        <v>0.05</v>
      </c>
      <c r="D7" s="476"/>
      <c r="E7" s="476"/>
      <c r="F7" s="477"/>
      <c r="G7" s="476"/>
      <c r="H7" s="476"/>
      <c r="I7" s="476"/>
      <c r="J7" s="476"/>
      <c r="K7" s="476"/>
      <c r="L7" s="476"/>
      <c r="M7" s="476"/>
      <c r="N7" s="476"/>
      <c r="O7" s="476"/>
      <c r="P7" s="476"/>
      <c r="Q7" s="476"/>
      <c r="R7" s="476"/>
    </row>
    <row r="8" spans="1:33" x14ac:dyDescent="0.25">
      <c r="D8" s="476"/>
      <c r="E8" s="476"/>
      <c r="F8" s="477"/>
      <c r="G8" s="476"/>
      <c r="H8" s="476"/>
      <c r="I8" s="476"/>
      <c r="J8" s="476"/>
      <c r="K8" s="476"/>
      <c r="L8" s="476"/>
      <c r="M8" s="476"/>
      <c r="N8" s="476"/>
      <c r="O8" s="476"/>
      <c r="P8" s="476"/>
      <c r="Q8" s="476"/>
      <c r="R8" s="476"/>
    </row>
    <row r="9" spans="1:33" ht="15.75" x14ac:dyDescent="0.25">
      <c r="A9" s="301"/>
      <c r="B9" s="696" t="s">
        <v>565</v>
      </c>
      <c r="C9" s="696"/>
      <c r="D9" s="696"/>
      <c r="E9" s="696"/>
      <c r="F9" s="696"/>
      <c r="G9" s="696"/>
      <c r="H9" s="696"/>
      <c r="I9" s="696"/>
      <c r="J9" s="696"/>
      <c r="K9" s="696"/>
      <c r="L9" s="696"/>
      <c r="M9" s="696"/>
      <c r="N9" s="696"/>
      <c r="O9" s="696"/>
      <c r="P9" s="696"/>
      <c r="Q9" s="696"/>
      <c r="R9" s="696"/>
    </row>
    <row r="10" spans="1:33" s="470" customFormat="1" ht="20.100000000000001" customHeight="1" x14ac:dyDescent="0.25">
      <c r="A10" s="470" t="s">
        <v>402</v>
      </c>
      <c r="B10" s="496" t="s">
        <v>560</v>
      </c>
      <c r="C10" s="497" t="s">
        <v>446</v>
      </c>
      <c r="D10" s="498">
        <v>1</v>
      </c>
      <c r="E10" s="498">
        <v>2</v>
      </c>
      <c r="F10" s="498">
        <v>3</v>
      </c>
      <c r="G10" s="498">
        <v>4</v>
      </c>
      <c r="H10" s="498">
        <v>5</v>
      </c>
      <c r="I10" s="498">
        <v>6</v>
      </c>
      <c r="J10" s="498">
        <v>7</v>
      </c>
      <c r="K10" s="498">
        <v>8</v>
      </c>
      <c r="L10" s="498">
        <v>9</v>
      </c>
      <c r="M10" s="498">
        <v>10</v>
      </c>
      <c r="N10" s="498">
        <v>11</v>
      </c>
      <c r="O10" s="498">
        <v>12</v>
      </c>
      <c r="P10" s="498">
        <v>13</v>
      </c>
      <c r="Q10" s="498">
        <v>14</v>
      </c>
      <c r="R10" s="498">
        <v>15</v>
      </c>
      <c r="S10" s="493"/>
      <c r="T10" s="489"/>
      <c r="U10" s="489"/>
      <c r="V10" s="489"/>
      <c r="W10" s="489"/>
      <c r="X10" s="489"/>
      <c r="Y10" s="489"/>
      <c r="Z10" s="489"/>
      <c r="AA10" s="489"/>
      <c r="AB10" s="489"/>
      <c r="AC10" s="489"/>
      <c r="AD10" s="489"/>
      <c r="AE10" s="489"/>
      <c r="AF10" s="489"/>
      <c r="AG10" s="494"/>
    </row>
    <row r="11" spans="1:33" s="373" customFormat="1" ht="20.100000000000001" customHeight="1" x14ac:dyDescent="0.25">
      <c r="A11" s="354">
        <v>1</v>
      </c>
      <c r="B11" s="389" t="s">
        <v>331</v>
      </c>
      <c r="C11" s="354" t="s">
        <v>547</v>
      </c>
      <c r="D11" s="487">
        <f>Opex!D7*$C$2</f>
        <v>7.9306735921874969</v>
      </c>
      <c r="E11" s="487">
        <f>Opex!E7*$C$2</f>
        <v>9.063626962499999</v>
      </c>
      <c r="F11" s="487">
        <f>Opex!F7*$C$2</f>
        <v>10.76305701796875</v>
      </c>
      <c r="G11" s="487">
        <f>Opex!G7*$C$2</f>
        <v>10.76305701796875</v>
      </c>
      <c r="H11" s="487">
        <f>Opex!H7*$C$2</f>
        <v>10.76305701796875</v>
      </c>
      <c r="I11" s="487">
        <f>Opex!I7*$C$2</f>
        <v>10.76305701796875</v>
      </c>
      <c r="J11" s="487">
        <f>Opex!J7*$C$2</f>
        <v>10.76305701796875</v>
      </c>
      <c r="K11" s="487">
        <f>Opex!K7*$C$2</f>
        <v>10.76305701796875</v>
      </c>
      <c r="L11" s="487">
        <f>Opex!L7*$C$2</f>
        <v>10.76305701796875</v>
      </c>
      <c r="M11" s="487">
        <f>Opex!M7*$C$2</f>
        <v>10.76305701796875</v>
      </c>
      <c r="N11" s="487">
        <f>Opex!N7*$C$2</f>
        <v>10.76305701796875</v>
      </c>
      <c r="O11" s="487">
        <f>Opex!O7*$C$2</f>
        <v>10.76305701796875</v>
      </c>
      <c r="P11" s="487">
        <f>Opex!P7*$C$2</f>
        <v>10.76305701796875</v>
      </c>
      <c r="Q11" s="487">
        <f>Opex!Q7*$C$2</f>
        <v>10.76305701796875</v>
      </c>
      <c r="R11" s="487">
        <f>Opex!R7*$C$2</f>
        <v>10.76305701796875</v>
      </c>
    </row>
    <row r="12" spans="1:33" s="489" customFormat="1" ht="20.100000000000001" customHeight="1" x14ac:dyDescent="0.25">
      <c r="A12" s="381">
        <v>2</v>
      </c>
      <c r="B12" s="470" t="s">
        <v>561</v>
      </c>
      <c r="C12" s="348" t="s">
        <v>547</v>
      </c>
      <c r="D12" s="488">
        <f t="shared" ref="D12:R12" si="0">SUM(D11:D11)</f>
        <v>7.9306735921874969</v>
      </c>
      <c r="E12" s="488">
        <f t="shared" si="0"/>
        <v>9.063626962499999</v>
      </c>
      <c r="F12" s="488">
        <f t="shared" si="0"/>
        <v>10.76305701796875</v>
      </c>
      <c r="G12" s="488">
        <f t="shared" si="0"/>
        <v>10.76305701796875</v>
      </c>
      <c r="H12" s="488">
        <f t="shared" si="0"/>
        <v>10.76305701796875</v>
      </c>
      <c r="I12" s="488">
        <f t="shared" si="0"/>
        <v>10.76305701796875</v>
      </c>
      <c r="J12" s="488">
        <f t="shared" si="0"/>
        <v>10.76305701796875</v>
      </c>
      <c r="K12" s="488">
        <f t="shared" si="0"/>
        <v>10.76305701796875</v>
      </c>
      <c r="L12" s="488">
        <f t="shared" si="0"/>
        <v>10.76305701796875</v>
      </c>
      <c r="M12" s="488">
        <f t="shared" si="0"/>
        <v>10.76305701796875</v>
      </c>
      <c r="N12" s="488">
        <f t="shared" si="0"/>
        <v>10.76305701796875</v>
      </c>
      <c r="O12" s="488">
        <f t="shared" si="0"/>
        <v>10.76305701796875</v>
      </c>
      <c r="P12" s="488">
        <f t="shared" si="0"/>
        <v>10.76305701796875</v>
      </c>
      <c r="Q12" s="488">
        <f t="shared" si="0"/>
        <v>10.76305701796875</v>
      </c>
      <c r="R12" s="488">
        <f t="shared" si="0"/>
        <v>10.76305701796875</v>
      </c>
    </row>
    <row r="13" spans="1:33" s="373" customFormat="1" ht="20.100000000000001" customHeight="1" x14ac:dyDescent="0.25">
      <c r="B13" s="490"/>
      <c r="D13" s="491"/>
      <c r="E13" s="491"/>
      <c r="F13" s="491"/>
      <c r="G13" s="491"/>
      <c r="H13" s="491"/>
      <c r="I13" s="491"/>
      <c r="J13" s="491"/>
      <c r="K13" s="491"/>
      <c r="L13" s="491"/>
      <c r="M13" s="491"/>
      <c r="N13" s="491"/>
      <c r="O13" s="491"/>
      <c r="P13" s="491"/>
      <c r="Q13" s="491"/>
      <c r="R13" s="491"/>
    </row>
    <row r="14" spans="1:33" s="470" customFormat="1" ht="20.100000000000001" customHeight="1" x14ac:dyDescent="0.25">
      <c r="A14" s="470" t="s">
        <v>402</v>
      </c>
      <c r="B14" s="492" t="s">
        <v>562</v>
      </c>
      <c r="C14" s="381"/>
      <c r="D14" s="486"/>
      <c r="E14" s="486"/>
      <c r="F14" s="486"/>
      <c r="G14" s="486"/>
      <c r="H14" s="486"/>
      <c r="I14" s="486"/>
      <c r="J14" s="486"/>
      <c r="K14" s="486"/>
      <c r="L14" s="486"/>
      <c r="M14" s="486"/>
      <c r="N14" s="486"/>
      <c r="O14" s="486"/>
      <c r="P14" s="486"/>
      <c r="Q14" s="486"/>
      <c r="R14" s="486"/>
      <c r="S14" s="493"/>
      <c r="T14" s="489"/>
      <c r="U14" s="489"/>
      <c r="V14" s="489"/>
      <c r="W14" s="489"/>
      <c r="X14" s="489"/>
      <c r="Y14" s="489"/>
      <c r="Z14" s="489"/>
      <c r="AA14" s="489"/>
      <c r="AB14" s="489"/>
      <c r="AC14" s="489"/>
      <c r="AD14" s="489"/>
      <c r="AE14" s="489"/>
      <c r="AF14" s="489"/>
      <c r="AG14" s="494"/>
    </row>
    <row r="15" spans="1:33" ht="20.100000000000001" customHeight="1" x14ac:dyDescent="0.25">
      <c r="A15" s="313">
        <v>1</v>
      </c>
      <c r="B15" s="308" t="s">
        <v>569</v>
      </c>
      <c r="C15" s="354" t="s">
        <v>547</v>
      </c>
      <c r="D15" s="478">
        <f>'Cashflow '!F15*$C$6</f>
        <v>13.413050000000002</v>
      </c>
      <c r="E15" s="478">
        <f>'Cashflow '!G15*$C$6</f>
        <v>15.3292</v>
      </c>
      <c r="F15" s="478">
        <f>'Cashflow '!H15*$C$6</f>
        <v>18.203424999999999</v>
      </c>
      <c r="G15" s="478">
        <f>'Cashflow '!I15*$C$6</f>
        <v>18.203424999999999</v>
      </c>
      <c r="H15" s="478">
        <f>'Cashflow '!J15*$C$6</f>
        <v>18.203424999999999</v>
      </c>
      <c r="I15" s="478">
        <f>'Cashflow '!K15*$C$6</f>
        <v>18.203424999999999</v>
      </c>
      <c r="J15" s="478">
        <f>'Cashflow '!L15*$C$6</f>
        <v>18.203424999999999</v>
      </c>
      <c r="K15" s="478">
        <f>'Cashflow '!M15*$C$6</f>
        <v>18.203424999999999</v>
      </c>
      <c r="L15" s="478">
        <f>'Cashflow '!N15*$C$6</f>
        <v>18.203424999999999</v>
      </c>
      <c r="M15" s="478">
        <f>'Cashflow '!O15*$C$6</f>
        <v>18.203424999999999</v>
      </c>
      <c r="N15" s="478">
        <f>'Cashflow '!P15*$C$6</f>
        <v>18.203424999999999</v>
      </c>
      <c r="O15" s="478">
        <f>'Cashflow '!Q15*$C$6</f>
        <v>18.203424999999999</v>
      </c>
      <c r="P15" s="478">
        <f>'Cashflow '!R15*$C$6</f>
        <v>18.203424999999999</v>
      </c>
      <c r="Q15" s="478">
        <f>'Cashflow '!S15*$C$6</f>
        <v>18.203424999999999</v>
      </c>
      <c r="R15" s="478">
        <f>'Cashflow '!T15*$C$6</f>
        <v>18.203424999999999</v>
      </c>
    </row>
    <row r="16" spans="1:33" ht="20.100000000000001" customHeight="1" x14ac:dyDescent="0.25">
      <c r="A16" s="313">
        <v>2</v>
      </c>
      <c r="B16" s="308" t="s">
        <v>139</v>
      </c>
      <c r="C16" s="354" t="s">
        <v>547</v>
      </c>
      <c r="D16" s="478">
        <f>'Cashflow '!F14*$C$7</f>
        <v>0.56379959999999929</v>
      </c>
      <c r="E16" s="478">
        <f>'Cashflow '!G14*$C$7</f>
        <v>0.64434240000000009</v>
      </c>
      <c r="F16" s="478">
        <f>'Cashflow '!H14*$C$7</f>
        <v>0.76515660000000008</v>
      </c>
      <c r="G16" s="478">
        <f>'Cashflow '!I14*$C$7</f>
        <v>0.76515660000000008</v>
      </c>
      <c r="H16" s="478">
        <f>'Cashflow '!J14*$C$7</f>
        <v>0.76515660000000008</v>
      </c>
      <c r="I16" s="478">
        <f>'Cashflow '!K14*$C$7</f>
        <v>0.76515660000000008</v>
      </c>
      <c r="J16" s="478">
        <f>'Cashflow '!L14*$C$7</f>
        <v>0.76515660000000008</v>
      </c>
      <c r="K16" s="478">
        <f>'Cashflow '!M14*$C$7</f>
        <v>0.76515660000000008</v>
      </c>
      <c r="L16" s="478">
        <f>'Cashflow '!N14*$C$7</f>
        <v>0.76515660000000008</v>
      </c>
      <c r="M16" s="478">
        <f>'Cashflow '!O14*$C$7</f>
        <v>0.76515660000000008</v>
      </c>
      <c r="N16" s="478">
        <f>'Cashflow '!P14*$C$7</f>
        <v>0.76515660000000008</v>
      </c>
      <c r="O16" s="478">
        <f>'Cashflow '!Q14*$C$7</f>
        <v>0.76515660000000008</v>
      </c>
      <c r="P16" s="478">
        <f>'Cashflow '!R14*$C$7</f>
        <v>0.76515660000000008</v>
      </c>
      <c r="Q16" s="478">
        <f>'Cashflow '!S14*$C$7</f>
        <v>0.76515660000000008</v>
      </c>
      <c r="R16" s="478">
        <f>'Cashflow '!T14*$C$7</f>
        <v>0.76515660000000008</v>
      </c>
    </row>
    <row r="17" spans="1:33" ht="20.100000000000001" customHeight="1" x14ac:dyDescent="0.25">
      <c r="A17" s="300">
        <v>3</v>
      </c>
      <c r="B17" s="472" t="s">
        <v>571</v>
      </c>
      <c r="C17" s="348" t="s">
        <v>547</v>
      </c>
      <c r="D17" s="480">
        <f t="shared" ref="D17:R17" si="1">SUM(D15:D16)</f>
        <v>13.976849600000001</v>
      </c>
      <c r="E17" s="480">
        <f t="shared" si="1"/>
        <v>15.973542399999999</v>
      </c>
      <c r="F17" s="480">
        <f t="shared" si="1"/>
        <v>18.9685816</v>
      </c>
      <c r="G17" s="480">
        <f t="shared" si="1"/>
        <v>18.9685816</v>
      </c>
      <c r="H17" s="480">
        <f t="shared" si="1"/>
        <v>18.9685816</v>
      </c>
      <c r="I17" s="480">
        <f t="shared" si="1"/>
        <v>18.9685816</v>
      </c>
      <c r="J17" s="480">
        <f t="shared" si="1"/>
        <v>18.9685816</v>
      </c>
      <c r="K17" s="480">
        <f t="shared" si="1"/>
        <v>18.9685816</v>
      </c>
      <c r="L17" s="480">
        <f t="shared" si="1"/>
        <v>18.9685816</v>
      </c>
      <c r="M17" s="480">
        <f t="shared" si="1"/>
        <v>18.9685816</v>
      </c>
      <c r="N17" s="480">
        <f t="shared" si="1"/>
        <v>18.9685816</v>
      </c>
      <c r="O17" s="480">
        <f t="shared" si="1"/>
        <v>18.9685816</v>
      </c>
      <c r="P17" s="480">
        <f t="shared" si="1"/>
        <v>18.9685816</v>
      </c>
      <c r="Q17" s="480">
        <f t="shared" si="1"/>
        <v>18.9685816</v>
      </c>
      <c r="R17" s="480">
        <f t="shared" si="1"/>
        <v>18.9685816</v>
      </c>
      <c r="S17" s="481"/>
    </row>
    <row r="18" spans="1:33" ht="20.100000000000001" customHeight="1" x14ac:dyDescent="0.25">
      <c r="B18" s="306"/>
      <c r="D18" s="482"/>
      <c r="E18" s="482"/>
      <c r="F18" s="482"/>
      <c r="G18" s="482"/>
      <c r="H18" s="482"/>
      <c r="I18" s="482"/>
      <c r="J18" s="482"/>
      <c r="K18" s="482"/>
      <c r="L18" s="482"/>
      <c r="M18" s="482"/>
      <c r="N18" s="482"/>
      <c r="O18" s="482"/>
      <c r="P18" s="482"/>
      <c r="Q18" s="482"/>
      <c r="R18" s="482"/>
    </row>
    <row r="19" spans="1:33" s="470" customFormat="1" ht="20.100000000000001" customHeight="1" x14ac:dyDescent="0.25">
      <c r="A19" s="470" t="s">
        <v>402</v>
      </c>
      <c r="B19" s="390" t="s">
        <v>572</v>
      </c>
      <c r="C19" s="674">
        <f>(Capex!B5+Capex!B7+Capex!B6)*C3</f>
        <v>85.632750000000001</v>
      </c>
      <c r="D19" s="471"/>
      <c r="E19" s="471"/>
      <c r="F19" s="471"/>
      <c r="G19" s="471"/>
      <c r="H19" s="471"/>
      <c r="I19" s="471"/>
      <c r="J19" s="471"/>
      <c r="K19" s="471"/>
      <c r="L19" s="471"/>
      <c r="M19" s="471"/>
      <c r="N19" s="471"/>
      <c r="O19" s="471"/>
      <c r="P19" s="471"/>
      <c r="Q19" s="471"/>
      <c r="R19" s="471"/>
      <c r="S19" s="493"/>
      <c r="T19" s="489"/>
      <c r="U19" s="489"/>
      <c r="V19" s="489"/>
      <c r="W19" s="489"/>
      <c r="X19" s="489"/>
      <c r="Y19" s="489"/>
      <c r="Z19" s="489"/>
      <c r="AA19" s="489"/>
      <c r="AB19" s="489"/>
      <c r="AC19" s="489"/>
      <c r="AD19" s="489"/>
      <c r="AE19" s="489"/>
      <c r="AF19" s="489"/>
      <c r="AG19" s="494"/>
    </row>
    <row r="20" spans="1:33" ht="26.1" customHeight="1" x14ac:dyDescent="0.25">
      <c r="A20" s="313">
        <v>1</v>
      </c>
      <c r="B20" s="315" t="s">
        <v>570</v>
      </c>
      <c r="C20" s="354" t="s">
        <v>547</v>
      </c>
      <c r="D20" s="479"/>
      <c r="E20" s="479"/>
      <c r="F20" s="479"/>
      <c r="G20" s="479"/>
      <c r="H20" s="479"/>
      <c r="I20" s="479"/>
      <c r="J20" s="479"/>
      <c r="K20" s="479"/>
      <c r="L20" s="479"/>
      <c r="M20" s="479"/>
      <c r="N20" s="479"/>
      <c r="O20" s="479"/>
      <c r="P20" s="479"/>
      <c r="Q20" s="479"/>
      <c r="R20" s="479"/>
      <c r="S20" s="302"/>
    </row>
    <row r="21" spans="1:33" ht="26.1" customHeight="1" x14ac:dyDescent="0.25">
      <c r="A21" s="313">
        <v>2</v>
      </c>
      <c r="B21" s="483" t="s">
        <v>563</v>
      </c>
      <c r="C21" s="354" t="s">
        <v>547</v>
      </c>
      <c r="D21" s="479">
        <f t="shared" ref="D21:R21" si="2">IF((D10&lt;=5),$C$19/5,0)</f>
        <v>17.126550000000002</v>
      </c>
      <c r="E21" s="479">
        <f t="shared" si="2"/>
        <v>17.126550000000002</v>
      </c>
      <c r="F21" s="479">
        <f t="shared" si="2"/>
        <v>17.126550000000002</v>
      </c>
      <c r="G21" s="479">
        <f t="shared" si="2"/>
        <v>17.126550000000002</v>
      </c>
      <c r="H21" s="479">
        <f t="shared" si="2"/>
        <v>17.126550000000002</v>
      </c>
      <c r="I21" s="479">
        <f t="shared" si="2"/>
        <v>0</v>
      </c>
      <c r="J21" s="479">
        <f t="shared" si="2"/>
        <v>0</v>
      </c>
      <c r="K21" s="479">
        <f t="shared" si="2"/>
        <v>0</v>
      </c>
      <c r="L21" s="479">
        <f t="shared" si="2"/>
        <v>0</v>
      </c>
      <c r="M21" s="479">
        <f t="shared" si="2"/>
        <v>0</v>
      </c>
      <c r="N21" s="479">
        <f t="shared" si="2"/>
        <v>0</v>
      </c>
      <c r="O21" s="479">
        <f t="shared" si="2"/>
        <v>0</v>
      </c>
      <c r="P21" s="479">
        <f t="shared" si="2"/>
        <v>0</v>
      </c>
      <c r="Q21" s="479">
        <f t="shared" si="2"/>
        <v>0</v>
      </c>
      <c r="R21" s="479">
        <f t="shared" si="2"/>
        <v>0</v>
      </c>
      <c r="S21" s="302"/>
    </row>
    <row r="22" spans="1:33" ht="20.100000000000001" customHeight="1" x14ac:dyDescent="0.25">
      <c r="A22" s="313">
        <v>3</v>
      </c>
      <c r="B22" s="315" t="s">
        <v>574</v>
      </c>
      <c r="C22" s="354" t="s">
        <v>547</v>
      </c>
      <c r="D22" s="479">
        <f>D21+D12</f>
        <v>25.057223592187498</v>
      </c>
      <c r="E22" s="479">
        <f t="shared" ref="E22:R22" si="3">E21+E12</f>
        <v>26.190176962500001</v>
      </c>
      <c r="F22" s="479">
        <f t="shared" si="3"/>
        <v>27.88960701796875</v>
      </c>
      <c r="G22" s="479">
        <f t="shared" si="3"/>
        <v>27.88960701796875</v>
      </c>
      <c r="H22" s="479">
        <f t="shared" si="3"/>
        <v>27.88960701796875</v>
      </c>
      <c r="I22" s="479">
        <f t="shared" si="3"/>
        <v>10.76305701796875</v>
      </c>
      <c r="J22" s="479">
        <f t="shared" si="3"/>
        <v>10.76305701796875</v>
      </c>
      <c r="K22" s="479">
        <f t="shared" si="3"/>
        <v>10.76305701796875</v>
      </c>
      <c r="L22" s="479">
        <f t="shared" si="3"/>
        <v>10.76305701796875</v>
      </c>
      <c r="M22" s="479">
        <f t="shared" si="3"/>
        <v>10.76305701796875</v>
      </c>
      <c r="N22" s="479">
        <f t="shared" si="3"/>
        <v>10.76305701796875</v>
      </c>
      <c r="O22" s="479">
        <f t="shared" si="3"/>
        <v>10.76305701796875</v>
      </c>
      <c r="P22" s="479">
        <f t="shared" si="3"/>
        <v>10.76305701796875</v>
      </c>
      <c r="Q22" s="479">
        <f t="shared" si="3"/>
        <v>10.76305701796875</v>
      </c>
      <c r="R22" s="479">
        <f t="shared" si="3"/>
        <v>10.76305701796875</v>
      </c>
      <c r="S22" s="302"/>
    </row>
    <row r="23" spans="1:33" ht="20.100000000000001" customHeight="1" x14ac:dyDescent="0.25">
      <c r="A23" s="313">
        <v>4</v>
      </c>
      <c r="B23" s="315" t="s">
        <v>575</v>
      </c>
      <c r="C23" s="354" t="s">
        <v>547</v>
      </c>
      <c r="D23" s="479">
        <f t="shared" ref="D23:R23" si="4">D17</f>
        <v>13.976849600000001</v>
      </c>
      <c r="E23" s="479">
        <f t="shared" si="4"/>
        <v>15.973542399999999</v>
      </c>
      <c r="F23" s="479">
        <f t="shared" si="4"/>
        <v>18.9685816</v>
      </c>
      <c r="G23" s="479">
        <f t="shared" si="4"/>
        <v>18.9685816</v>
      </c>
      <c r="H23" s="479">
        <f t="shared" si="4"/>
        <v>18.9685816</v>
      </c>
      <c r="I23" s="479">
        <f t="shared" si="4"/>
        <v>18.9685816</v>
      </c>
      <c r="J23" s="479">
        <f t="shared" si="4"/>
        <v>18.9685816</v>
      </c>
      <c r="K23" s="479">
        <f t="shared" si="4"/>
        <v>18.9685816</v>
      </c>
      <c r="L23" s="479">
        <f t="shared" si="4"/>
        <v>18.9685816</v>
      </c>
      <c r="M23" s="479">
        <f t="shared" si="4"/>
        <v>18.9685816</v>
      </c>
      <c r="N23" s="479">
        <f t="shared" si="4"/>
        <v>18.9685816</v>
      </c>
      <c r="O23" s="479">
        <f t="shared" si="4"/>
        <v>18.9685816</v>
      </c>
      <c r="P23" s="479">
        <f t="shared" si="4"/>
        <v>18.9685816</v>
      </c>
      <c r="Q23" s="479">
        <f t="shared" si="4"/>
        <v>18.9685816</v>
      </c>
      <c r="R23" s="479">
        <f t="shared" si="4"/>
        <v>18.9685816</v>
      </c>
      <c r="S23" s="302"/>
    </row>
    <row r="24" spans="1:33" ht="20.100000000000001" customHeight="1" x14ac:dyDescent="0.25">
      <c r="A24" s="313">
        <v>5</v>
      </c>
      <c r="B24" s="314" t="s">
        <v>564</v>
      </c>
      <c r="C24" s="479">
        <v>0</v>
      </c>
      <c r="D24" s="479">
        <f t="shared" ref="D24:R24" si="5">IF((C24+D22-D23)&gt;=0,(C24+D22-D23),0)</f>
        <v>11.080373992187496</v>
      </c>
      <c r="E24" s="479">
        <f t="shared" si="5"/>
        <v>21.297008554687494</v>
      </c>
      <c r="F24" s="479">
        <f t="shared" si="5"/>
        <v>30.218033972656244</v>
      </c>
      <c r="G24" s="479">
        <f t="shared" si="5"/>
        <v>39.139059390624993</v>
      </c>
      <c r="H24" s="479">
        <f t="shared" si="5"/>
        <v>48.06008480859375</v>
      </c>
      <c r="I24" s="479">
        <f t="shared" si="5"/>
        <v>39.854560226562498</v>
      </c>
      <c r="J24" s="479">
        <f t="shared" si="5"/>
        <v>31.649035644531246</v>
      </c>
      <c r="K24" s="479">
        <f t="shared" si="5"/>
        <v>23.443511062499994</v>
      </c>
      <c r="L24" s="479">
        <f t="shared" si="5"/>
        <v>15.237986480468741</v>
      </c>
      <c r="M24" s="479">
        <f t="shared" si="5"/>
        <v>7.0324618984374894</v>
      </c>
      <c r="N24" s="479">
        <f t="shared" si="5"/>
        <v>0</v>
      </c>
      <c r="O24" s="479">
        <f t="shared" si="5"/>
        <v>0</v>
      </c>
      <c r="P24" s="479">
        <f t="shared" si="5"/>
        <v>0</v>
      </c>
      <c r="Q24" s="479">
        <f t="shared" si="5"/>
        <v>0</v>
      </c>
      <c r="R24" s="479">
        <f t="shared" si="5"/>
        <v>0</v>
      </c>
    </row>
    <row r="25" spans="1:33" s="299" customFormat="1" ht="20.100000000000001" customHeight="1" x14ac:dyDescent="0.25">
      <c r="A25" s="316">
        <v>6</v>
      </c>
      <c r="B25" s="484" t="s">
        <v>573</v>
      </c>
      <c r="C25" s="348" t="s">
        <v>547</v>
      </c>
      <c r="D25" s="485">
        <f t="shared" ref="D25:R25" si="6">IF((D24&gt;0),0,(D23-D22))</f>
        <v>0</v>
      </c>
      <c r="E25" s="485">
        <f t="shared" si="6"/>
        <v>0</v>
      </c>
      <c r="F25" s="485">
        <f t="shared" si="6"/>
        <v>0</v>
      </c>
      <c r="G25" s="485">
        <f t="shared" si="6"/>
        <v>0</v>
      </c>
      <c r="H25" s="485">
        <f t="shared" si="6"/>
        <v>0</v>
      </c>
      <c r="I25" s="485">
        <f t="shared" si="6"/>
        <v>0</v>
      </c>
      <c r="J25" s="485">
        <f t="shared" si="6"/>
        <v>0</v>
      </c>
      <c r="K25" s="485">
        <f t="shared" si="6"/>
        <v>0</v>
      </c>
      <c r="L25" s="485">
        <f t="shared" si="6"/>
        <v>0</v>
      </c>
      <c r="M25" s="485">
        <f t="shared" si="6"/>
        <v>0</v>
      </c>
      <c r="N25" s="485">
        <f t="shared" si="6"/>
        <v>8.2055245820312503</v>
      </c>
      <c r="O25" s="485">
        <f t="shared" si="6"/>
        <v>8.2055245820312503</v>
      </c>
      <c r="P25" s="485">
        <f t="shared" si="6"/>
        <v>8.2055245820312503</v>
      </c>
      <c r="Q25" s="485">
        <f t="shared" si="6"/>
        <v>8.2055245820312503</v>
      </c>
      <c r="R25" s="485">
        <f t="shared" si="6"/>
        <v>8.2055245820312503</v>
      </c>
      <c r="T25" s="495"/>
      <c r="U25" s="495"/>
      <c r="V25" s="495"/>
      <c r="W25" s="495"/>
      <c r="X25" s="495"/>
      <c r="Y25" s="495"/>
      <c r="Z25" s="495"/>
      <c r="AA25" s="495"/>
      <c r="AB25" s="495"/>
      <c r="AC25" s="495"/>
      <c r="AD25" s="495"/>
      <c r="AE25" s="495"/>
      <c r="AF25" s="495"/>
    </row>
    <row r="26" spans="1:33" ht="15" customHeight="1" x14ac:dyDescent="0.25">
      <c r="H26" s="307"/>
    </row>
    <row r="28" spans="1:33" x14ac:dyDescent="0.25">
      <c r="H28" s="307"/>
    </row>
    <row r="29" spans="1:33" x14ac:dyDescent="0.25">
      <c r="H29" s="307"/>
    </row>
    <row r="31" spans="1:33" x14ac:dyDescent="0.25">
      <c r="H31" s="307"/>
    </row>
    <row r="32" spans="1:33" ht="15" customHeight="1" x14ac:dyDescent="0.25">
      <c r="H32" s="307"/>
    </row>
  </sheetData>
  <mergeCells count="1">
    <mergeCell ref="B9:R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V24"/>
  <sheetViews>
    <sheetView topLeftCell="A2" workbookViewId="0">
      <selection activeCell="D18" sqref="D18"/>
    </sheetView>
  </sheetViews>
  <sheetFormatPr defaultColWidth="9.140625" defaultRowHeight="12.75" x14ac:dyDescent="0.25"/>
  <cols>
    <col min="1" max="1" width="9.140625" style="302"/>
    <col min="2" max="2" width="43.85546875" style="303" customWidth="1"/>
    <col min="3" max="3" width="10.85546875" style="302" customWidth="1"/>
    <col min="4" max="18" width="12.7109375" style="303" customWidth="1"/>
    <col min="19" max="16384" width="9.140625" style="303"/>
  </cols>
  <sheetData>
    <row r="1" spans="1:48" x14ac:dyDescent="0.25">
      <c r="D1" s="304"/>
      <c r="E1" s="304"/>
      <c r="F1" s="304"/>
      <c r="G1" s="304"/>
      <c r="H1" s="305"/>
      <c r="I1" s="304"/>
      <c r="J1" s="304"/>
      <c r="K1" s="304"/>
      <c r="L1" s="304"/>
      <c r="M1" s="304"/>
      <c r="N1" s="304"/>
      <c r="O1" s="304"/>
    </row>
    <row r="2" spans="1:48" ht="14.45" customHeight="1" x14ac:dyDescent="0.25">
      <c r="A2" s="696" t="s">
        <v>501</v>
      </c>
      <c r="B2" s="696"/>
      <c r="C2" s="696"/>
      <c r="D2" s="696"/>
      <c r="E2" s="696"/>
      <c r="F2" s="696"/>
      <c r="G2" s="696"/>
      <c r="H2" s="696"/>
      <c r="I2" s="696"/>
      <c r="J2" s="696"/>
      <c r="K2" s="696"/>
      <c r="L2" s="696"/>
      <c r="M2" s="696"/>
      <c r="N2" s="696"/>
      <c r="O2" s="696"/>
      <c r="P2" s="696"/>
      <c r="Q2" s="696"/>
      <c r="R2" s="696"/>
    </row>
    <row r="3" spans="1:48" x14ac:dyDescent="0.25">
      <c r="C3" s="299" t="s">
        <v>558</v>
      </c>
      <c r="D3" s="306"/>
      <c r="H3" s="307"/>
      <c r="N3" s="304"/>
      <c r="O3" s="304"/>
    </row>
    <row r="4" spans="1:48" s="301" customFormat="1" x14ac:dyDescent="0.25">
      <c r="A4" s="300" t="s">
        <v>402</v>
      </c>
      <c r="B4" s="301" t="s">
        <v>333</v>
      </c>
      <c r="C4" s="300" t="s">
        <v>446</v>
      </c>
      <c r="D4" s="316">
        <v>1</v>
      </c>
      <c r="E4" s="300">
        <v>2</v>
      </c>
      <c r="F4" s="300">
        <v>3</v>
      </c>
      <c r="G4" s="300">
        <v>4</v>
      </c>
      <c r="H4" s="300">
        <v>5</v>
      </c>
      <c r="I4" s="300">
        <v>6</v>
      </c>
      <c r="J4" s="300">
        <v>7</v>
      </c>
      <c r="K4" s="300">
        <v>8</v>
      </c>
      <c r="L4" s="300">
        <v>9</v>
      </c>
      <c r="M4" s="300">
        <v>10</v>
      </c>
      <c r="N4" s="300">
        <v>11</v>
      </c>
      <c r="O4" s="300">
        <v>12</v>
      </c>
      <c r="P4" s="300">
        <v>13</v>
      </c>
      <c r="Q4" s="300">
        <v>14</v>
      </c>
      <c r="R4" s="300">
        <v>15</v>
      </c>
      <c r="S4" s="303"/>
      <c r="T4" s="303"/>
      <c r="U4" s="303"/>
      <c r="V4" s="303"/>
      <c r="W4" s="303"/>
      <c r="X4" s="303"/>
      <c r="Y4" s="303"/>
      <c r="Z4" s="303"/>
      <c r="AA4" s="303"/>
      <c r="AB4" s="303"/>
      <c r="AC4" s="303"/>
      <c r="AD4" s="303"/>
      <c r="AE4" s="303"/>
      <c r="AF4" s="303"/>
      <c r="AG4" s="303"/>
      <c r="AH4" s="303"/>
      <c r="AI4" s="303"/>
      <c r="AJ4" s="303"/>
      <c r="AK4" s="303"/>
      <c r="AL4" s="303"/>
      <c r="AM4" s="303"/>
      <c r="AN4" s="303"/>
      <c r="AO4" s="303"/>
      <c r="AP4" s="303"/>
      <c r="AQ4" s="303"/>
      <c r="AR4" s="303"/>
      <c r="AS4" s="303"/>
      <c r="AT4" s="303"/>
      <c r="AU4" s="303"/>
      <c r="AV4" s="303"/>
    </row>
    <row r="5" spans="1:48" s="310" customFormat="1" x14ac:dyDescent="0.25">
      <c r="A5" s="300">
        <v>1</v>
      </c>
      <c r="B5" s="308" t="s">
        <v>486</v>
      </c>
      <c r="C5" s="300" t="s">
        <v>14</v>
      </c>
      <c r="D5" s="309">
        <v>330</v>
      </c>
      <c r="E5" s="309">
        <v>330</v>
      </c>
      <c r="F5" s="309">
        <v>330</v>
      </c>
      <c r="G5" s="309">
        <v>330</v>
      </c>
      <c r="H5" s="309">
        <v>330</v>
      </c>
      <c r="I5" s="309">
        <v>330</v>
      </c>
      <c r="J5" s="309">
        <v>330</v>
      </c>
      <c r="K5" s="309">
        <v>330</v>
      </c>
      <c r="L5" s="309">
        <v>330</v>
      </c>
      <c r="M5" s="309">
        <v>330</v>
      </c>
      <c r="N5" s="309">
        <v>330</v>
      </c>
      <c r="O5" s="309">
        <v>330</v>
      </c>
      <c r="P5" s="309">
        <v>330</v>
      </c>
      <c r="Q5" s="309">
        <v>330</v>
      </c>
      <c r="R5" s="309">
        <v>330</v>
      </c>
      <c r="S5" s="311"/>
      <c r="T5" s="311"/>
      <c r="U5" s="311"/>
      <c r="V5" s="311"/>
      <c r="W5" s="311"/>
      <c r="X5" s="311"/>
      <c r="Y5" s="311"/>
      <c r="Z5" s="311"/>
      <c r="AA5" s="311"/>
      <c r="AB5" s="311"/>
      <c r="AC5" s="311"/>
      <c r="AD5" s="311"/>
      <c r="AE5" s="311"/>
      <c r="AF5" s="311"/>
      <c r="AG5" s="311"/>
      <c r="AH5" s="311"/>
      <c r="AI5" s="311"/>
      <c r="AJ5" s="311"/>
      <c r="AK5" s="311"/>
      <c r="AL5" s="311"/>
      <c r="AM5" s="311"/>
      <c r="AN5" s="311"/>
      <c r="AO5" s="311"/>
      <c r="AP5" s="311"/>
      <c r="AQ5" s="311"/>
      <c r="AR5" s="311"/>
      <c r="AS5" s="311"/>
      <c r="AT5" s="311"/>
      <c r="AU5" s="311"/>
      <c r="AV5" s="311"/>
    </row>
    <row r="6" spans="1:48" s="311" customFormat="1" x14ac:dyDescent="0.25">
      <c r="B6" s="302"/>
      <c r="C6" s="302"/>
      <c r="D6" s="312"/>
      <c r="E6" s="312"/>
      <c r="F6" s="312"/>
      <c r="G6" s="312"/>
      <c r="H6" s="312"/>
      <c r="I6" s="312"/>
      <c r="J6" s="312"/>
      <c r="K6" s="312"/>
      <c r="L6" s="312"/>
      <c r="M6" s="312"/>
      <c r="N6" s="312"/>
      <c r="O6" s="312"/>
      <c r="P6" s="312"/>
      <c r="Q6" s="312"/>
      <c r="R6" s="312"/>
    </row>
    <row r="7" spans="1:48" x14ac:dyDescent="0.25">
      <c r="A7" s="300"/>
      <c r="B7" s="472" t="s">
        <v>487</v>
      </c>
      <c r="C7" s="300" t="s">
        <v>14</v>
      </c>
      <c r="D7" s="473"/>
      <c r="E7" s="473"/>
      <c r="F7" s="473"/>
      <c r="G7" s="473"/>
      <c r="H7" s="474"/>
      <c r="I7" s="473"/>
      <c r="J7" s="473"/>
      <c r="K7" s="473"/>
      <c r="L7" s="473"/>
      <c r="M7" s="473"/>
      <c r="N7" s="473"/>
      <c r="O7" s="473"/>
      <c r="P7" s="301"/>
      <c r="Q7" s="301"/>
      <c r="R7" s="301"/>
    </row>
    <row r="8" spans="1:48" x14ac:dyDescent="0.25">
      <c r="A8" s="300">
        <v>1</v>
      </c>
      <c r="B8" s="301" t="s">
        <v>493</v>
      </c>
      <c r="C8" s="300">
        <v>15</v>
      </c>
      <c r="D8" s="321">
        <f>'Cashflow '!F12*$C$8/D5</f>
        <v>12.706226909090908</v>
      </c>
      <c r="E8" s="321">
        <f>'Cashflow '!G12*$C$8/E5</f>
        <v>14.521402181818182</v>
      </c>
      <c r="F8" s="321">
        <f>'Cashflow '!H12*$C$8/F5</f>
        <v>17.244165090909089</v>
      </c>
      <c r="G8" s="321">
        <f>'Cashflow '!I12*$C$8/G5</f>
        <v>17.244165090909089</v>
      </c>
      <c r="H8" s="321">
        <f>'Cashflow '!J12*$C$8/H5</f>
        <v>17.244165090909089</v>
      </c>
      <c r="I8" s="321">
        <f>'Cashflow '!K12*$C$8/I5</f>
        <v>17.244165090909089</v>
      </c>
      <c r="J8" s="321">
        <f>'Cashflow '!L12*$C$8/J5</f>
        <v>17.244165090909089</v>
      </c>
      <c r="K8" s="321">
        <f>'Cashflow '!M12*$C$8/K5</f>
        <v>17.244165090909089</v>
      </c>
      <c r="L8" s="321">
        <f>'Cashflow '!N12*$C$8/L5</f>
        <v>17.244165090909089</v>
      </c>
      <c r="M8" s="321">
        <f>'Cashflow '!O12*$C$8/M5</f>
        <v>17.244165090909089</v>
      </c>
      <c r="N8" s="321">
        <f>'Cashflow '!P12*$C$8/N5</f>
        <v>16.871186700816761</v>
      </c>
      <c r="O8" s="321">
        <f>'Cashflow '!Q12*$C$8/O5</f>
        <v>16.871186700816761</v>
      </c>
      <c r="P8" s="321">
        <f>'Cashflow '!R12*$C$8/P5</f>
        <v>16.871186700816761</v>
      </c>
      <c r="Q8" s="321">
        <f>'Cashflow '!S12*$C$8/Q5</f>
        <v>17.244165090909089</v>
      </c>
      <c r="R8" s="321">
        <f>'Cashflow '!T12*$C$8/R5</f>
        <v>17.244165090909089</v>
      </c>
    </row>
    <row r="9" spans="1:48" x14ac:dyDescent="0.25">
      <c r="A9" s="300">
        <v>2</v>
      </c>
      <c r="B9" s="301" t="s">
        <v>494</v>
      </c>
      <c r="C9" s="300">
        <v>15</v>
      </c>
      <c r="D9" s="321">
        <f>'Cashflow '!F14*$C$9/D5</f>
        <v>0.51254509090909028</v>
      </c>
      <c r="E9" s="321">
        <f>'Cashflow '!G14*$C$9/E5</f>
        <v>0.58576581818181828</v>
      </c>
      <c r="F9" s="321">
        <f>'Cashflow '!H14*$C$9/F5</f>
        <v>0.6955969090909091</v>
      </c>
      <c r="G9" s="321">
        <f>'Cashflow '!I14*$C$9/G5</f>
        <v>0.6955969090909091</v>
      </c>
      <c r="H9" s="321">
        <f>'Cashflow '!J14*$C$9/H5</f>
        <v>0.6955969090909091</v>
      </c>
      <c r="I9" s="321">
        <f>'Cashflow '!K14*$C$9/I5</f>
        <v>0.6955969090909091</v>
      </c>
      <c r="J9" s="321">
        <f>'Cashflow '!L14*$C$9/J5</f>
        <v>0.6955969090909091</v>
      </c>
      <c r="K9" s="321">
        <f>'Cashflow '!M14*$C$9/K5</f>
        <v>0.6955969090909091</v>
      </c>
      <c r="L9" s="321">
        <f>'Cashflow '!N14*$C$9/L5</f>
        <v>0.6955969090909091</v>
      </c>
      <c r="M9" s="321">
        <f>'Cashflow '!O14*$C$9/M5</f>
        <v>0.6955969090909091</v>
      </c>
      <c r="N9" s="321">
        <f>'Cashflow '!P14*$C$9/N5</f>
        <v>0.6955969090909091</v>
      </c>
      <c r="O9" s="321">
        <f>'Cashflow '!Q14*$C$9/O5</f>
        <v>0.6955969090909091</v>
      </c>
      <c r="P9" s="321">
        <f>'Cashflow '!R14*$C$9/P5</f>
        <v>0.6955969090909091</v>
      </c>
      <c r="Q9" s="321">
        <f>'Cashflow '!S14*$C$9/Q5</f>
        <v>0.6955969090909091</v>
      </c>
      <c r="R9" s="321">
        <f>'Cashflow '!T14*$C$9/R5</f>
        <v>0.6955969090909091</v>
      </c>
    </row>
    <row r="10" spans="1:48" x14ac:dyDescent="0.25">
      <c r="A10" s="300">
        <v>3</v>
      </c>
      <c r="B10" s="301" t="s">
        <v>495</v>
      </c>
      <c r="C10" s="300">
        <v>3</v>
      </c>
      <c r="D10" s="321">
        <f>(Opex!D7+Opex!D24)*$C$10/D5</f>
        <v>0.76023265440340893</v>
      </c>
      <c r="E10" s="321">
        <f>(Opex!E7+Opex!E24)*$C$10/E5</f>
        <v>0.86883731931818187</v>
      </c>
      <c r="F10" s="321">
        <f>(Opex!F7+Opex!F24)*$C$10/F5</f>
        <v>1.0317443166903408</v>
      </c>
      <c r="G10" s="321">
        <f>(Opex!G7+Opex!G24)*$C$10/G5</f>
        <v>1.0317443166903408</v>
      </c>
      <c r="H10" s="321">
        <f>(Opex!H7+Opex!H24)*$C$10/H5</f>
        <v>1.0317443166903408</v>
      </c>
      <c r="I10" s="321">
        <f>(Opex!I7+Opex!I24)*$C$10/I5</f>
        <v>1.0317443166903408</v>
      </c>
      <c r="J10" s="321">
        <f>(Opex!J7+Opex!J24)*$C$10/J5</f>
        <v>1.0317443166903408</v>
      </c>
      <c r="K10" s="321">
        <f>(Opex!K7+Opex!K24)*$C$10/K5</f>
        <v>1.0317443166903408</v>
      </c>
      <c r="L10" s="321">
        <f>(Opex!L7+Opex!L24)*$C$10/L5</f>
        <v>1.0317443166903408</v>
      </c>
      <c r="M10" s="321">
        <f>(Opex!M7+Opex!M24)*$C$10/M5</f>
        <v>1.0317443166903408</v>
      </c>
      <c r="N10" s="321">
        <f>(Opex!N7+Opex!N24)*$C$10/N5</f>
        <v>1.0317443166903408</v>
      </c>
      <c r="O10" s="321">
        <f>(Opex!O7+Opex!O24)*$C$10/O5</f>
        <v>1.0317443166903408</v>
      </c>
      <c r="P10" s="321">
        <f>(Opex!P7+Opex!P24)*$C$10/P5</f>
        <v>1.0317443166903408</v>
      </c>
      <c r="Q10" s="321">
        <f>(Opex!Q7+Opex!Q24)*$C$10/Q5</f>
        <v>1.0317443166903408</v>
      </c>
      <c r="R10" s="321">
        <f>(Opex!R7+Opex!R24)*$C$10/R5</f>
        <v>1.0317443166903408</v>
      </c>
    </row>
    <row r="11" spans="1:48" x14ac:dyDescent="0.25">
      <c r="A11" s="300">
        <v>4</v>
      </c>
      <c r="B11" s="301" t="s">
        <v>502</v>
      </c>
      <c r="C11" s="300">
        <f>[5]Main!D104</f>
        <v>30</v>
      </c>
      <c r="D11" s="473">
        <f>+Opex!D11*$C$11/D5</f>
        <v>1.6223298748011361</v>
      </c>
      <c r="E11" s="473">
        <f>+Opex!E11*$C$11/E5</f>
        <v>1.6414548748011364</v>
      </c>
      <c r="F11" s="473">
        <f>+Opex!F11*$C$11/F5</f>
        <v>1.6701423748011366</v>
      </c>
      <c r="G11" s="473">
        <f>+Opex!G11*$C$11/G5</f>
        <v>1.6701423748011366</v>
      </c>
      <c r="H11" s="473">
        <f>+Opex!H11*$C$11/H5</f>
        <v>1.6701423748011366</v>
      </c>
      <c r="I11" s="473">
        <f>+Opex!I11*$C$11/I5</f>
        <v>1.6701423748011366</v>
      </c>
      <c r="J11" s="473">
        <f>+Opex!J11*$C$11/J5</f>
        <v>1.6701423748011366</v>
      </c>
      <c r="K11" s="473">
        <f>+Opex!K11*$C$11/K5</f>
        <v>1.6701423748011366</v>
      </c>
      <c r="L11" s="473">
        <f>+Opex!L11*$C$11/L5</f>
        <v>1.6701423748011366</v>
      </c>
      <c r="M11" s="473">
        <f>+Opex!M11*$C$11/M5</f>
        <v>1.6701423748011366</v>
      </c>
      <c r="N11" s="473">
        <f>+Opex!N11*$C$11/N5</f>
        <v>1.6701423748011366</v>
      </c>
      <c r="O11" s="473">
        <f>+Opex!O11*$C$11/O5</f>
        <v>1.6701423748011366</v>
      </c>
      <c r="P11" s="473">
        <f>+Opex!P11*$C$11/P5</f>
        <v>1.6701423748011366</v>
      </c>
      <c r="Q11" s="473">
        <f>+Opex!Q11*$C$11/Q5</f>
        <v>1.6701423748011366</v>
      </c>
      <c r="R11" s="473">
        <f>+Opex!R11*$C$11/R5</f>
        <v>1.6701423748011366</v>
      </c>
    </row>
    <row r="12" spans="1:48" x14ac:dyDescent="0.25">
      <c r="A12" s="300">
        <v>5</v>
      </c>
      <c r="B12" s="301" t="s">
        <v>496</v>
      </c>
      <c r="C12" s="300">
        <f>[5]Main!D105</f>
        <v>7</v>
      </c>
      <c r="D12" s="321">
        <f>-D10*$C$12/$C$10</f>
        <v>-1.7738761936079541</v>
      </c>
      <c r="E12" s="321">
        <f t="shared" ref="E12:R12" si="0">-E10*$C$12/$C$10</f>
        <v>-2.0272870784090911</v>
      </c>
      <c r="F12" s="321">
        <f t="shared" si="0"/>
        <v>-2.4074034056107951</v>
      </c>
      <c r="G12" s="321">
        <f t="shared" si="0"/>
        <v>-2.4074034056107951</v>
      </c>
      <c r="H12" s="321">
        <f t="shared" si="0"/>
        <v>-2.4074034056107951</v>
      </c>
      <c r="I12" s="321">
        <f t="shared" si="0"/>
        <v>-2.4074034056107951</v>
      </c>
      <c r="J12" s="321">
        <f t="shared" si="0"/>
        <v>-2.4074034056107951</v>
      </c>
      <c r="K12" s="321">
        <f t="shared" si="0"/>
        <v>-2.4074034056107951</v>
      </c>
      <c r="L12" s="321">
        <f t="shared" si="0"/>
        <v>-2.4074034056107951</v>
      </c>
      <c r="M12" s="321">
        <f t="shared" si="0"/>
        <v>-2.4074034056107951</v>
      </c>
      <c r="N12" s="321">
        <f t="shared" si="0"/>
        <v>-2.4074034056107951</v>
      </c>
      <c r="O12" s="321">
        <f t="shared" si="0"/>
        <v>-2.4074034056107951</v>
      </c>
      <c r="P12" s="321">
        <f t="shared" si="0"/>
        <v>-2.4074034056107951</v>
      </c>
      <c r="Q12" s="321">
        <f t="shared" si="0"/>
        <v>-2.4074034056107951</v>
      </c>
      <c r="R12" s="321">
        <f t="shared" si="0"/>
        <v>-2.4074034056107951</v>
      </c>
    </row>
    <row r="13" spans="1:48" ht="20.100000000000001" customHeight="1" x14ac:dyDescent="0.25">
      <c r="A13" s="316">
        <v>6</v>
      </c>
      <c r="B13" s="472" t="s">
        <v>488</v>
      </c>
      <c r="C13" s="316" t="s">
        <v>547</v>
      </c>
      <c r="D13" s="475">
        <f t="shared" ref="D13:R13" si="1">SUM(D8:D12)</f>
        <v>13.827458335596589</v>
      </c>
      <c r="E13" s="475">
        <f t="shared" si="1"/>
        <v>15.590173115710225</v>
      </c>
      <c r="F13" s="475">
        <f t="shared" si="1"/>
        <v>18.234245285880682</v>
      </c>
      <c r="G13" s="475">
        <f t="shared" si="1"/>
        <v>18.234245285880682</v>
      </c>
      <c r="H13" s="475">
        <f t="shared" si="1"/>
        <v>18.234245285880682</v>
      </c>
      <c r="I13" s="475">
        <f t="shared" si="1"/>
        <v>18.234245285880682</v>
      </c>
      <c r="J13" s="475">
        <f t="shared" si="1"/>
        <v>18.234245285880682</v>
      </c>
      <c r="K13" s="475">
        <f t="shared" si="1"/>
        <v>18.234245285880682</v>
      </c>
      <c r="L13" s="475">
        <f t="shared" si="1"/>
        <v>18.234245285880682</v>
      </c>
      <c r="M13" s="475">
        <f t="shared" si="1"/>
        <v>18.234245285880682</v>
      </c>
      <c r="N13" s="475">
        <f t="shared" si="1"/>
        <v>17.861266895788354</v>
      </c>
      <c r="O13" s="475">
        <f t="shared" si="1"/>
        <v>17.861266895788354</v>
      </c>
      <c r="P13" s="475">
        <f t="shared" si="1"/>
        <v>17.861266895788354</v>
      </c>
      <c r="Q13" s="475">
        <f t="shared" si="1"/>
        <v>18.234245285880682</v>
      </c>
      <c r="R13" s="475">
        <f t="shared" si="1"/>
        <v>18.234245285880682</v>
      </c>
    </row>
    <row r="14" spans="1:48" ht="20.100000000000001" customHeight="1" x14ac:dyDescent="0.25"/>
    <row r="15" spans="1:48" ht="20.100000000000001" customHeight="1" x14ac:dyDescent="0.25">
      <c r="A15" s="300"/>
      <c r="B15" s="472" t="s">
        <v>489</v>
      </c>
      <c r="C15" s="602">
        <v>0.25</v>
      </c>
      <c r="D15" s="301"/>
      <c r="E15" s="301"/>
      <c r="F15" s="301"/>
      <c r="G15" s="301"/>
      <c r="H15" s="301"/>
      <c r="I15" s="301"/>
      <c r="J15" s="301"/>
      <c r="K15" s="301"/>
      <c r="L15" s="301"/>
      <c r="M15" s="301"/>
      <c r="N15" s="301"/>
      <c r="O15" s="301"/>
      <c r="P15" s="301"/>
      <c r="Q15" s="301"/>
      <c r="R15" s="301"/>
    </row>
    <row r="16" spans="1:48" ht="20.100000000000001" customHeight="1" x14ac:dyDescent="0.25">
      <c r="A16" s="300">
        <v>1</v>
      </c>
      <c r="B16" s="472" t="s">
        <v>503</v>
      </c>
      <c r="C16" s="316" t="s">
        <v>547</v>
      </c>
      <c r="D16" s="475">
        <f>D13*$C$15</f>
        <v>3.4568645838991472</v>
      </c>
      <c r="E16" s="475">
        <f t="shared" ref="E16:R16" si="2">E13*$C$15</f>
        <v>3.8975432789275564</v>
      </c>
      <c r="F16" s="475">
        <f t="shared" si="2"/>
        <v>4.5585613214701706</v>
      </c>
      <c r="G16" s="475">
        <f t="shared" si="2"/>
        <v>4.5585613214701706</v>
      </c>
      <c r="H16" s="475">
        <f t="shared" si="2"/>
        <v>4.5585613214701706</v>
      </c>
      <c r="I16" s="475">
        <f t="shared" si="2"/>
        <v>4.5585613214701706</v>
      </c>
      <c r="J16" s="475">
        <f t="shared" si="2"/>
        <v>4.5585613214701706</v>
      </c>
      <c r="K16" s="475">
        <f t="shared" si="2"/>
        <v>4.5585613214701706</v>
      </c>
      <c r="L16" s="475">
        <f t="shared" si="2"/>
        <v>4.5585613214701706</v>
      </c>
      <c r="M16" s="475">
        <f t="shared" si="2"/>
        <v>4.5585613214701706</v>
      </c>
      <c r="N16" s="475">
        <f t="shared" si="2"/>
        <v>4.4653167239470886</v>
      </c>
      <c r="O16" s="475">
        <f t="shared" si="2"/>
        <v>4.4653167239470886</v>
      </c>
      <c r="P16" s="475">
        <f t="shared" si="2"/>
        <v>4.4653167239470886</v>
      </c>
      <c r="Q16" s="475">
        <f t="shared" si="2"/>
        <v>4.5585613214701706</v>
      </c>
      <c r="R16" s="475">
        <f t="shared" si="2"/>
        <v>4.5585613214701706</v>
      </c>
    </row>
    <row r="17" spans="1:18" ht="20.100000000000001" customHeight="1" x14ac:dyDescent="0.25">
      <c r="A17" s="300">
        <v>2</v>
      </c>
      <c r="B17" s="301" t="s">
        <v>490</v>
      </c>
      <c r="C17" s="300" t="s">
        <v>547</v>
      </c>
      <c r="D17" s="321">
        <f>D16</f>
        <v>3.4568645838991472</v>
      </c>
      <c r="E17" s="321">
        <f t="shared" ref="E17:R17" si="3">E16-D16</f>
        <v>0.44067869502840917</v>
      </c>
      <c r="F17" s="321">
        <f t="shared" si="3"/>
        <v>0.6610180425426142</v>
      </c>
      <c r="G17" s="321">
        <f t="shared" si="3"/>
        <v>0</v>
      </c>
      <c r="H17" s="321">
        <f t="shared" si="3"/>
        <v>0</v>
      </c>
      <c r="I17" s="321">
        <f t="shared" si="3"/>
        <v>0</v>
      </c>
      <c r="J17" s="321">
        <f t="shared" si="3"/>
        <v>0</v>
      </c>
      <c r="K17" s="321">
        <f t="shared" si="3"/>
        <v>0</v>
      </c>
      <c r="L17" s="321">
        <f t="shared" si="3"/>
        <v>0</v>
      </c>
      <c r="M17" s="321">
        <f t="shared" si="3"/>
        <v>0</v>
      </c>
      <c r="N17" s="321">
        <f t="shared" si="3"/>
        <v>-9.3244597523082007E-2</v>
      </c>
      <c r="O17" s="321">
        <f t="shared" si="3"/>
        <v>0</v>
      </c>
      <c r="P17" s="321">
        <f t="shared" si="3"/>
        <v>0</v>
      </c>
      <c r="Q17" s="321">
        <f t="shared" si="3"/>
        <v>9.3244597523082007E-2</v>
      </c>
      <c r="R17" s="321">
        <f t="shared" si="3"/>
        <v>0</v>
      </c>
    </row>
    <row r="18" spans="1:18" ht="20.100000000000001" customHeight="1" x14ac:dyDescent="0.25">
      <c r="A18" s="300">
        <v>3</v>
      </c>
      <c r="B18" s="308" t="s">
        <v>491</v>
      </c>
      <c r="C18" s="300" t="s">
        <v>547</v>
      </c>
      <c r="D18" s="321">
        <f>+D13*(1-$C$15)</f>
        <v>10.370593751697442</v>
      </c>
      <c r="E18" s="321">
        <f t="shared" ref="E18:R18" si="4">+E13*(1-$C$15)</f>
        <v>11.692629836782668</v>
      </c>
      <c r="F18" s="321">
        <f t="shared" si="4"/>
        <v>13.675683964410512</v>
      </c>
      <c r="G18" s="321">
        <f t="shared" si="4"/>
        <v>13.675683964410512</v>
      </c>
      <c r="H18" s="321">
        <f t="shared" si="4"/>
        <v>13.675683964410512</v>
      </c>
      <c r="I18" s="321">
        <f t="shared" si="4"/>
        <v>13.675683964410512</v>
      </c>
      <c r="J18" s="321">
        <f t="shared" si="4"/>
        <v>13.675683964410512</v>
      </c>
      <c r="K18" s="321">
        <f t="shared" si="4"/>
        <v>13.675683964410512</v>
      </c>
      <c r="L18" s="321">
        <f t="shared" si="4"/>
        <v>13.675683964410512</v>
      </c>
      <c r="M18" s="321">
        <f t="shared" si="4"/>
        <v>13.675683964410512</v>
      </c>
      <c r="N18" s="321">
        <f t="shared" si="4"/>
        <v>13.395950171841266</v>
      </c>
      <c r="O18" s="321">
        <f t="shared" si="4"/>
        <v>13.395950171841266</v>
      </c>
      <c r="P18" s="321">
        <f t="shared" si="4"/>
        <v>13.395950171841266</v>
      </c>
      <c r="Q18" s="321">
        <f t="shared" si="4"/>
        <v>13.675683964410512</v>
      </c>
      <c r="R18" s="321">
        <f t="shared" si="4"/>
        <v>13.675683964410512</v>
      </c>
    </row>
    <row r="19" spans="1:18" ht="20.100000000000001" customHeight="1" x14ac:dyDescent="0.25">
      <c r="A19" s="300">
        <v>4</v>
      </c>
      <c r="B19" s="308" t="s">
        <v>559</v>
      </c>
      <c r="C19" s="300" t="s">
        <v>547</v>
      </c>
      <c r="D19" s="321">
        <f>D18*Norms!$B$53</f>
        <v>0.82964750013579536</v>
      </c>
      <c r="E19" s="321">
        <f>E18*Norms!$B$53</f>
        <v>0.93541038694261347</v>
      </c>
      <c r="F19" s="321">
        <f>F18*Norms!$B$53</f>
        <v>1.094054717152841</v>
      </c>
      <c r="G19" s="321">
        <f>G18*Norms!$B$53</f>
        <v>1.094054717152841</v>
      </c>
      <c r="H19" s="321">
        <f>H18*Norms!$B$53</f>
        <v>1.094054717152841</v>
      </c>
      <c r="I19" s="321">
        <f>I18*Norms!$B$53</f>
        <v>1.094054717152841</v>
      </c>
      <c r="J19" s="321">
        <f>J18*Norms!$B$53</f>
        <v>1.094054717152841</v>
      </c>
      <c r="K19" s="321">
        <f>K18*Norms!$B$53</f>
        <v>1.094054717152841</v>
      </c>
      <c r="L19" s="321">
        <f>L18*Norms!$B$53</f>
        <v>1.094054717152841</v>
      </c>
      <c r="M19" s="321">
        <f>M18*Norms!$B$53</f>
        <v>1.094054717152841</v>
      </c>
      <c r="N19" s="321">
        <f>N18*Norms!$B$53</f>
        <v>1.0716760137473014</v>
      </c>
      <c r="O19" s="321">
        <f>O18*Norms!$B$53</f>
        <v>1.0716760137473014</v>
      </c>
      <c r="P19" s="321">
        <f>P18*Norms!$B$53</f>
        <v>1.0716760137473014</v>
      </c>
      <c r="Q19" s="321">
        <f>Q18*Norms!$B$53</f>
        <v>1.094054717152841</v>
      </c>
      <c r="R19" s="321">
        <f>R18*Norms!$B$53</f>
        <v>1.094054717152841</v>
      </c>
    </row>
    <row r="20" spans="1:18" ht="20.100000000000001" customHeight="1" x14ac:dyDescent="0.25">
      <c r="A20" s="300">
        <v>5</v>
      </c>
      <c r="B20" s="301" t="s">
        <v>492</v>
      </c>
      <c r="C20" s="300" t="s">
        <v>547</v>
      </c>
      <c r="D20" s="321">
        <f>D18</f>
        <v>10.370593751697442</v>
      </c>
      <c r="E20" s="321">
        <f>E18-D18</f>
        <v>1.3220360850852266</v>
      </c>
      <c r="F20" s="321">
        <f>F18-E18</f>
        <v>1.9830541276278435</v>
      </c>
      <c r="G20" s="321">
        <f t="shared" ref="G20:R20" si="5">G18-F18</f>
        <v>0</v>
      </c>
      <c r="H20" s="321">
        <f t="shared" si="5"/>
        <v>0</v>
      </c>
      <c r="I20" s="321">
        <f t="shared" si="5"/>
        <v>0</v>
      </c>
      <c r="J20" s="321">
        <f t="shared" si="5"/>
        <v>0</v>
      </c>
      <c r="K20" s="321">
        <f t="shared" si="5"/>
        <v>0</v>
      </c>
      <c r="L20" s="321">
        <f t="shared" si="5"/>
        <v>0</v>
      </c>
      <c r="M20" s="321">
        <f t="shared" si="5"/>
        <v>0</v>
      </c>
      <c r="N20" s="321">
        <f t="shared" si="5"/>
        <v>-0.27973379256924602</v>
      </c>
      <c r="O20" s="321">
        <f t="shared" si="5"/>
        <v>0</v>
      </c>
      <c r="P20" s="321">
        <f t="shared" si="5"/>
        <v>0</v>
      </c>
      <c r="Q20" s="321">
        <f t="shared" si="5"/>
        <v>0.27973379256924602</v>
      </c>
      <c r="R20" s="321">
        <f t="shared" si="5"/>
        <v>0</v>
      </c>
    </row>
    <row r="23" spans="1:18" ht="15" customHeight="1" x14ac:dyDescent="0.25">
      <c r="D23" s="304"/>
      <c r="E23" s="304"/>
      <c r="F23" s="304"/>
      <c r="G23" s="304"/>
      <c r="H23" s="305"/>
      <c r="I23" s="304"/>
      <c r="J23" s="304"/>
      <c r="K23" s="304"/>
      <c r="L23" s="304"/>
      <c r="M23" s="304"/>
      <c r="N23" s="304"/>
      <c r="O23" s="304"/>
    </row>
    <row r="24" spans="1:18" ht="15" customHeight="1" x14ac:dyDescent="0.25">
      <c r="D24" s="304"/>
      <c r="E24" s="304"/>
      <c r="F24" s="304"/>
      <c r="G24" s="304"/>
      <c r="H24" s="305"/>
      <c r="I24" s="304"/>
      <c r="J24" s="304"/>
      <c r="K24" s="304"/>
      <c r="L24" s="304"/>
      <c r="M24" s="304"/>
      <c r="N24" s="304"/>
      <c r="O24" s="304"/>
      <c r="P24" s="304"/>
      <c r="Q24" s="304"/>
      <c r="R24" s="304"/>
    </row>
  </sheetData>
  <mergeCells count="1">
    <mergeCell ref="A2:R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P92"/>
  <sheetViews>
    <sheetView showGridLines="0" zoomScale="85" zoomScaleNormal="85" workbookViewId="0">
      <selection activeCell="B89" sqref="B89"/>
    </sheetView>
  </sheetViews>
  <sheetFormatPr defaultColWidth="9.140625" defaultRowHeight="12.75" x14ac:dyDescent="0.2"/>
  <cols>
    <col min="1" max="1" width="34.85546875" style="184" bestFit="1" customWidth="1"/>
    <col min="2" max="2" width="70" style="184" customWidth="1"/>
    <col min="3" max="3" width="40.7109375" style="184" customWidth="1"/>
    <col min="4" max="4" width="25" style="184" bestFit="1" customWidth="1"/>
    <col min="5" max="5" width="20" style="184" bestFit="1" customWidth="1"/>
    <col min="6" max="6" width="25.7109375" style="184" customWidth="1"/>
    <col min="7" max="7" width="11.140625" style="184" bestFit="1" customWidth="1"/>
    <col min="8" max="8" width="26.5703125" style="184" bestFit="1" customWidth="1"/>
    <col min="9" max="9" width="20.5703125" style="184" customWidth="1"/>
    <col min="10" max="10" width="30.7109375" style="185" bestFit="1" customWidth="1"/>
    <col min="11" max="19" width="9.140625" style="185"/>
    <col min="20" max="23" width="9.140625" style="217"/>
    <col min="24" max="16384" width="9.140625" style="185"/>
  </cols>
  <sheetData>
    <row r="1" spans="1:41" x14ac:dyDescent="0.2">
      <c r="A1" s="684" t="s">
        <v>197</v>
      </c>
      <c r="B1" s="684"/>
      <c r="C1" s="684"/>
      <c r="D1" s="684"/>
      <c r="E1" s="684"/>
      <c r="F1" s="185"/>
      <c r="G1" s="185"/>
      <c r="H1" s="185"/>
      <c r="I1" s="185"/>
    </row>
    <row r="2" spans="1:41" ht="38.25" customHeight="1" x14ac:dyDescent="0.2">
      <c r="A2" s="138" t="s">
        <v>206</v>
      </c>
      <c r="B2" s="80" t="s">
        <v>204</v>
      </c>
      <c r="C2" s="80" t="s">
        <v>198</v>
      </c>
      <c r="D2" s="80" t="s">
        <v>207</v>
      </c>
      <c r="E2" s="139" t="s">
        <v>45</v>
      </c>
      <c r="F2" s="185"/>
      <c r="G2" s="185"/>
      <c r="H2" s="185"/>
      <c r="I2" s="185"/>
    </row>
    <row r="3" spans="1:41" ht="38.25" customHeight="1" x14ac:dyDescent="0.2">
      <c r="A3" s="705" t="s">
        <v>134</v>
      </c>
      <c r="B3" s="709">
        <v>82500</v>
      </c>
      <c r="C3" s="152" t="s">
        <v>136</v>
      </c>
      <c r="D3" s="152">
        <f>Norms!$D$3*100000</f>
        <v>28749.999999999996</v>
      </c>
      <c r="E3" s="140" t="s">
        <v>46</v>
      </c>
      <c r="F3" s="185"/>
      <c r="G3" s="185"/>
      <c r="H3" s="185"/>
      <c r="I3" s="185"/>
    </row>
    <row r="4" spans="1:41" ht="38.25" customHeight="1" x14ac:dyDescent="0.2">
      <c r="A4" s="705"/>
      <c r="B4" s="709"/>
      <c r="C4" s="152" t="s">
        <v>205</v>
      </c>
      <c r="D4" s="152">
        <f>Norms!$D$4*100000</f>
        <v>8.5</v>
      </c>
      <c r="E4" s="140" t="s">
        <v>199</v>
      </c>
      <c r="F4" s="185"/>
      <c r="G4" s="185"/>
      <c r="H4" s="185"/>
      <c r="I4" s="185"/>
    </row>
    <row r="5" spans="1:41" ht="38.25" customHeight="1" x14ac:dyDescent="0.2">
      <c r="A5" s="705" t="s">
        <v>177</v>
      </c>
      <c r="B5" s="709">
        <v>100000</v>
      </c>
      <c r="C5" s="152" t="s">
        <v>187</v>
      </c>
      <c r="D5" s="152">
        <f>Norms!$D$5*100000</f>
        <v>74700</v>
      </c>
      <c r="E5" s="140" t="s">
        <v>46</v>
      </c>
      <c r="F5" s="185"/>
      <c r="G5" s="185"/>
      <c r="H5" s="185"/>
      <c r="I5" s="185"/>
    </row>
    <row r="6" spans="1:41" ht="38.25" customHeight="1" x14ac:dyDescent="0.2">
      <c r="A6" s="706"/>
      <c r="B6" s="710"/>
      <c r="C6" s="153" t="s">
        <v>136</v>
      </c>
      <c r="D6" s="153">
        <f>Norms!$D$6*100000</f>
        <v>21300</v>
      </c>
      <c r="E6" s="141" t="s">
        <v>46</v>
      </c>
      <c r="F6" s="185"/>
      <c r="G6" s="185"/>
      <c r="H6" s="185"/>
      <c r="I6" s="185"/>
    </row>
    <row r="7" spans="1:41" x14ac:dyDescent="0.2">
      <c r="A7" s="697" t="s">
        <v>222</v>
      </c>
      <c r="B7" s="697"/>
      <c r="C7" s="697"/>
      <c r="D7" s="185"/>
      <c r="E7" s="185"/>
      <c r="F7" s="185"/>
      <c r="G7" s="185"/>
      <c r="H7" s="185"/>
      <c r="I7" s="185"/>
    </row>
    <row r="8" spans="1:41" s="187" customFormat="1" x14ac:dyDescent="0.2">
      <c r="A8" s="163" t="s">
        <v>97</v>
      </c>
      <c r="B8" s="164" t="s">
        <v>1</v>
      </c>
      <c r="C8" s="194" t="s">
        <v>217</v>
      </c>
      <c r="D8" s="228" t="s">
        <v>266</v>
      </c>
      <c r="E8" s="185"/>
      <c r="F8" s="185"/>
      <c r="G8" s="185"/>
      <c r="H8" s="185"/>
      <c r="I8" s="185"/>
      <c r="J8" s="185"/>
      <c r="K8" s="186"/>
      <c r="L8" s="186"/>
      <c r="M8" s="186"/>
      <c r="N8" s="186"/>
      <c r="O8" s="186"/>
      <c r="P8" s="186"/>
      <c r="Q8" s="186"/>
      <c r="R8" s="186"/>
      <c r="S8" s="186"/>
      <c r="T8" s="218"/>
      <c r="U8" s="218"/>
      <c r="V8" s="218"/>
      <c r="W8" s="218"/>
      <c r="X8" s="186"/>
      <c r="Y8" s="186"/>
      <c r="Z8" s="186"/>
      <c r="AA8" s="186"/>
      <c r="AB8" s="186"/>
      <c r="AC8" s="186"/>
      <c r="AD8" s="186"/>
      <c r="AE8" s="186"/>
      <c r="AF8" s="186"/>
      <c r="AG8" s="186"/>
      <c r="AH8" s="186"/>
      <c r="AI8" s="186"/>
      <c r="AJ8" s="186"/>
      <c r="AK8" s="186"/>
      <c r="AL8" s="186"/>
      <c r="AM8" s="186"/>
      <c r="AN8" s="186"/>
      <c r="AO8" s="186"/>
    </row>
    <row r="9" spans="1:41" s="187" customFormat="1" ht="12.75" hidden="1" customHeight="1" x14ac:dyDescent="0.2">
      <c r="A9" s="704" t="s">
        <v>100</v>
      </c>
      <c r="B9" s="14" t="s">
        <v>0</v>
      </c>
      <c r="C9" s="165" t="e">
        <v>#DIV/0!</v>
      </c>
      <c r="D9" s="185"/>
      <c r="E9" s="185"/>
      <c r="F9" s="185"/>
      <c r="G9" s="185"/>
      <c r="H9" s="185"/>
      <c r="I9" s="185"/>
      <c r="J9" s="185"/>
      <c r="K9" s="186"/>
      <c r="L9" s="186"/>
      <c r="M9" s="186"/>
      <c r="N9" s="186"/>
      <c r="O9" s="186"/>
      <c r="P9" s="186"/>
      <c r="Q9" s="186"/>
      <c r="R9" s="186"/>
      <c r="S9" s="186"/>
      <c r="T9" s="218"/>
      <c r="U9" s="218"/>
      <c r="V9" s="218"/>
      <c r="W9" s="218"/>
      <c r="X9" s="186"/>
      <c r="Y9" s="186"/>
      <c r="Z9" s="186"/>
      <c r="AA9" s="186"/>
      <c r="AB9" s="186"/>
      <c r="AC9" s="186"/>
      <c r="AD9" s="186"/>
      <c r="AE9" s="186"/>
      <c r="AF9" s="186"/>
      <c r="AG9" s="186"/>
      <c r="AH9" s="186"/>
      <c r="AI9" s="186"/>
      <c r="AJ9" s="186"/>
      <c r="AK9" s="186"/>
      <c r="AL9" s="186"/>
      <c r="AM9" s="186"/>
      <c r="AN9" s="186"/>
      <c r="AO9" s="186"/>
    </row>
    <row r="10" spans="1:41" s="187" customFormat="1" ht="12.75" hidden="1" customHeight="1" x14ac:dyDescent="0.2">
      <c r="A10" s="705"/>
      <c r="B10" s="167" t="s">
        <v>135</v>
      </c>
      <c r="C10" s="165" t="e">
        <v>#DIV/0!</v>
      </c>
      <c r="D10" s="185"/>
      <c r="E10" s="185"/>
      <c r="F10" s="185"/>
      <c r="G10" s="185"/>
      <c r="H10" s="185"/>
      <c r="I10" s="185"/>
      <c r="J10" s="185"/>
      <c r="K10" s="186"/>
      <c r="L10" s="186"/>
      <c r="M10" s="186"/>
      <c r="N10" s="186"/>
      <c r="O10" s="186"/>
      <c r="P10" s="186"/>
      <c r="Q10" s="186"/>
      <c r="R10" s="186"/>
      <c r="S10" s="186"/>
      <c r="T10" s="218"/>
      <c r="U10" s="218"/>
      <c r="V10" s="218"/>
      <c r="W10" s="218"/>
      <c r="X10" s="186"/>
      <c r="Y10" s="186"/>
      <c r="Z10" s="186"/>
      <c r="AA10" s="186"/>
      <c r="AB10" s="186"/>
      <c r="AC10" s="186"/>
      <c r="AD10" s="186"/>
      <c r="AE10" s="186"/>
      <c r="AF10" s="186"/>
      <c r="AG10" s="186"/>
      <c r="AH10" s="186"/>
      <c r="AI10" s="186"/>
      <c r="AJ10" s="186"/>
      <c r="AK10" s="186"/>
      <c r="AL10" s="186"/>
      <c r="AM10" s="186"/>
      <c r="AN10" s="186"/>
      <c r="AO10" s="186"/>
    </row>
    <row r="11" spans="1:41" s="187" customFormat="1" x14ac:dyDescent="0.2">
      <c r="A11" s="704" t="s">
        <v>102</v>
      </c>
      <c r="B11" s="168" t="s">
        <v>238</v>
      </c>
      <c r="C11" s="165">
        <v>26536.75</v>
      </c>
      <c r="D11" s="185"/>
      <c r="E11" s="185"/>
      <c r="F11" s="185"/>
      <c r="G11" s="185"/>
      <c r="H11" s="185"/>
      <c r="I11" s="185"/>
      <c r="J11" s="185"/>
      <c r="K11" s="186"/>
      <c r="L11" s="186"/>
      <c r="M11" s="186"/>
      <c r="N11" s="186"/>
      <c r="O11" s="186"/>
      <c r="P11" s="186"/>
      <c r="Q11" s="186"/>
      <c r="R11" s="186"/>
      <c r="S11" s="186"/>
      <c r="T11" s="218"/>
      <c r="U11" s="218"/>
      <c r="V11" s="218"/>
      <c r="W11" s="218"/>
      <c r="X11" s="186"/>
      <c r="Y11" s="186"/>
      <c r="Z11" s="186"/>
      <c r="AA11" s="186"/>
      <c r="AB11" s="186"/>
      <c r="AC11" s="186"/>
      <c r="AD11" s="186"/>
      <c r="AE11" s="186"/>
      <c r="AF11" s="186"/>
      <c r="AG11" s="186"/>
      <c r="AH11" s="186"/>
      <c r="AI11" s="186"/>
      <c r="AJ11" s="186"/>
      <c r="AK11" s="186"/>
      <c r="AL11" s="186"/>
      <c r="AM11" s="186"/>
      <c r="AN11" s="186"/>
      <c r="AO11" s="186"/>
    </row>
    <row r="12" spans="1:41" s="187" customFormat="1" x14ac:dyDescent="0.2">
      <c r="A12" s="705"/>
      <c r="B12" s="170" t="s">
        <v>239</v>
      </c>
      <c r="C12" s="171">
        <v>10335.608065151127</v>
      </c>
      <c r="D12" s="185"/>
      <c r="E12" s="185"/>
      <c r="F12" s="185"/>
      <c r="G12" s="185"/>
      <c r="H12" s="185"/>
      <c r="I12" s="185"/>
      <c r="J12" s="185"/>
      <c r="K12" s="186"/>
      <c r="L12" s="186"/>
      <c r="M12" s="186"/>
      <c r="N12" s="186"/>
      <c r="O12" s="186"/>
      <c r="P12" s="186"/>
      <c r="Q12" s="186"/>
      <c r="R12" s="186"/>
      <c r="S12" s="186"/>
      <c r="T12" s="218"/>
      <c r="U12" s="218"/>
      <c r="V12" s="218"/>
      <c r="W12" s="218"/>
      <c r="X12" s="186"/>
      <c r="Y12" s="186"/>
      <c r="Z12" s="186"/>
      <c r="AA12" s="186"/>
      <c r="AB12" s="186"/>
      <c r="AC12" s="186"/>
      <c r="AD12" s="186"/>
      <c r="AE12" s="186"/>
      <c r="AF12" s="186"/>
      <c r="AG12" s="186"/>
      <c r="AH12" s="186"/>
      <c r="AI12" s="186"/>
      <c r="AJ12" s="186"/>
      <c r="AK12" s="186"/>
      <c r="AL12" s="186"/>
      <c r="AM12" s="186"/>
      <c r="AN12" s="186"/>
      <c r="AO12" s="186"/>
    </row>
    <row r="13" spans="1:41" s="187" customFormat="1" x14ac:dyDescent="0.2">
      <c r="A13" s="706"/>
      <c r="B13" s="172" t="s">
        <v>238</v>
      </c>
      <c r="C13" s="173">
        <v>29242.25</v>
      </c>
      <c r="D13" s="185"/>
      <c r="E13" s="185"/>
      <c r="F13" s="185"/>
      <c r="G13" s="185"/>
      <c r="H13" s="185"/>
      <c r="I13" s="185"/>
      <c r="J13" s="185"/>
      <c r="K13" s="186"/>
      <c r="L13" s="186"/>
      <c r="M13" s="186"/>
      <c r="N13" s="186"/>
      <c r="O13" s="186"/>
      <c r="P13" s="186"/>
      <c r="Q13" s="186"/>
      <c r="R13" s="186"/>
      <c r="S13" s="186"/>
      <c r="T13" s="218"/>
      <c r="U13" s="218"/>
      <c r="V13" s="218"/>
      <c r="W13" s="218"/>
      <c r="X13" s="186"/>
      <c r="Y13" s="186"/>
      <c r="Z13" s="186"/>
      <c r="AA13" s="186"/>
      <c r="AB13" s="186"/>
      <c r="AC13" s="186"/>
      <c r="AD13" s="186"/>
      <c r="AE13" s="186"/>
      <c r="AF13" s="186"/>
      <c r="AG13" s="186"/>
      <c r="AH13" s="186"/>
      <c r="AI13" s="186"/>
      <c r="AJ13" s="186"/>
      <c r="AK13" s="186"/>
      <c r="AL13" s="186"/>
      <c r="AM13" s="186"/>
      <c r="AN13" s="186"/>
      <c r="AO13" s="186"/>
    </row>
    <row r="14" spans="1:41" s="187" customFormat="1" x14ac:dyDescent="0.2">
      <c r="A14" s="211" t="s">
        <v>137</v>
      </c>
      <c r="B14" s="212" t="s">
        <v>240</v>
      </c>
      <c r="C14" s="213">
        <v>100000</v>
      </c>
      <c r="D14" s="214" t="s">
        <v>265</v>
      </c>
      <c r="E14" s="185"/>
      <c r="F14" s="185"/>
      <c r="G14" s="185"/>
      <c r="H14" s="185"/>
      <c r="I14" s="185"/>
      <c r="J14" s="185"/>
      <c r="K14" s="186"/>
      <c r="L14" s="186"/>
      <c r="M14" s="186"/>
      <c r="N14" s="186"/>
      <c r="O14" s="186"/>
      <c r="P14" s="186"/>
      <c r="Q14" s="186"/>
      <c r="R14" s="186"/>
      <c r="S14" s="186"/>
      <c r="T14" s="218"/>
      <c r="U14" s="218"/>
      <c r="V14" s="218"/>
      <c r="W14" s="218"/>
      <c r="X14" s="186"/>
      <c r="Y14" s="186"/>
      <c r="Z14" s="186"/>
      <c r="AA14" s="186"/>
      <c r="AB14" s="186"/>
      <c r="AC14" s="186"/>
      <c r="AD14" s="186"/>
      <c r="AE14" s="186"/>
      <c r="AF14" s="186"/>
      <c r="AG14" s="186"/>
      <c r="AH14" s="186"/>
      <c r="AI14" s="186"/>
      <c r="AJ14" s="186"/>
      <c r="AK14" s="186"/>
      <c r="AL14" s="186"/>
      <c r="AM14" s="186"/>
      <c r="AN14" s="186"/>
      <c r="AO14" s="186"/>
    </row>
    <row r="15" spans="1:41" s="187" customFormat="1" ht="15" customHeight="1" x14ac:dyDescent="0.2">
      <c r="A15" s="704" t="s">
        <v>140</v>
      </c>
      <c r="B15" s="174" t="s">
        <v>42</v>
      </c>
      <c r="C15" s="215">
        <v>1928.3693750000002</v>
      </c>
      <c r="D15" s="214" t="s">
        <v>265</v>
      </c>
      <c r="E15" s="185"/>
      <c r="F15" s="185"/>
      <c r="G15" s="185"/>
      <c r="H15" s="185"/>
      <c r="I15" s="185"/>
      <c r="J15" s="185"/>
      <c r="T15" s="219"/>
      <c r="U15" s="219"/>
      <c r="V15" s="219"/>
      <c r="W15" s="219"/>
    </row>
    <row r="16" spans="1:41" s="187" customFormat="1" x14ac:dyDescent="0.2">
      <c r="A16" s="705"/>
      <c r="B16" s="175" t="s">
        <v>41</v>
      </c>
      <c r="C16" s="216">
        <v>5387255.0749999993</v>
      </c>
      <c r="D16" s="214" t="s">
        <v>265</v>
      </c>
      <c r="E16" s="185"/>
      <c r="F16" s="185"/>
      <c r="G16" s="185"/>
      <c r="H16" s="185"/>
      <c r="I16" s="185"/>
      <c r="J16" s="185"/>
      <c r="T16" s="219"/>
      <c r="U16" s="219"/>
      <c r="V16" s="219"/>
      <c r="W16" s="219"/>
    </row>
    <row r="17" spans="1:42" s="187" customFormat="1" x14ac:dyDescent="0.2">
      <c r="A17" s="705"/>
      <c r="B17" s="175"/>
      <c r="C17" s="171"/>
      <c r="D17" s="214" t="s">
        <v>265</v>
      </c>
      <c r="E17" s="185"/>
      <c r="F17" s="185"/>
      <c r="G17" s="185"/>
      <c r="H17" s="185"/>
      <c r="I17" s="185"/>
      <c r="J17" s="185"/>
      <c r="T17" s="219"/>
      <c r="U17" s="219"/>
      <c r="V17" s="219"/>
      <c r="W17" s="219"/>
    </row>
    <row r="18" spans="1:42" s="187" customFormat="1" ht="24.75" customHeight="1" x14ac:dyDescent="0.2">
      <c r="A18" s="705"/>
      <c r="B18" s="175" t="s">
        <v>40</v>
      </c>
      <c r="C18" s="171">
        <v>338.58106500000002</v>
      </c>
      <c r="D18" s="214" t="s">
        <v>265</v>
      </c>
      <c r="E18" s="185"/>
      <c r="F18" s="185"/>
      <c r="G18" s="185"/>
      <c r="H18" s="185"/>
      <c r="I18" s="185"/>
      <c r="J18" s="185"/>
      <c r="T18" s="219"/>
      <c r="U18" s="219"/>
      <c r="V18" s="219"/>
      <c r="W18" s="219"/>
    </row>
    <row r="19" spans="1:42" s="187" customFormat="1" x14ac:dyDescent="0.2">
      <c r="A19" s="705"/>
      <c r="B19" s="175"/>
      <c r="C19" s="171"/>
      <c r="D19" s="214" t="s">
        <v>265</v>
      </c>
      <c r="E19" s="185"/>
      <c r="F19" s="185"/>
      <c r="G19" s="185"/>
      <c r="H19" s="185"/>
      <c r="I19" s="185"/>
      <c r="J19" s="185"/>
      <c r="T19" s="219"/>
      <c r="U19" s="219"/>
      <c r="V19" s="219"/>
      <c r="W19" s="219"/>
    </row>
    <row r="20" spans="1:42" s="187" customFormat="1" ht="12" customHeight="1" x14ac:dyDescent="0.2">
      <c r="A20" s="705"/>
      <c r="B20" s="175" t="s">
        <v>149</v>
      </c>
      <c r="C20" s="171" t="e">
        <v>#DIV/0!</v>
      </c>
      <c r="D20" s="214" t="s">
        <v>265</v>
      </c>
      <c r="E20" s="185"/>
      <c r="F20" s="185"/>
      <c r="G20" s="185"/>
      <c r="H20" s="185"/>
      <c r="I20" s="185"/>
      <c r="J20" s="185"/>
      <c r="T20" s="219"/>
      <c r="U20" s="219"/>
      <c r="V20" s="219"/>
      <c r="W20" s="219"/>
    </row>
    <row r="21" spans="1:42" s="187" customFormat="1" x14ac:dyDescent="0.2">
      <c r="A21" s="705"/>
      <c r="B21" s="177" t="s">
        <v>105</v>
      </c>
      <c r="C21" s="171">
        <v>43439.057500000003</v>
      </c>
      <c r="D21" s="214" t="s">
        <v>265</v>
      </c>
      <c r="E21" s="185"/>
      <c r="F21" s="185"/>
      <c r="G21" s="185"/>
      <c r="H21" s="185"/>
      <c r="I21" s="185"/>
      <c r="J21" s="185"/>
      <c r="T21" s="219"/>
      <c r="U21" s="219"/>
      <c r="V21" s="219"/>
      <c r="W21" s="219"/>
    </row>
    <row r="22" spans="1:42" s="187" customFormat="1" x14ac:dyDescent="0.2">
      <c r="A22" s="706"/>
      <c r="B22" s="178" t="s">
        <v>106</v>
      </c>
      <c r="C22" s="173">
        <v>53394802.015112996</v>
      </c>
      <c r="D22" s="214" t="s">
        <v>265</v>
      </c>
      <c r="E22" s="185"/>
      <c r="F22" s="185"/>
      <c r="G22" s="185"/>
      <c r="H22" s="185"/>
      <c r="I22" s="185"/>
      <c r="J22" s="185"/>
      <c r="T22" s="219"/>
      <c r="U22" s="219"/>
      <c r="V22" s="219"/>
      <c r="W22" s="219"/>
    </row>
    <row r="23" spans="1:42" s="187" customFormat="1" x14ac:dyDescent="0.2">
      <c r="A23" s="704" t="s">
        <v>231</v>
      </c>
      <c r="B23" s="174" t="s">
        <v>42</v>
      </c>
      <c r="C23" s="165">
        <v>267.46053949335783</v>
      </c>
      <c r="D23" s="214" t="s">
        <v>265</v>
      </c>
      <c r="E23" s="185"/>
      <c r="F23" s="185"/>
      <c r="G23" s="185"/>
      <c r="H23" s="185"/>
      <c r="I23" s="185"/>
      <c r="J23" s="185"/>
      <c r="T23" s="219"/>
      <c r="U23" s="219"/>
      <c r="V23" s="219"/>
      <c r="W23" s="219"/>
    </row>
    <row r="24" spans="1:42" s="187" customFormat="1" x14ac:dyDescent="0.2">
      <c r="A24" s="705"/>
      <c r="B24" s="175" t="s">
        <v>41</v>
      </c>
      <c r="C24" s="171">
        <v>200595.40462001838</v>
      </c>
      <c r="D24" s="214" t="s">
        <v>265</v>
      </c>
      <c r="E24" s="185"/>
      <c r="F24" s="185"/>
      <c r="G24" s="185"/>
      <c r="H24" s="185"/>
      <c r="I24" s="185"/>
      <c r="J24" s="185"/>
      <c r="T24" s="219"/>
      <c r="U24" s="219"/>
      <c r="V24" s="219"/>
      <c r="W24" s="219"/>
    </row>
    <row r="25" spans="1:42" s="187" customFormat="1" x14ac:dyDescent="0.2">
      <c r="A25" s="705"/>
      <c r="B25" s="175"/>
      <c r="C25" s="171"/>
      <c r="D25" s="214" t="s">
        <v>265</v>
      </c>
      <c r="E25" s="185"/>
      <c r="F25" s="185"/>
      <c r="G25" s="185"/>
      <c r="H25" s="185"/>
      <c r="I25" s="185"/>
      <c r="J25" s="185"/>
      <c r="T25" s="219"/>
      <c r="U25" s="219"/>
      <c r="V25" s="219"/>
      <c r="W25" s="219"/>
    </row>
    <row r="26" spans="1:42" s="187" customFormat="1" x14ac:dyDescent="0.2">
      <c r="A26" s="705"/>
      <c r="B26" s="175" t="s">
        <v>40</v>
      </c>
      <c r="C26" s="171">
        <v>80.238161848007351</v>
      </c>
      <c r="D26" s="214" t="s">
        <v>265</v>
      </c>
      <c r="E26" s="185"/>
      <c r="F26" s="185"/>
      <c r="G26" s="185"/>
      <c r="H26" s="185"/>
      <c r="I26" s="185"/>
      <c r="J26" s="185"/>
      <c r="T26" s="219"/>
      <c r="U26" s="219"/>
      <c r="V26" s="219"/>
      <c r="W26" s="219"/>
    </row>
    <row r="27" spans="1:42" s="187" customFormat="1" x14ac:dyDescent="0.2">
      <c r="A27" s="705"/>
      <c r="B27" s="175" t="s">
        <v>246</v>
      </c>
      <c r="C27" s="171">
        <v>3797.9396608056813</v>
      </c>
      <c r="D27" s="214" t="s">
        <v>265</v>
      </c>
      <c r="E27" s="185"/>
      <c r="F27" s="185"/>
      <c r="G27" s="185"/>
      <c r="H27" s="185"/>
      <c r="I27" s="185"/>
      <c r="J27" s="185"/>
      <c r="T27" s="219"/>
      <c r="U27" s="219"/>
      <c r="V27" s="219"/>
      <c r="W27" s="219"/>
    </row>
    <row r="28" spans="1:42" s="187" customFormat="1" x14ac:dyDescent="0.2">
      <c r="A28" s="705"/>
      <c r="B28" s="175" t="s">
        <v>149</v>
      </c>
      <c r="C28" s="171" t="e">
        <v>#DIV/0!</v>
      </c>
      <c r="D28" s="214" t="s">
        <v>265</v>
      </c>
      <c r="E28" s="185"/>
      <c r="F28" s="185"/>
      <c r="G28" s="185"/>
      <c r="H28" s="185"/>
      <c r="I28" s="185"/>
      <c r="J28" s="185"/>
      <c r="T28" s="219"/>
      <c r="U28" s="219"/>
      <c r="V28" s="219"/>
      <c r="W28" s="219"/>
    </row>
    <row r="29" spans="1:42" x14ac:dyDescent="0.2">
      <c r="A29" s="705"/>
      <c r="B29" s="177"/>
      <c r="C29" s="171"/>
      <c r="D29" s="214" t="s">
        <v>265</v>
      </c>
      <c r="E29" s="185"/>
      <c r="F29" s="185"/>
      <c r="G29" s="185"/>
      <c r="H29" s="185"/>
      <c r="I29" s="185"/>
    </row>
    <row r="30" spans="1:42" s="187" customFormat="1" x14ac:dyDescent="0.2">
      <c r="A30" s="706"/>
      <c r="B30" s="179" t="s">
        <v>106</v>
      </c>
      <c r="C30" s="173">
        <v>1450642.784714049</v>
      </c>
      <c r="D30" s="214" t="s">
        <v>265</v>
      </c>
      <c r="E30" s="185"/>
      <c r="F30" s="185"/>
      <c r="G30" s="185"/>
      <c r="H30" s="185"/>
      <c r="I30" s="185"/>
      <c r="J30" s="185"/>
      <c r="T30" s="219"/>
      <c r="U30" s="219"/>
      <c r="V30" s="219"/>
      <c r="W30" s="219"/>
    </row>
    <row r="31" spans="1:42" s="187" customFormat="1" ht="32.25" customHeight="1" x14ac:dyDescent="0.2">
      <c r="A31" s="157" t="s">
        <v>107</v>
      </c>
      <c r="B31" s="167" t="s">
        <v>236</v>
      </c>
      <c r="C31" s="207">
        <v>18860000</v>
      </c>
      <c r="D31" s="214" t="s">
        <v>265</v>
      </c>
      <c r="E31" s="185"/>
      <c r="F31" s="185"/>
      <c r="G31" s="185"/>
      <c r="H31" s="185"/>
      <c r="I31" s="185"/>
      <c r="J31" s="185"/>
      <c r="K31" s="186"/>
      <c r="L31" s="186"/>
      <c r="M31" s="186"/>
      <c r="N31" s="186"/>
      <c r="O31" s="186"/>
      <c r="P31" s="186"/>
      <c r="Q31" s="186"/>
      <c r="R31" s="186"/>
      <c r="S31" s="186"/>
      <c r="T31" s="218"/>
      <c r="U31" s="218"/>
      <c r="V31" s="218"/>
      <c r="W31" s="218"/>
      <c r="X31" s="186"/>
      <c r="Y31" s="186"/>
      <c r="Z31" s="186"/>
      <c r="AA31" s="186"/>
      <c r="AB31" s="186"/>
      <c r="AC31" s="186"/>
      <c r="AD31" s="186"/>
      <c r="AE31" s="186"/>
      <c r="AF31" s="186"/>
      <c r="AG31" s="186"/>
      <c r="AH31" s="186"/>
      <c r="AI31" s="186"/>
      <c r="AJ31" s="186"/>
      <c r="AK31" s="186"/>
      <c r="AL31" s="186"/>
      <c r="AM31" s="186"/>
      <c r="AN31" s="186"/>
      <c r="AO31" s="186"/>
      <c r="AP31" s="188"/>
    </row>
    <row r="32" spans="1:42" s="187" customFormat="1" ht="24" customHeight="1" x14ac:dyDescent="0.2">
      <c r="A32" s="157" t="s">
        <v>10</v>
      </c>
      <c r="B32" s="180" t="s">
        <v>235</v>
      </c>
      <c r="C32" s="207">
        <v>564200000</v>
      </c>
      <c r="D32" s="185"/>
      <c r="E32" s="185"/>
      <c r="F32" s="185"/>
      <c r="G32" s="185"/>
      <c r="H32" s="185"/>
      <c r="I32" s="185"/>
      <c r="J32" s="185"/>
      <c r="K32" s="186"/>
      <c r="L32" s="186"/>
      <c r="M32" s="186"/>
      <c r="N32" s="186"/>
      <c r="O32" s="186"/>
      <c r="P32" s="186"/>
      <c r="Q32" s="186"/>
      <c r="R32" s="186"/>
      <c r="S32" s="186"/>
      <c r="T32" s="218"/>
      <c r="U32" s="218"/>
      <c r="V32" s="218"/>
      <c r="W32" s="218"/>
      <c r="X32" s="186"/>
      <c r="Y32" s="186"/>
      <c r="Z32" s="186"/>
      <c r="AA32" s="186"/>
      <c r="AB32" s="186"/>
      <c r="AC32" s="186"/>
      <c r="AD32" s="186"/>
      <c r="AE32" s="186"/>
      <c r="AF32" s="186"/>
      <c r="AG32" s="186"/>
      <c r="AH32" s="186"/>
      <c r="AI32" s="186"/>
      <c r="AJ32" s="186"/>
      <c r="AK32" s="186"/>
      <c r="AL32" s="186"/>
      <c r="AM32" s="186"/>
      <c r="AN32" s="186"/>
      <c r="AO32" s="186"/>
    </row>
    <row r="33" spans="1:41" s="190" customFormat="1" ht="27" customHeight="1" x14ac:dyDescent="0.2">
      <c r="A33" s="157" t="s">
        <v>54</v>
      </c>
      <c r="B33" s="180" t="s">
        <v>235</v>
      </c>
      <c r="C33" s="207">
        <v>221967608.67077586</v>
      </c>
      <c r="D33" s="185"/>
      <c r="E33" s="184"/>
      <c r="F33" s="184"/>
      <c r="G33" s="185"/>
      <c r="H33" s="185"/>
      <c r="I33" s="185"/>
      <c r="J33" s="185"/>
      <c r="K33" s="189"/>
      <c r="L33" s="189"/>
      <c r="M33" s="189"/>
      <c r="N33" s="189"/>
      <c r="O33" s="189"/>
      <c r="P33" s="189"/>
      <c r="Q33" s="189"/>
      <c r="R33" s="189"/>
      <c r="S33" s="189"/>
      <c r="T33" s="220"/>
      <c r="U33" s="220"/>
      <c r="V33" s="220"/>
      <c r="W33" s="220"/>
      <c r="X33" s="189"/>
      <c r="Y33" s="189"/>
      <c r="Z33" s="189"/>
      <c r="AA33" s="189"/>
      <c r="AB33" s="189"/>
      <c r="AC33" s="189"/>
      <c r="AD33" s="189"/>
      <c r="AE33" s="189"/>
      <c r="AF33" s="189"/>
      <c r="AG33" s="189"/>
      <c r="AH33" s="189"/>
      <c r="AI33" s="189"/>
      <c r="AJ33" s="189"/>
      <c r="AK33" s="189"/>
      <c r="AL33" s="189"/>
      <c r="AM33" s="189"/>
      <c r="AN33" s="189"/>
      <c r="AO33" s="189"/>
    </row>
    <row r="34" spans="1:41" s="187" customFormat="1" x14ac:dyDescent="0.2">
      <c r="A34" s="185"/>
      <c r="B34" s="185"/>
      <c r="C34" s="185"/>
      <c r="D34" s="185"/>
      <c r="E34" s="185"/>
      <c r="F34" s="185"/>
      <c r="G34" s="185"/>
      <c r="H34" s="185"/>
      <c r="I34" s="185"/>
      <c r="J34" s="185"/>
      <c r="T34" s="219"/>
      <c r="U34" s="219"/>
      <c r="V34" s="219"/>
      <c r="W34" s="219"/>
    </row>
    <row r="35" spans="1:41" s="187" customFormat="1" x14ac:dyDescent="0.2">
      <c r="A35" s="185"/>
      <c r="B35" s="185"/>
      <c r="C35" s="185"/>
      <c r="D35" s="185"/>
      <c r="E35" s="185"/>
      <c r="F35" s="185"/>
      <c r="G35" s="185"/>
      <c r="H35" s="185"/>
      <c r="I35" s="185"/>
      <c r="T35" s="219"/>
      <c r="U35" s="219"/>
      <c r="V35" s="219"/>
      <c r="W35" s="219"/>
    </row>
    <row r="36" spans="1:41" s="187" customFormat="1" x14ac:dyDescent="0.2">
      <c r="A36" s="684" t="s">
        <v>223</v>
      </c>
      <c r="B36" s="684"/>
      <c r="C36" s="684"/>
      <c r="D36" s="684"/>
      <c r="E36" s="684"/>
      <c r="F36" s="684"/>
      <c r="G36" s="684"/>
      <c r="H36" s="684"/>
      <c r="I36" s="684"/>
      <c r="K36" s="186"/>
      <c r="T36" s="219"/>
      <c r="U36" s="219"/>
      <c r="V36" s="219"/>
      <c r="W36" s="219"/>
    </row>
    <row r="37" spans="1:41" x14ac:dyDescent="0.2">
      <c r="A37" s="707"/>
      <c r="B37" s="708"/>
      <c r="C37" s="708"/>
      <c r="D37" s="708"/>
      <c r="E37" s="156">
        <v>1</v>
      </c>
      <c r="F37" s="156">
        <v>2</v>
      </c>
      <c r="G37" s="156">
        <v>3</v>
      </c>
      <c r="H37" s="156">
        <v>4</v>
      </c>
      <c r="I37" s="156">
        <v>5</v>
      </c>
      <c r="J37" s="156">
        <v>6</v>
      </c>
      <c r="K37" s="104">
        <v>7</v>
      </c>
      <c r="L37" s="156">
        <v>8</v>
      </c>
      <c r="M37" s="104">
        <v>9</v>
      </c>
      <c r="N37" s="156">
        <v>10</v>
      </c>
      <c r="O37" s="156">
        <v>11</v>
      </c>
      <c r="P37" s="156">
        <v>12</v>
      </c>
      <c r="Q37" s="156">
        <v>13</v>
      </c>
      <c r="R37" s="104">
        <v>14</v>
      </c>
      <c r="S37" s="156">
        <v>15</v>
      </c>
      <c r="T37" s="221">
        <v>16</v>
      </c>
      <c r="U37" s="221">
        <v>17</v>
      </c>
      <c r="V37" s="221">
        <v>18</v>
      </c>
      <c r="W37" s="222">
        <v>19</v>
      </c>
    </row>
    <row r="38" spans="1:41" x14ac:dyDescent="0.2">
      <c r="A38" s="4" t="s">
        <v>12</v>
      </c>
      <c r="B38" s="152"/>
      <c r="C38" s="2"/>
      <c r="D38" s="181"/>
      <c r="E38" s="152"/>
      <c r="F38" s="152"/>
      <c r="G38" s="152"/>
      <c r="H38" s="152"/>
      <c r="I38" s="152"/>
      <c r="J38" s="152"/>
      <c r="K38" s="152"/>
      <c r="L38" s="152"/>
      <c r="M38" s="152"/>
      <c r="N38" s="152"/>
      <c r="O38" s="181"/>
      <c r="P38" s="181"/>
      <c r="Q38" s="181"/>
      <c r="R38" s="152"/>
      <c r="S38" s="152"/>
      <c r="T38" s="223"/>
      <c r="U38" s="223"/>
      <c r="V38" s="223"/>
      <c r="W38" s="220"/>
    </row>
    <row r="39" spans="1:41" x14ac:dyDescent="0.2">
      <c r="A39" s="20"/>
      <c r="B39" s="2" t="s">
        <v>13</v>
      </c>
      <c r="C39" s="152" t="s">
        <v>14</v>
      </c>
      <c r="D39" s="181"/>
      <c r="E39" s="105">
        <v>30</v>
      </c>
      <c r="F39" s="105">
        <v>30</v>
      </c>
      <c r="G39" s="105">
        <v>30</v>
      </c>
      <c r="H39" s="105">
        <v>30</v>
      </c>
      <c r="I39" s="105">
        <v>30</v>
      </c>
      <c r="J39" s="105">
        <v>30</v>
      </c>
      <c r="K39" s="105">
        <v>30</v>
      </c>
      <c r="L39" s="105">
        <v>30</v>
      </c>
      <c r="M39" s="105">
        <v>30</v>
      </c>
      <c r="N39" s="105">
        <v>30</v>
      </c>
      <c r="O39" s="105">
        <v>30</v>
      </c>
      <c r="P39" s="105">
        <v>30</v>
      </c>
      <c r="Q39" s="105">
        <v>30</v>
      </c>
      <c r="R39" s="105">
        <v>30</v>
      </c>
      <c r="S39" s="105">
        <v>30</v>
      </c>
      <c r="T39" s="224">
        <v>30</v>
      </c>
      <c r="U39" s="224">
        <v>30</v>
      </c>
      <c r="V39" s="224">
        <v>30</v>
      </c>
      <c r="W39" s="224">
        <v>30</v>
      </c>
    </row>
    <row r="40" spans="1:41" x14ac:dyDescent="0.2">
      <c r="A40" s="20"/>
      <c r="B40" s="2" t="s">
        <v>15</v>
      </c>
      <c r="C40" s="152"/>
      <c r="D40" s="181"/>
      <c r="E40" s="3">
        <f>'Cashflow '!F12</f>
        <v>279.536992</v>
      </c>
      <c r="F40" s="3">
        <f>'Cashflow '!G12</f>
        <v>319.47084799999999</v>
      </c>
      <c r="G40" s="3">
        <f>'Cashflow '!H12</f>
        <v>379.37163199999998</v>
      </c>
      <c r="H40" s="3">
        <f>'Cashflow '!I12</f>
        <v>379.37163199999998</v>
      </c>
      <c r="I40" s="3">
        <f>'Cashflow '!J12</f>
        <v>379.37163199999998</v>
      </c>
      <c r="J40" s="3">
        <f>'Cashflow '!K12</f>
        <v>379.37163199999998</v>
      </c>
      <c r="K40" s="3">
        <f>'Cashflow '!L12</f>
        <v>379.37163199999998</v>
      </c>
      <c r="L40" s="3">
        <f>'Cashflow '!M12</f>
        <v>379.37163199999998</v>
      </c>
      <c r="M40" s="3">
        <f>'Cashflow '!N12</f>
        <v>379.37163199999998</v>
      </c>
      <c r="N40" s="3">
        <f>'Cashflow '!O12</f>
        <v>379.37163199999998</v>
      </c>
      <c r="O40" s="3">
        <f>'Cashflow '!P12</f>
        <v>371.1661074179687</v>
      </c>
      <c r="P40" s="3">
        <f>'Cashflow '!Q12</f>
        <v>371.1661074179687</v>
      </c>
      <c r="Q40" s="3">
        <f>'Cashflow '!R12</f>
        <v>371.1661074179687</v>
      </c>
      <c r="R40" s="3" t="e">
        <f>'Cashflow '!#REF!</f>
        <v>#REF!</v>
      </c>
      <c r="S40" s="3" t="e">
        <f>'Cashflow '!#REF!</f>
        <v>#REF!</v>
      </c>
      <c r="T40" s="225" t="e">
        <f>'Cashflow '!#REF!</f>
        <v>#REF!</v>
      </c>
      <c r="U40" s="225" t="e">
        <f>'Cashflow '!#REF!</f>
        <v>#REF!</v>
      </c>
      <c r="V40" s="225" t="e">
        <f>'Cashflow '!#REF!</f>
        <v>#REF!</v>
      </c>
      <c r="W40" s="225" t="e">
        <f>'Cashflow '!#REF!</f>
        <v>#REF!</v>
      </c>
    </row>
    <row r="41" spans="1:41" x14ac:dyDescent="0.2">
      <c r="A41" s="20"/>
      <c r="B41" s="2" t="s">
        <v>16</v>
      </c>
      <c r="C41" s="152"/>
      <c r="D41" s="181"/>
      <c r="E41" s="3">
        <f>+E40/365*E39</f>
        <v>22.975643178082191</v>
      </c>
      <c r="F41" s="3">
        <f t="shared" ref="F41:W41" si="0">+F40/365*F39</f>
        <v>26.257877917808216</v>
      </c>
      <c r="G41" s="3">
        <f t="shared" si="0"/>
        <v>31.181230027397259</v>
      </c>
      <c r="H41" s="3">
        <f t="shared" si="0"/>
        <v>31.181230027397259</v>
      </c>
      <c r="I41" s="3">
        <f t="shared" si="0"/>
        <v>31.181230027397259</v>
      </c>
      <c r="J41" s="3">
        <f t="shared" si="0"/>
        <v>31.181230027397259</v>
      </c>
      <c r="K41" s="3">
        <f t="shared" si="0"/>
        <v>31.181230027397259</v>
      </c>
      <c r="L41" s="3">
        <f t="shared" si="0"/>
        <v>31.181230027397259</v>
      </c>
      <c r="M41" s="3">
        <f t="shared" si="0"/>
        <v>31.181230027397259</v>
      </c>
      <c r="N41" s="3">
        <f t="shared" si="0"/>
        <v>31.181230027397259</v>
      </c>
      <c r="O41" s="3">
        <f t="shared" si="0"/>
        <v>30.506803349422082</v>
      </c>
      <c r="P41" s="3">
        <f t="shared" si="0"/>
        <v>30.506803349422082</v>
      </c>
      <c r="Q41" s="3">
        <f t="shared" si="0"/>
        <v>30.506803349422082</v>
      </c>
      <c r="R41" s="3" t="e">
        <f t="shared" si="0"/>
        <v>#REF!</v>
      </c>
      <c r="S41" s="3" t="e">
        <f t="shared" si="0"/>
        <v>#REF!</v>
      </c>
      <c r="T41" s="225" t="e">
        <f t="shared" si="0"/>
        <v>#REF!</v>
      </c>
      <c r="U41" s="225" t="e">
        <f t="shared" si="0"/>
        <v>#REF!</v>
      </c>
      <c r="V41" s="225" t="e">
        <f t="shared" si="0"/>
        <v>#REF!</v>
      </c>
      <c r="W41" s="225" t="e">
        <f t="shared" si="0"/>
        <v>#REF!</v>
      </c>
    </row>
    <row r="42" spans="1:41" x14ac:dyDescent="0.2">
      <c r="A42" s="20"/>
      <c r="B42" s="152"/>
      <c r="C42" s="152"/>
      <c r="D42" s="181"/>
      <c r="E42" s="152"/>
      <c r="F42" s="152"/>
      <c r="G42" s="152"/>
      <c r="H42" s="152"/>
      <c r="I42" s="152"/>
      <c r="J42" s="152"/>
      <c r="K42" s="152"/>
      <c r="L42" s="152"/>
      <c r="M42" s="152"/>
      <c r="N42" s="152"/>
      <c r="O42" s="152"/>
      <c r="P42" s="152"/>
      <c r="Q42" s="152"/>
      <c r="R42" s="152"/>
      <c r="S42" s="152"/>
      <c r="T42" s="220"/>
      <c r="U42" s="220"/>
      <c r="V42" s="220"/>
      <c r="W42" s="220"/>
    </row>
    <row r="43" spans="1:41" x14ac:dyDescent="0.2">
      <c r="A43" s="4" t="s">
        <v>17</v>
      </c>
      <c r="B43" s="152"/>
      <c r="C43" s="2"/>
      <c r="D43" s="181"/>
      <c r="E43" s="152"/>
      <c r="F43" s="152"/>
      <c r="G43" s="152"/>
      <c r="H43" s="152"/>
      <c r="I43" s="152"/>
      <c r="J43" s="152"/>
      <c r="K43" s="152"/>
      <c r="L43" s="152"/>
      <c r="M43" s="152"/>
      <c r="N43" s="152"/>
      <c r="O43" s="152"/>
      <c r="P43" s="152"/>
      <c r="Q43" s="152"/>
      <c r="R43" s="152"/>
      <c r="S43" s="152"/>
      <c r="T43" s="220"/>
      <c r="U43" s="220"/>
      <c r="V43" s="220"/>
      <c r="W43" s="220"/>
    </row>
    <row r="44" spans="1:41" x14ac:dyDescent="0.2">
      <c r="A44" s="20"/>
      <c r="B44" s="2" t="s">
        <v>18</v>
      </c>
      <c r="C44" s="152" t="s">
        <v>14</v>
      </c>
      <c r="D44" s="181"/>
      <c r="E44" s="105">
        <v>20</v>
      </c>
      <c r="F44" s="105">
        <v>20</v>
      </c>
      <c r="G44" s="105">
        <v>20</v>
      </c>
      <c r="H44" s="105">
        <v>20</v>
      </c>
      <c r="I44" s="105">
        <v>20</v>
      </c>
      <c r="J44" s="105">
        <v>20</v>
      </c>
      <c r="K44" s="105">
        <v>20</v>
      </c>
      <c r="L44" s="105">
        <v>20</v>
      </c>
      <c r="M44" s="105">
        <v>20</v>
      </c>
      <c r="N44" s="105">
        <v>20</v>
      </c>
      <c r="O44" s="105">
        <v>20</v>
      </c>
      <c r="P44" s="105">
        <v>20</v>
      </c>
      <c r="Q44" s="105">
        <v>20</v>
      </c>
      <c r="R44" s="105">
        <v>20</v>
      </c>
      <c r="S44" s="105">
        <v>20</v>
      </c>
      <c r="T44" s="224">
        <v>20</v>
      </c>
      <c r="U44" s="224">
        <v>20</v>
      </c>
      <c r="V44" s="224">
        <v>20</v>
      </c>
      <c r="W44" s="224">
        <v>20</v>
      </c>
    </row>
    <row r="45" spans="1:41" x14ac:dyDescent="0.2">
      <c r="A45" s="20"/>
      <c r="B45" s="2" t="s">
        <v>19</v>
      </c>
      <c r="C45" s="152"/>
      <c r="D45" s="181"/>
      <c r="E45" s="3">
        <f>'Cashflow '!F20</f>
        <v>141.3331581071875</v>
      </c>
      <c r="F45" s="3">
        <f>'Cashflow '!G20</f>
        <v>127.34768699825001</v>
      </c>
      <c r="G45" s="3">
        <f>'Cashflow '!H20</f>
        <v>176.66369547331252</v>
      </c>
      <c r="H45" s="3">
        <f>'Cashflow '!I20</f>
        <v>176.66369547331252</v>
      </c>
      <c r="I45" s="3">
        <f>'Cashflow '!J20</f>
        <v>176.66369547331252</v>
      </c>
      <c r="J45" s="3">
        <f>'Cashflow '!K20</f>
        <v>176.66369547331252</v>
      </c>
      <c r="K45" s="3">
        <f>'Cashflow '!L20</f>
        <v>176.66369547331252</v>
      </c>
      <c r="L45" s="3">
        <f>'Cashflow '!M20</f>
        <v>176.66369547331252</v>
      </c>
      <c r="M45" s="3">
        <f>'Cashflow '!N20</f>
        <v>176.66369547331252</v>
      </c>
      <c r="N45" s="3">
        <f>'Cashflow '!O20</f>
        <v>176.66369547331252</v>
      </c>
      <c r="O45" s="3">
        <f>'Cashflow '!P20</f>
        <v>176.66369547331252</v>
      </c>
      <c r="P45" s="3">
        <f>'Cashflow '!Q20</f>
        <v>176.66369547331252</v>
      </c>
      <c r="Q45" s="3">
        <f>'Cashflow '!R20</f>
        <v>176.66369547331252</v>
      </c>
      <c r="R45" s="3" t="e">
        <f>'Cashflow '!#REF!</f>
        <v>#REF!</v>
      </c>
      <c r="S45" s="3" t="e">
        <f>'Cashflow '!#REF!</f>
        <v>#REF!</v>
      </c>
      <c r="T45" s="225" t="e">
        <f>'Cashflow '!#REF!</f>
        <v>#REF!</v>
      </c>
      <c r="U45" s="225" t="e">
        <f>'Cashflow '!#REF!</f>
        <v>#REF!</v>
      </c>
      <c r="V45" s="225" t="e">
        <f>'Cashflow '!#REF!</f>
        <v>#REF!</v>
      </c>
      <c r="W45" s="225" t="e">
        <f>'Cashflow '!#REF!</f>
        <v>#REF!</v>
      </c>
    </row>
    <row r="46" spans="1:41" x14ac:dyDescent="0.2">
      <c r="A46" s="20"/>
      <c r="B46" s="2" t="s">
        <v>20</v>
      </c>
      <c r="C46" s="152"/>
      <c r="D46" s="181"/>
      <c r="E46" s="3">
        <f>+E45/365*E44</f>
        <v>7.7442826360102748</v>
      </c>
      <c r="F46" s="3">
        <f t="shared" ref="F46:W46" si="1">+F45/365*F44</f>
        <v>6.9779554519589047</v>
      </c>
      <c r="G46" s="3">
        <f t="shared" si="1"/>
        <v>9.6802024916883571</v>
      </c>
      <c r="H46" s="3">
        <f t="shared" si="1"/>
        <v>9.6802024916883571</v>
      </c>
      <c r="I46" s="3">
        <f t="shared" si="1"/>
        <v>9.6802024916883571</v>
      </c>
      <c r="J46" s="3">
        <f t="shared" si="1"/>
        <v>9.6802024916883571</v>
      </c>
      <c r="K46" s="3">
        <f t="shared" si="1"/>
        <v>9.6802024916883571</v>
      </c>
      <c r="L46" s="3">
        <f t="shared" si="1"/>
        <v>9.6802024916883571</v>
      </c>
      <c r="M46" s="3">
        <f t="shared" si="1"/>
        <v>9.6802024916883571</v>
      </c>
      <c r="N46" s="3">
        <f t="shared" si="1"/>
        <v>9.6802024916883571</v>
      </c>
      <c r="O46" s="3">
        <f t="shared" si="1"/>
        <v>9.6802024916883571</v>
      </c>
      <c r="P46" s="3">
        <f t="shared" si="1"/>
        <v>9.6802024916883571</v>
      </c>
      <c r="Q46" s="3">
        <f t="shared" si="1"/>
        <v>9.6802024916883571</v>
      </c>
      <c r="R46" s="3" t="e">
        <f t="shared" si="1"/>
        <v>#REF!</v>
      </c>
      <c r="S46" s="3" t="e">
        <f t="shared" si="1"/>
        <v>#REF!</v>
      </c>
      <c r="T46" s="225" t="e">
        <f t="shared" si="1"/>
        <v>#REF!</v>
      </c>
      <c r="U46" s="225" t="e">
        <f t="shared" si="1"/>
        <v>#REF!</v>
      </c>
      <c r="V46" s="225" t="e">
        <f t="shared" si="1"/>
        <v>#REF!</v>
      </c>
      <c r="W46" s="225" t="e">
        <f t="shared" si="1"/>
        <v>#REF!</v>
      </c>
    </row>
    <row r="47" spans="1:41" x14ac:dyDescent="0.2">
      <c r="A47" s="20"/>
      <c r="B47" s="152"/>
      <c r="C47" s="152"/>
      <c r="D47" s="181"/>
      <c r="E47" s="152"/>
      <c r="F47" s="152"/>
      <c r="G47" s="152"/>
      <c r="H47" s="152"/>
      <c r="I47" s="152"/>
      <c r="J47" s="152"/>
      <c r="K47" s="152"/>
      <c r="L47" s="152"/>
      <c r="M47" s="152"/>
      <c r="N47" s="152"/>
      <c r="O47" s="181"/>
      <c r="P47" s="181"/>
      <c r="Q47" s="181"/>
      <c r="R47" s="152"/>
      <c r="S47" s="152"/>
      <c r="T47" s="223"/>
      <c r="U47" s="223"/>
      <c r="V47" s="223"/>
      <c r="W47" s="220"/>
    </row>
    <row r="48" spans="1:41" x14ac:dyDescent="0.2">
      <c r="A48" s="4" t="s">
        <v>21</v>
      </c>
      <c r="B48" s="152"/>
      <c r="C48" s="2"/>
      <c r="D48" s="181"/>
      <c r="E48" s="152"/>
      <c r="F48" s="152"/>
      <c r="G48" s="152"/>
      <c r="H48" s="152"/>
      <c r="I48" s="152"/>
      <c r="J48" s="152"/>
      <c r="K48" s="152"/>
      <c r="L48" s="152"/>
      <c r="M48" s="152"/>
      <c r="N48" s="152"/>
      <c r="O48" s="181"/>
      <c r="P48" s="181"/>
      <c r="Q48" s="181"/>
      <c r="R48" s="152"/>
      <c r="S48" s="152"/>
      <c r="T48" s="223"/>
      <c r="U48" s="223"/>
      <c r="V48" s="223"/>
      <c r="W48" s="220"/>
    </row>
    <row r="49" spans="1:23" x14ac:dyDescent="0.2">
      <c r="A49" s="20"/>
      <c r="B49" s="2" t="s">
        <v>22</v>
      </c>
      <c r="C49" s="152" t="s">
        <v>14</v>
      </c>
      <c r="D49" s="181"/>
      <c r="E49" s="105">
        <v>10</v>
      </c>
      <c r="F49" s="105">
        <v>10</v>
      </c>
      <c r="G49" s="105">
        <v>10</v>
      </c>
      <c r="H49" s="105">
        <v>10</v>
      </c>
      <c r="I49" s="105">
        <v>10</v>
      </c>
      <c r="J49" s="105">
        <v>10</v>
      </c>
      <c r="K49" s="105">
        <v>10</v>
      </c>
      <c r="L49" s="105">
        <v>10</v>
      </c>
      <c r="M49" s="105">
        <v>10</v>
      </c>
      <c r="N49" s="105">
        <v>10</v>
      </c>
      <c r="O49" s="105">
        <v>10</v>
      </c>
      <c r="P49" s="105">
        <v>10</v>
      </c>
      <c r="Q49" s="105">
        <v>10</v>
      </c>
      <c r="R49" s="105">
        <v>10</v>
      </c>
      <c r="S49" s="105">
        <v>10</v>
      </c>
      <c r="T49" s="224">
        <v>10</v>
      </c>
      <c r="U49" s="224">
        <v>10</v>
      </c>
      <c r="V49" s="224">
        <v>10</v>
      </c>
      <c r="W49" s="224">
        <v>10</v>
      </c>
    </row>
    <row r="50" spans="1:23" x14ac:dyDescent="0.2">
      <c r="A50" s="20"/>
      <c r="B50" s="2" t="s">
        <v>23</v>
      </c>
      <c r="C50" s="152"/>
      <c r="D50" s="181"/>
      <c r="E50" s="3">
        <f>-E45</f>
        <v>-141.3331581071875</v>
      </c>
      <c r="F50" s="3">
        <f t="shared" ref="F50:W50" si="2">-F45</f>
        <v>-127.34768699825001</v>
      </c>
      <c r="G50" s="3">
        <f t="shared" si="2"/>
        <v>-176.66369547331252</v>
      </c>
      <c r="H50" s="3">
        <f t="shared" si="2"/>
        <v>-176.66369547331252</v>
      </c>
      <c r="I50" s="3">
        <f t="shared" si="2"/>
        <v>-176.66369547331252</v>
      </c>
      <c r="J50" s="3">
        <f t="shared" si="2"/>
        <v>-176.66369547331252</v>
      </c>
      <c r="K50" s="3">
        <f t="shared" si="2"/>
        <v>-176.66369547331252</v>
      </c>
      <c r="L50" s="3">
        <f t="shared" si="2"/>
        <v>-176.66369547331252</v>
      </c>
      <c r="M50" s="3">
        <f>-M45</f>
        <v>-176.66369547331252</v>
      </c>
      <c r="N50" s="3">
        <f t="shared" si="2"/>
        <v>-176.66369547331252</v>
      </c>
      <c r="O50" s="3">
        <f t="shared" si="2"/>
        <v>-176.66369547331252</v>
      </c>
      <c r="P50" s="3">
        <f t="shared" si="2"/>
        <v>-176.66369547331252</v>
      </c>
      <c r="Q50" s="3">
        <f t="shared" si="2"/>
        <v>-176.66369547331252</v>
      </c>
      <c r="R50" s="3" t="e">
        <f t="shared" si="2"/>
        <v>#REF!</v>
      </c>
      <c r="S50" s="3" t="e">
        <f t="shared" si="2"/>
        <v>#REF!</v>
      </c>
      <c r="T50" s="225" t="e">
        <f t="shared" si="2"/>
        <v>#REF!</v>
      </c>
      <c r="U50" s="225" t="e">
        <f t="shared" si="2"/>
        <v>#REF!</v>
      </c>
      <c r="V50" s="225" t="e">
        <f t="shared" si="2"/>
        <v>#REF!</v>
      </c>
      <c r="W50" s="225" t="e">
        <f t="shared" si="2"/>
        <v>#REF!</v>
      </c>
    </row>
    <row r="51" spans="1:23" x14ac:dyDescent="0.2">
      <c r="A51" s="63"/>
      <c r="B51" s="5" t="s">
        <v>23</v>
      </c>
      <c r="C51" s="153"/>
      <c r="D51" s="182"/>
      <c r="E51" s="6">
        <f>+E50/365*E49</f>
        <v>-3.8721413180051374</v>
      </c>
      <c r="F51" s="6">
        <f t="shared" ref="F51:W51" si="3">+F50/365*F49</f>
        <v>-3.4889777259794523</v>
      </c>
      <c r="G51" s="6">
        <f t="shared" si="3"/>
        <v>-4.8401012458441786</v>
      </c>
      <c r="H51" s="6">
        <f t="shared" si="3"/>
        <v>-4.8401012458441786</v>
      </c>
      <c r="I51" s="6">
        <f t="shared" si="3"/>
        <v>-4.8401012458441786</v>
      </c>
      <c r="J51" s="6">
        <f t="shared" si="3"/>
        <v>-4.8401012458441786</v>
      </c>
      <c r="K51" s="6">
        <f t="shared" si="3"/>
        <v>-4.8401012458441786</v>
      </c>
      <c r="L51" s="6">
        <f t="shared" si="3"/>
        <v>-4.8401012458441786</v>
      </c>
      <c r="M51" s="6">
        <f t="shared" si="3"/>
        <v>-4.8401012458441786</v>
      </c>
      <c r="N51" s="6">
        <f t="shared" si="3"/>
        <v>-4.8401012458441786</v>
      </c>
      <c r="O51" s="6">
        <f t="shared" si="3"/>
        <v>-4.8401012458441786</v>
      </c>
      <c r="P51" s="6">
        <f t="shared" si="3"/>
        <v>-4.8401012458441786</v>
      </c>
      <c r="Q51" s="6">
        <f t="shared" si="3"/>
        <v>-4.8401012458441786</v>
      </c>
      <c r="R51" s="6" t="e">
        <f t="shared" si="3"/>
        <v>#REF!</v>
      </c>
      <c r="S51" s="6" t="e">
        <f t="shared" si="3"/>
        <v>#REF!</v>
      </c>
      <c r="T51" s="226" t="e">
        <f t="shared" si="3"/>
        <v>#REF!</v>
      </c>
      <c r="U51" s="226" t="e">
        <f t="shared" si="3"/>
        <v>#REF!</v>
      </c>
      <c r="V51" s="226" t="e">
        <f t="shared" si="3"/>
        <v>#REF!</v>
      </c>
      <c r="W51" s="226" t="e">
        <f t="shared" si="3"/>
        <v>#REF!</v>
      </c>
    </row>
    <row r="52" spans="1:23" x14ac:dyDescent="0.2">
      <c r="A52" s="153"/>
      <c r="B52" s="5"/>
      <c r="C52" s="153"/>
      <c r="F52" s="191"/>
      <c r="G52" s="191"/>
      <c r="H52" s="191"/>
      <c r="I52" s="191"/>
      <c r="J52" s="191"/>
      <c r="K52" s="191"/>
    </row>
    <row r="53" spans="1:23" ht="22.5" customHeight="1" x14ac:dyDescent="0.2">
      <c r="A53" s="712" t="s">
        <v>224</v>
      </c>
      <c r="B53" s="712"/>
      <c r="C53" s="712"/>
    </row>
    <row r="54" spans="1:23" x14ac:dyDescent="0.2">
      <c r="A54" s="713" t="s">
        <v>212</v>
      </c>
      <c r="B54" s="714"/>
      <c r="C54" s="715"/>
    </row>
    <row r="55" spans="1:23" x14ac:dyDescent="0.2">
      <c r="A55" s="151" t="s">
        <v>38</v>
      </c>
      <c r="B55" s="151" t="s">
        <v>52</v>
      </c>
      <c r="C55" s="151" t="s">
        <v>51</v>
      </c>
    </row>
    <row r="56" spans="1:23" x14ac:dyDescent="0.2">
      <c r="A56" s="8">
        <v>1</v>
      </c>
      <c r="B56" s="36" t="s">
        <v>139</v>
      </c>
      <c r="C56" s="37">
        <f>(Norms!C35*Norms!D35)/10^7</f>
        <v>16.108560000000001</v>
      </c>
    </row>
    <row r="57" spans="1:23" x14ac:dyDescent="0.2">
      <c r="A57" s="107"/>
      <c r="B57" s="155" t="s">
        <v>48</v>
      </c>
      <c r="C57" s="108">
        <f>SUM(C56:C56)</f>
        <v>16.108560000000001</v>
      </c>
    </row>
    <row r="58" spans="1:23" x14ac:dyDescent="0.2">
      <c r="A58" s="713" t="s">
        <v>212</v>
      </c>
      <c r="B58" s="714"/>
      <c r="C58" s="715"/>
    </row>
    <row r="59" spans="1:23" x14ac:dyDescent="0.2">
      <c r="A59" s="151" t="s">
        <v>38</v>
      </c>
      <c r="B59" s="151" t="s">
        <v>52</v>
      </c>
      <c r="C59" s="151" t="s">
        <v>51</v>
      </c>
    </row>
    <row r="60" spans="1:23" x14ac:dyDescent="0.2">
      <c r="A60" s="8">
        <v>1</v>
      </c>
      <c r="B60" s="36" t="s">
        <v>226</v>
      </c>
      <c r="C60" s="37">
        <f>(Norms!C39*Norms!D39)/10^7</f>
        <v>383.23</v>
      </c>
    </row>
    <row r="61" spans="1:23" x14ac:dyDescent="0.2">
      <c r="A61" s="107"/>
      <c r="B61" s="155" t="s">
        <v>48</v>
      </c>
      <c r="C61" s="108">
        <f>SUM(C60:C60)</f>
        <v>383.23</v>
      </c>
    </row>
    <row r="62" spans="1:23" ht="18" customHeight="1" x14ac:dyDescent="0.2">
      <c r="A62" s="143"/>
      <c r="B62" s="143"/>
      <c r="C62" s="143"/>
    </row>
    <row r="63" spans="1:23" x14ac:dyDescent="0.2">
      <c r="A63" s="684" t="s">
        <v>225</v>
      </c>
      <c r="B63" s="684"/>
    </row>
    <row r="64" spans="1:23" x14ac:dyDescent="0.2">
      <c r="A64" s="98" t="s">
        <v>26</v>
      </c>
      <c r="B64" s="100" t="s">
        <v>28</v>
      </c>
    </row>
    <row r="65" spans="1:10" x14ac:dyDescent="0.2">
      <c r="A65" s="7" t="s">
        <v>29</v>
      </c>
      <c r="B65" s="31">
        <f>Norms!B43*Norms!C43</f>
        <v>35</v>
      </c>
    </row>
    <row r="66" spans="1:10" x14ac:dyDescent="0.2">
      <c r="A66" s="7" t="s">
        <v>30</v>
      </c>
      <c r="B66" s="31">
        <f>Norms!B44*Norms!C44</f>
        <v>50</v>
      </c>
    </row>
    <row r="67" spans="1:10" x14ac:dyDescent="0.2">
      <c r="A67" s="7" t="s">
        <v>31</v>
      </c>
      <c r="B67" s="31">
        <f>Norms!B45*Norms!C45</f>
        <v>60</v>
      </c>
    </row>
    <row r="68" spans="1:10" x14ac:dyDescent="0.2">
      <c r="A68" s="7" t="s">
        <v>32</v>
      </c>
      <c r="B68" s="31">
        <f>Norms!B46*Norms!C46</f>
        <v>40</v>
      </c>
    </row>
    <row r="69" spans="1:10" x14ac:dyDescent="0.2">
      <c r="A69" s="210" t="s">
        <v>33</v>
      </c>
      <c r="B69" s="31">
        <f>Norms!B47*Norms!C47</f>
        <v>60</v>
      </c>
    </row>
    <row r="70" spans="1:10" x14ac:dyDescent="0.2">
      <c r="A70" s="7" t="s">
        <v>34</v>
      </c>
      <c r="B70" s="31">
        <f>Norms!B48*Norms!C48</f>
        <v>105</v>
      </c>
    </row>
    <row r="71" spans="1:10" x14ac:dyDescent="0.2">
      <c r="A71" s="101" t="s">
        <v>37</v>
      </c>
      <c r="B71" s="103">
        <f>SUM(B65:B70)/100</f>
        <v>3.5</v>
      </c>
    </row>
    <row r="72" spans="1:10" x14ac:dyDescent="0.2">
      <c r="A72" s="183"/>
      <c r="B72" s="183"/>
    </row>
    <row r="73" spans="1:10" x14ac:dyDescent="0.2">
      <c r="A73" s="698" t="s">
        <v>221</v>
      </c>
      <c r="B73" s="698"/>
    </row>
    <row r="74" spans="1:10" x14ac:dyDescent="0.2">
      <c r="A74" s="699" t="s">
        <v>227</v>
      </c>
      <c r="B74" s="700"/>
    </row>
    <row r="75" spans="1:10" x14ac:dyDescent="0.2">
      <c r="A75" s="135" t="s">
        <v>84</v>
      </c>
      <c r="B75" s="136" t="s">
        <v>85</v>
      </c>
    </row>
    <row r="76" spans="1:10" x14ac:dyDescent="0.2">
      <c r="A76" s="70" t="s">
        <v>86</v>
      </c>
      <c r="B76" s="227" t="e">
        <f>$B$78*Norms!#REF!</f>
        <v>#REF!</v>
      </c>
    </row>
    <row r="77" spans="1:10" x14ac:dyDescent="0.2">
      <c r="A77" s="70" t="s">
        <v>87</v>
      </c>
      <c r="B77" s="227" t="e">
        <f>$B$78*Norms!#REF!</f>
        <v>#REF!</v>
      </c>
    </row>
    <row r="78" spans="1:10" x14ac:dyDescent="0.2">
      <c r="A78" s="42" t="s">
        <v>47</v>
      </c>
      <c r="B78" s="195" t="e">
        <f>Capex!#REF!</f>
        <v>#REF!</v>
      </c>
    </row>
    <row r="79" spans="1:10" x14ac:dyDescent="0.2">
      <c r="A79" s="40"/>
      <c r="B79" s="144"/>
    </row>
    <row r="80" spans="1:10" x14ac:dyDescent="0.2">
      <c r="A80" s="701" t="s">
        <v>221</v>
      </c>
      <c r="B80" s="702"/>
      <c r="C80" s="702"/>
      <c r="D80" s="702"/>
      <c r="E80" s="702"/>
      <c r="F80" s="702"/>
      <c r="G80" s="702"/>
      <c r="H80" s="702"/>
      <c r="I80" s="702"/>
      <c r="J80" s="703"/>
    </row>
    <row r="81" spans="1:10" x14ac:dyDescent="0.2">
      <c r="A81" s="716" t="s">
        <v>228</v>
      </c>
      <c r="B81" s="717"/>
      <c r="C81" s="717"/>
      <c r="D81" s="717"/>
      <c r="E81" s="717"/>
      <c r="F81" s="717"/>
      <c r="G81" s="717"/>
      <c r="H81" s="717"/>
      <c r="I81" s="717"/>
      <c r="J81" s="718"/>
    </row>
    <row r="82" spans="1:10" x14ac:dyDescent="0.2">
      <c r="A82" s="145" t="s">
        <v>88</v>
      </c>
      <c r="B82" s="196">
        <v>0.1</v>
      </c>
      <c r="C82" s="146"/>
      <c r="D82" s="146"/>
      <c r="E82" s="146"/>
      <c r="F82" s="146"/>
      <c r="G82" s="146"/>
      <c r="H82" s="146"/>
      <c r="I82" s="146"/>
      <c r="J82" s="147"/>
    </row>
    <row r="83" spans="1:10" x14ac:dyDescent="0.2">
      <c r="A83" s="70" t="s">
        <v>89</v>
      </c>
      <c r="B83" s="146"/>
      <c r="C83" s="146"/>
      <c r="D83" s="146"/>
      <c r="E83" s="146"/>
      <c r="F83" s="146"/>
      <c r="G83" s="146"/>
      <c r="H83" s="146"/>
      <c r="I83" s="146"/>
      <c r="J83" s="147"/>
    </row>
    <row r="84" spans="1:10" x14ac:dyDescent="0.2">
      <c r="A84" s="38" t="s">
        <v>90</v>
      </c>
      <c r="B84" s="40" t="s">
        <v>61</v>
      </c>
      <c r="C84" s="40" t="s">
        <v>62</v>
      </c>
      <c r="D84" s="40" t="s">
        <v>63</v>
      </c>
      <c r="E84" s="40" t="s">
        <v>64</v>
      </c>
      <c r="F84" s="40" t="s">
        <v>65</v>
      </c>
      <c r="G84" s="40" t="s">
        <v>66</v>
      </c>
      <c r="H84" s="40" t="s">
        <v>67</v>
      </c>
      <c r="I84" s="40" t="s">
        <v>68</v>
      </c>
      <c r="J84" s="41" t="s">
        <v>69</v>
      </c>
    </row>
    <row r="85" spans="1:10" x14ac:dyDescent="0.2">
      <c r="A85" s="154" t="s">
        <v>91</v>
      </c>
      <c r="B85" s="59" t="e">
        <f>B77</f>
        <v>#REF!</v>
      </c>
      <c r="C85" s="59" t="e">
        <f>B85-B87</f>
        <v>#REF!</v>
      </c>
      <c r="D85" s="59" t="e">
        <f t="shared" ref="D85:J85" si="4">+C86-C88</f>
        <v>#REF!</v>
      </c>
      <c r="E85" s="59" t="e">
        <f t="shared" si="4"/>
        <v>#REF!</v>
      </c>
      <c r="F85" s="59" t="e">
        <f t="shared" si="4"/>
        <v>#REF!</v>
      </c>
      <c r="G85" s="59" t="e">
        <f t="shared" si="4"/>
        <v>#REF!</v>
      </c>
      <c r="H85" s="59" t="e">
        <f t="shared" si="4"/>
        <v>#REF!</v>
      </c>
      <c r="I85" s="59" t="e">
        <f t="shared" si="4"/>
        <v>#REF!</v>
      </c>
      <c r="J85" s="60" t="e">
        <f t="shared" si="4"/>
        <v>#REF!</v>
      </c>
    </row>
    <row r="86" spans="1:10" x14ac:dyDescent="0.2">
      <c r="A86" s="148"/>
      <c r="B86" s="59"/>
      <c r="C86" s="59" t="e">
        <f t="shared" ref="C86:J86" si="5">+C85-C87</f>
        <v>#REF!</v>
      </c>
      <c r="D86" s="59" t="e">
        <f t="shared" si="5"/>
        <v>#REF!</v>
      </c>
      <c r="E86" s="59" t="e">
        <f t="shared" si="5"/>
        <v>#REF!</v>
      </c>
      <c r="F86" s="59" t="e">
        <f t="shared" si="5"/>
        <v>#REF!</v>
      </c>
      <c r="G86" s="59" t="e">
        <f t="shared" si="5"/>
        <v>#REF!</v>
      </c>
      <c r="H86" s="59" t="e">
        <f t="shared" si="5"/>
        <v>#REF!</v>
      </c>
      <c r="I86" s="59" t="e">
        <f t="shared" si="5"/>
        <v>#REF!</v>
      </c>
      <c r="J86" s="60" t="e">
        <f t="shared" si="5"/>
        <v>#REF!</v>
      </c>
    </row>
    <row r="87" spans="1:10" x14ac:dyDescent="0.2">
      <c r="A87" s="711" t="s">
        <v>92</v>
      </c>
      <c r="B87" s="59">
        <v>0</v>
      </c>
      <c r="C87" s="59" t="e">
        <f>+$B$85/15</f>
        <v>#REF!</v>
      </c>
      <c r="D87" s="59" t="e">
        <f t="shared" ref="D87:J88" si="6">+$B$85/15</f>
        <v>#REF!</v>
      </c>
      <c r="E87" s="59" t="e">
        <f t="shared" si="6"/>
        <v>#REF!</v>
      </c>
      <c r="F87" s="59" t="e">
        <f t="shared" si="6"/>
        <v>#REF!</v>
      </c>
      <c r="G87" s="59" t="e">
        <f t="shared" si="6"/>
        <v>#REF!</v>
      </c>
      <c r="H87" s="59" t="e">
        <f t="shared" si="6"/>
        <v>#REF!</v>
      </c>
      <c r="I87" s="59" t="e">
        <f t="shared" si="6"/>
        <v>#REF!</v>
      </c>
      <c r="J87" s="60" t="e">
        <f t="shared" si="6"/>
        <v>#REF!</v>
      </c>
    </row>
    <row r="88" spans="1:10" x14ac:dyDescent="0.2">
      <c r="A88" s="711"/>
      <c r="B88" s="59">
        <v>0</v>
      </c>
      <c r="C88" s="59" t="e">
        <f>+$B$85/15</f>
        <v>#REF!</v>
      </c>
      <c r="D88" s="59" t="e">
        <f t="shared" si="6"/>
        <v>#REF!</v>
      </c>
      <c r="E88" s="59" t="e">
        <f t="shared" si="6"/>
        <v>#REF!</v>
      </c>
      <c r="F88" s="59" t="e">
        <f t="shared" si="6"/>
        <v>#REF!</v>
      </c>
      <c r="G88" s="59" t="e">
        <f t="shared" si="6"/>
        <v>#REF!</v>
      </c>
      <c r="H88" s="59" t="e">
        <f t="shared" si="6"/>
        <v>#REF!</v>
      </c>
      <c r="I88" s="59" t="e">
        <f t="shared" si="6"/>
        <v>#REF!</v>
      </c>
      <c r="J88" s="60" t="e">
        <f t="shared" si="6"/>
        <v>#REF!</v>
      </c>
    </row>
    <row r="89" spans="1:10" x14ac:dyDescent="0.2">
      <c r="A89" s="154" t="s">
        <v>93</v>
      </c>
      <c r="B89" s="59">
        <f t="shared" ref="B89:J89" si="7">SUM(B87:B88)</f>
        <v>0</v>
      </c>
      <c r="C89" s="59" t="e">
        <f t="shared" si="7"/>
        <v>#REF!</v>
      </c>
      <c r="D89" s="59" t="e">
        <f t="shared" si="7"/>
        <v>#REF!</v>
      </c>
      <c r="E89" s="59" t="e">
        <f t="shared" si="7"/>
        <v>#REF!</v>
      </c>
      <c r="F89" s="59" t="e">
        <f t="shared" si="7"/>
        <v>#REF!</v>
      </c>
      <c r="G89" s="59" t="e">
        <f t="shared" si="7"/>
        <v>#REF!</v>
      </c>
      <c r="H89" s="59" t="e">
        <f t="shared" si="7"/>
        <v>#REF!</v>
      </c>
      <c r="I89" s="59" t="e">
        <f t="shared" si="7"/>
        <v>#REF!</v>
      </c>
      <c r="J89" s="60" t="e">
        <f t="shared" si="7"/>
        <v>#REF!</v>
      </c>
    </row>
    <row r="90" spans="1:10" x14ac:dyDescent="0.2">
      <c r="A90" s="711" t="s">
        <v>94</v>
      </c>
      <c r="B90" s="59" t="e">
        <f>+B85*$B$82/2</f>
        <v>#REF!</v>
      </c>
      <c r="C90" s="59" t="e">
        <f t="shared" ref="C90:J91" si="8">+C85*$B$82/2</f>
        <v>#REF!</v>
      </c>
      <c r="D90" s="59" t="e">
        <f t="shared" si="8"/>
        <v>#REF!</v>
      </c>
      <c r="E90" s="59" t="e">
        <f t="shared" si="8"/>
        <v>#REF!</v>
      </c>
      <c r="F90" s="59" t="e">
        <f t="shared" si="8"/>
        <v>#REF!</v>
      </c>
      <c r="G90" s="59" t="e">
        <f t="shared" si="8"/>
        <v>#REF!</v>
      </c>
      <c r="H90" s="59" t="e">
        <f t="shared" si="8"/>
        <v>#REF!</v>
      </c>
      <c r="I90" s="59" t="e">
        <f t="shared" si="8"/>
        <v>#REF!</v>
      </c>
      <c r="J90" s="60" t="e">
        <f t="shared" si="8"/>
        <v>#REF!</v>
      </c>
    </row>
    <row r="91" spans="1:10" x14ac:dyDescent="0.2">
      <c r="A91" s="711"/>
      <c r="B91" s="59" t="e">
        <f>+B90</f>
        <v>#REF!</v>
      </c>
      <c r="C91" s="59" t="e">
        <f>+C86*$B$82/2</f>
        <v>#REF!</v>
      </c>
      <c r="D91" s="59" t="e">
        <f t="shared" si="8"/>
        <v>#REF!</v>
      </c>
      <c r="E91" s="59" t="e">
        <f t="shared" si="8"/>
        <v>#REF!</v>
      </c>
      <c r="F91" s="59" t="e">
        <f t="shared" si="8"/>
        <v>#REF!</v>
      </c>
      <c r="G91" s="59" t="e">
        <f t="shared" si="8"/>
        <v>#REF!</v>
      </c>
      <c r="H91" s="59" t="e">
        <f t="shared" si="8"/>
        <v>#REF!</v>
      </c>
      <c r="I91" s="59" t="e">
        <f t="shared" si="8"/>
        <v>#REF!</v>
      </c>
      <c r="J91" s="60" t="e">
        <f t="shared" si="8"/>
        <v>#REF!</v>
      </c>
    </row>
    <row r="92" spans="1:10" x14ac:dyDescent="0.2">
      <c r="A92" s="149" t="s">
        <v>95</v>
      </c>
      <c r="B92" s="150" t="e">
        <f>+B90+B91</f>
        <v>#REF!</v>
      </c>
      <c r="C92" s="150" t="e">
        <f>+C90+C91</f>
        <v>#REF!</v>
      </c>
      <c r="D92" s="150" t="e">
        <f>+D90+D91</f>
        <v>#REF!</v>
      </c>
      <c r="E92" s="150" t="e">
        <f>+E90+E91</f>
        <v>#REF!</v>
      </c>
      <c r="F92" s="150" t="e">
        <f>+F90+F91</f>
        <v>#REF!</v>
      </c>
      <c r="G92" s="150" t="e">
        <f>+G90+12</f>
        <v>#REF!</v>
      </c>
      <c r="H92" s="150" t="e">
        <f>+H90+12</f>
        <v>#REF!</v>
      </c>
      <c r="I92" s="150" t="e">
        <f>+I90+12</f>
        <v>#REF!</v>
      </c>
      <c r="J92" s="137" t="e">
        <f>+J90+12</f>
        <v>#REF!</v>
      </c>
    </row>
  </sheetData>
  <mergeCells count="22">
    <mergeCell ref="A87:A88"/>
    <mergeCell ref="A90:A91"/>
    <mergeCell ref="A53:C53"/>
    <mergeCell ref="A54:C54"/>
    <mergeCell ref="A58:C58"/>
    <mergeCell ref="A81:J81"/>
    <mergeCell ref="A1:E1"/>
    <mergeCell ref="A7:C7"/>
    <mergeCell ref="A73:B73"/>
    <mergeCell ref="A74:B74"/>
    <mergeCell ref="A80:J80"/>
    <mergeCell ref="A23:A30"/>
    <mergeCell ref="A36:I36"/>
    <mergeCell ref="A37:D37"/>
    <mergeCell ref="A9:A10"/>
    <mergeCell ref="A11:A13"/>
    <mergeCell ref="A15:A22"/>
    <mergeCell ref="A3:A4"/>
    <mergeCell ref="B3:B4"/>
    <mergeCell ref="A5:A6"/>
    <mergeCell ref="B5:B6"/>
    <mergeCell ref="A63:B63"/>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d 4 6 6 8 9 5 - 5 4 8 d - 4 8 7 6 - 8 5 e 5 - e b 1 e 4 3 1 7 f 9 a 2 "   x m l n s = " h t t p : / / s c h e m a s . m i c r o s o f t . c o m / D a t a M a s h u p " > A A A A A H s J A A B Q S w M E F A A C A A g A i p m U U + H A n C q k A A A A 9 Q A A A B I A H A B D b 2 5 m a W c v U G F j a 2 F n Z S 5 4 b W w g o h g A K K A U A A A A A A A A A A A A A A A A A A A A A A A A A A A A h Y 9 B D o I w F E S v Q r q n R Y w G y a c s X J m I M T E x b p t S o R E + h h b L 3 V x 4 J K 8 g R l F 3 L m f e W 8 z c r z d I + 7 r y L q o 1 u s G E T G h A P I W y y T U W C e n s 0 Y 9 I y m E r 5 E k U y h t k N H F v 8 o S U 1 p 5 j x p x z 1 E 1 p 0 x Y s D I I J O 2 T r n S x V L c h H 1 v 9 l X 6 O x A q U i H P a v M T y k i 4 j O 5 s M k Y G M H m c Y v D w f 2 p D 8 l L L v K d q 3 i C v 3 V B t g Y g b 0 v 8 A d Q S w M E F A A C A A g A i p m U 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q Z l F O s v J q 8 d Q Y A A A o J A A A T A B w A R m 9 y b X V s Y X M v U 2 V j d G l v b j E u b S C i G A A o o B Q A A A A A A A A A A A A A A A A A A A A A A A A A A A C V V n u P o 7 4 V / X + l / Q 4 o q 4 5 m l J n w J t A R q n g m k E B e J C F Z r V Y G n O D h G T A h o e p + 9 j K 7 O 7 + 2 U h + q h W x z z r m + l r H u o Y Y h R k V O b H 6 N 9 O v n T 5 8 / 1 T G o Y E R 8 G R T l O / g S x g D l L y i P U A j r v 9 T 3 L C h S 2 b V M 7 z A g Z C K F + P M n o m + b o q l C 2 C N 2 X e Q j v Q i b D O b 4 c Q + D k V b k u J / X j 4 M Y 4 7 L + M 0 m 2 b T v K a / i + K B i F R U a C E p H / O 9 8 z 8 X U K Q Q S r W v 7 6 Z Q D C E J b 4 B e Z h E a H 8 P J A H 5 w 6 V v e g P K g X 5 u Q F n 2 F M w f 9 l u n m H + e p G p k d S L w q J I E J Q H e Y 2 w D K Z 7 Q d p K M H e R x U 1 z 3 Z P M i y f s j V d C m S n f F U Z W X o k g + 5 4 h W d V E R T I N y e A E S l E 1 X m I l S Z U Y j W N 1 h q d U 5 o d C u 9 a 0 x c 0 5 c W g D g h q T r Y 0 O a 8 4 6 7 N L s c L C l R f 3 m b 7 N o f J Z S Y R o b Q r k 4 r r w D h + l l m 9 R D j c 2 O j r B o T n Z z N O O i 9 k 3 P 0 O O 1 d R m S d a R q C k + r y w h L R 3 + u w 7 J T J R O K f j R G b N q 1 + j 5 a x r S 2 W 8 W Z c x n a G / u 0 m E / 1 x r 8 y B 6 b i J c w j z r D M Q 3 R h l Q g s T d o m z 1 Y y X 1 g k r 6 5 m u 0 n B X r w b J b b w d k n 8 4 W W s H 0 6 n Y H K h 4 5 M L g 8 t U 3 1 1 m B 6 b m t F o k 9 b f t e c K q v B l b w H r z y P X Y t t P O v M w 0 l F r g a o J q P 2 6 O f r i q O y d 7 a z 1 2 J c u v B E i + B 1 k d y p S o K r R A C 6 Z A 8 6 w m G r p k i o Z A i R x t i B p F G z + o / 9 p + H B R l t T U K 3 u S q c z 4 + S s p K U a K T O G M U r j P m W I i a S G A s O 3 U r c n 5 x 9 g W Z R N c V M 5 6 k Z 9 v k m G C z n X X F Z D g / M 1 R 0 u 0 8 T X 7 3 7 N y 1 I n L E k C P 7 K k C Z e S 5 Z d W q 6 v y 2 N d T O p 5 x K 2 2 l h d 1 s C B 3 1 z M O a C 8 v g E W 5 R Y 2 c v X 4 W x X 1 z c q Z t P N V 0 k a U D 6 D M F R s d 0 z R x d N m 6 h h x Y 8 0 G h T I r e H X R C v x Z z c N d X S s C c s O Q 7 b g H P t / X m X r S f i z j k x t v I 2 3 L Z e a K s 7 O u e j t J y 6 N 0 5 f q C c / L p J k H 9 5 9 c r P Q e X o Z C k y t 7 u m E q U K R d S 8 V y 1 F 2 B 6 e d n U x 5 q m 2 h N R 4 v 6 i u Y G d E F p a 4 U W Z g d q 6 T K d 1 v A k 1 P G i h d d t Y N O H v L O h K O 2 d + z H t 5 W t g C A E x s 2 m m E b R G c R V i e d W 7 m 0 3 O T v n k + v M T 7 c m a w 5 O P k v m h o W G K 3 E G Q N O S t U c a d m V s y 2 K 2 v K F M 9 z v h q u A 3 N 6 i V i P T n C 6 d L 1 9 c I V M Z 0 F w 6 j 9 Y o J H W c b X N l 1 k 6 j d / F S 4 q L q m Z d B Z O c N s s g O 1 A I p q K u J t v A u 1 c 1 b i 4 3 6 / h R q M G Q R X p D u f v x L f z 0 C e K P S I G d E c J 3 A c I 4 r i i B a 4 / o a M a V Z 8 F 6 D o Q y F Q N C e O a Z H + F 0 V f g U B Z 9 i p 4 t + N g E q I F s q 1 t Z 9 F 9 F a i t f M 2 H m i V Y S e n v N F s a 9 a I y Z J 1 3 U R x O k i b I 3 d R C L T r 4 u 8 R 6 K / p R L e c Z 3 x 0 3 f X C W x l E f 7 H g H y t G V 1 u 0 M x r 2 3 6 O j H b a + 9 u W + r 1 t G N H j + w p 9 V o p q x 2 m V e U 0 / v K 3 7 l C O i u 5 C T D D F l Z a v b E q S z u u 3 W q C 5 q K 5 f S X W n j w Y d D L 9 E G X y P 9 f Q h x r J U i Q I J + F E v 3 B Q G v e d G L w A O j q 9 U G E U R G L I i Q y g H u p a T m 6 w b F F 8 f 6 h T m X n A W G b b + 0 M Q 5 v K f G L N / B J G L q I i T R i C p M c A j V P T g Q x r J l x g N B j 9 L Y X 2 V x 6 o g 6 J p p K K y g M q z B K W O D 4 X h a Y E V R 1 0 S R / r F 3 1 0 5 m u x 0 g C 5 F Z H C E O L C r o w q T J 8 t R Y R 6 R p r N m b e K 2 6 N / O Y d E P R Z 8 v 9 x T m o w s 1 m J S r B W 4 2 e c I e 0 v R u i u Y g v J 7 6 / V R W e J x P T 0 z c c J p 2 1 s 7 k M a W Q z 0 4 K k E s f m k y U / A Z X E Z H o j I j K Q l m i 4 n Q 3 t c z W 9 p D a O T 3 E Y C + f G y 8 v t j g N 4 O E c r Y R G 6 8 f 4 g / 7 S N p o b V S + 8 X O e 4 d w y k 6 l K a A 5 E c U 8 b j v j 7 l o a 8 L 1 C J o a U a 9 E D w j c K 3 E T u C d C K c s U 9 k Y 3 Q 5 j k 2 f G I F Y j H 2 d R z 5 s 9 E i h J I T G C Y F E + E F l d F B k l J G F E j T h C 4 E c c T G 3 A C F f o d N f j 2 7 e n p + Z e d n l C K 4 b s P y 7 + d 9 e s H 8 u 2 3 I g I Y 9 O w H / P X 9 / Y P 7 M u g 9 9 w o r 3 C + A C 8 I D Q Q r f 3 f r n Z G T 2 + 5 i j G j + + h z w T m z J F u F 9 j 9 H O i 3 t 0 C x 7 2 f P j 4 9 E 3 m T p h + 9 c c M V 2 I G 0 g f X I q K q i e v o j m X E r Q R 7 1 u b Q i 7 T 8 u / Y 9 U v 5 g 1 D I s q + k U + / t u 9 P R O D j 9 h n 4 q + D G l f 9 w S 2 r / h f g n Y K 3 E l V 3 H e B f Q u O 9 X x q D v / 0 f 0 q f P n 1 D + H / f 7 + n d Q S w E C L Q A U A A I A C A C K m Z R T 4 c C c K q Q A A A D 1 A A A A E g A A A A A A A A A A A A A A A A A A A A A A Q 2 9 u Z m l n L 1 B h Y 2 t h Z 2 U u e G 1 s U E s B A i 0 A F A A C A A g A i p m U U w / K 6 a u k A A A A 6 Q A A A B M A A A A A A A A A A A A A A A A A 8 A A A A F t D b 2 5 0 Z W 5 0 X 1 R 5 c G V z X S 5 4 b W x Q S w E C L Q A U A A I A C A C K m Z R T r L y a v H U G A A A K C Q A A E w A A A A A A A A A A A A A A A A D h A Q A A R m 9 y b X V s Y X M v U 2 V j d G l v b j E u b V B L B Q Y A A A A A A w A D A M I A A A C j C 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k D Q A A A A A A A I I 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c H R p b 2 4 t Y 2 h h a W 4 t a W 5 k a W N l c y U z R n N 5 b W J v b C U z R E 5 J R l 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N o Z W V 0 M i I g L z 4 8 R W 5 0 c n k g V H l w Z T 0 i U m V j b 3 Z l c n l U Y X J n Z X R D b 2 x 1 b W 4 i I F Z h b H V l P S J s M i I g L z 4 8 R W 5 0 c n k g V H l w Z T 0 i U m V j b 3 Z l c n l U Y X J n Z X R S b 3 c i I F Z h b H V l P S J s N C I g L z 4 8 R W 5 0 c n k g V H l w Z T 0 i R m l s b G V k Q 2 9 t c G x l d G V S Z X N 1 b H R U b 1 d v c m t z a G V l d C I g V m F s d W U 9 I m w x I i A v P j x F b n R y e S B U e X B l P S J S Z W x h d G l v b n N o a X B J b m Z v Q 2 9 u d G F p b m V y I i B W Y W x 1 Z T 0 i c 3 s m c X V v d D t j b 2 x 1 b W 5 D b 3 V u d C Z x d W 9 0 O z o 0 L C Z x d W 9 0 O 2 t l e U N v b H V t b k 5 h b W V z J n F 1 b 3 Q 7 O l t d L C Z x d W 9 0 O 3 F 1 Z X J 5 U m V s Y X R p b 2 5 z a G l w c y Z x d W 9 0 O z p b X S w m c X V v d D t j b 2 x 1 b W 5 J Z G V u d G l 0 a W V z J n F 1 b 3 Q 7 O l s m c X V v d D t T Z W N 0 a W 9 u M S 9 v c H R p b 2 4 t Y 2 h h a W 4 t a W 5 k a W N l c z 9 z e W 1 i b 2 w 9 T k l G V F k v Q X V 0 b 1 J l b W 9 2 Z W R D b 2 x 1 b W 5 z M S 5 7 c 3 R y a W t l U H J p Y 2 U s M H 0 m c X V v d D s s J n F 1 b 3 Q 7 U 2 V j d G l v b j E v b 3 B 0 a W 9 u L W N o Y W l u L W l u Z G l j Z X M / c 3 l t Y m 9 s P U 5 J R l R Z L 0 F 1 d G 9 S Z W 1 v d m V k Q 2 9 s d W 1 u c z E u e 2 V 4 c G l y e U R h d G U s M X 0 m c X V v d D s s J n F 1 b 3 Q 7 U 2 V j d G l v b j E v b 3 B 0 a W 9 u L W N o Y W l u L W l u Z G l j Z X M / c 3 l t Y m 9 s P U 5 J R l R Z L 0 F 1 d G 9 S Z W 1 v d m V k Q 2 9 s d W 1 u c z E u e 0 N F L D J 9 J n F 1 b 3 Q 7 L C Z x d W 9 0 O 1 N l Y 3 R p b 2 4 x L 2 9 w d G l v b i 1 j a G F p b i 1 p b m R p Y 2 V z P 3 N 5 b W J v b D 1 O S U Z U W S 9 B d X R v U m V t b 3 Z l Z E N v b H V t b n M x L n t Q R S w z f S Z x d W 9 0 O 1 0 s J n F 1 b 3 Q 7 Q 2 9 s d W 1 u Q 2 9 1 b n Q m c X V v d D s 6 N C w m c X V v d D t L Z X l D b 2 x 1 b W 5 O Y W 1 l c y Z x d W 9 0 O z p b X S w m c X V v d D t D b 2 x 1 b W 5 J Z G V u d G l 0 a W V z J n F 1 b 3 Q 7 O l s m c X V v d D t T Z W N 0 a W 9 u M S 9 v c H R p b 2 4 t Y 2 h h a W 4 t a W 5 k a W N l c z 9 z e W 1 i b 2 w 9 T k l G V F k v Q X V 0 b 1 J l b W 9 2 Z W R D b 2 x 1 b W 5 z M S 5 7 c 3 R y a W t l U H J p Y 2 U s M H 0 m c X V v d D s s J n F 1 b 3 Q 7 U 2 V j d G l v b j E v b 3 B 0 a W 9 u L W N o Y W l u L W l u Z G l j Z X M / c 3 l t Y m 9 s P U 5 J R l R Z L 0 F 1 d G 9 S Z W 1 v d m V k Q 2 9 s d W 1 u c z E u e 2 V 4 c G l y e U R h d G U s M X 0 m c X V v d D s s J n F 1 b 3 Q 7 U 2 V j d G l v b j E v b 3 B 0 a W 9 u L W N o Y W l u L W l u Z G l j Z X M / c 3 l t Y m 9 s P U 5 J R l R Z L 0 F 1 d G 9 S Z W 1 v d m V k Q 2 9 s d W 1 u c z E u e 0 N F L D J 9 J n F 1 b 3 Q 7 L C Z x d W 9 0 O 1 N l Y 3 R p b 2 4 x L 2 9 w d G l v b i 1 j a G F p b i 1 p b m R p Y 2 V z P 3 N 5 b W J v b D 1 O S U Z U W S 9 B d X R v U m V t b 3 Z l Z E N v b H V t b n M x L n t Q R S w z f S Z x d W 9 0 O 1 0 s J n F 1 b 3 Q 7 U m V s Y X R p b 2 5 z a G l w S W 5 m b y Z x d W 9 0 O z p b X X 0 i I C 8 + P E V u d H J 5 I F R 5 c G U 9 I k Z p b G x T d G F 0 d X M i I F Z h b H V l P S J z Q 2 9 t c G x l d G U i I C 8 + P E V u d H J 5 I F R 5 c G U 9 I k Z p b G x D b 2 x 1 b W 5 O Y W 1 l c y I g V m F s d W U 9 I n N b J n F 1 b 3 Q 7 c 3 R y a W t l U H J p Y 2 U m c X V v d D s s J n F 1 b 3 Q 7 Z X h w a X J 5 R G F 0 Z S Z x d W 9 0 O y w m c X V v d D t D R S Z x d W 9 0 O y w m c X V v d D t Q R S Z x d W 9 0 O 1 0 i I C 8 + P E V u d H J 5 I F R 5 c G U 9 I k Z p b G x D b 2 x 1 b W 5 U e X B l c y I g V m F s d W U 9 I n N B Q U F B Q U E 9 P S I g L z 4 8 R W 5 0 c n k g V H l w Z T 0 i R m l s b E x h c 3 R V c G R h d G V k I i B W Y W x 1 Z T 0 i Z D I w M j E t M T I t M j B U M T M 6 N D I 6 M D Q u M z k 3 N D Y w O F o i I C 8 + P E V u d H J 5 I F R 5 c G U 9 I k Z p b G x F c n J v c k N v d W 5 0 I i B W Y W x 1 Z T 0 i b D A i I C 8 + P E V u d H J 5 I F R 5 c G U 9 I k Z p b G x F c n J v c k N v Z G U i I F Z h b H V l P S J z V W 5 r b m 9 3 b i I g L z 4 8 R W 5 0 c n k g V H l w Z T 0 i R m l s b E N v d W 5 0 I i B W Y W x 1 Z T 0 i b D g 4 I i A v P j x F b n R y e S B U e X B l P S J B Z G R l Z F R v R G F 0 Y U 1 v Z G V s I i B W Y W x 1 Z T 0 i b D A i I C 8 + P E V u d H J 5 I F R 5 c G U 9 I l F 1 Z X J 5 S U Q i I F Z h b H V l P S J z O W Z l Y z c y Z j A t O W I 2 M S 0 0 M G M 5 L W I 0 N j U t Y z Z i M j A y M z N j M z E y I i A v P j w v U 3 R h Y m x l R W 5 0 c m l l c z 4 8 L 0 l 0 Z W 0 + P E l 0 Z W 0 + P E l 0 Z W 1 M b 2 N h d G l v b j 4 8 S X R l b V R 5 c G U + R m 9 y b X V s Y T w v S X R l b V R 5 c G U + P E l 0 Z W 1 Q Y X R o P l N l Y 3 R p b 2 4 x L 2 9 w d G l v b i 1 j a G F p b i 1 p b m R p Y 2 V z J T N G c 3 l t Y m 9 s J T N E T k l G V F k v U 2 9 1 c m N l P C 9 J d G V t U G F 0 a D 4 8 L 0 l 0 Z W 1 M b 2 N h d G l v b j 4 8 U 3 R h Y m x l R W 5 0 c m l l c y A v P j w v S X R l b T 4 8 S X R l b T 4 8 S X R l b U x v Y 2 F 0 a W 9 u P j x J d G V t V H l w Z T 5 G b 3 J t d W x h P C 9 J d G V t V H l w Z T 4 8 S X R l b V B h d G g + U 2 V j d G l v b j E v b 3 B 0 a W 9 u L W N o Y W l u L W l u Z G l j Z X M l M 0 Z z e W 1 i b 2 w l M 0 R O S U Z U W S 9 m a W x 0 Z X J l Z D w v S X R l b V B h d G g + P C 9 J d G V t T G 9 j Y X R p b 2 4 + P F N 0 Y W J s Z U V u d H J p Z X M g L z 4 8 L 0 l 0 Z W 0 + P E l 0 Z W 0 + P E l 0 Z W 1 M b 2 N h d G l v b j 4 8 S X R l b V R 5 c G U + R m 9 y b X V s Y T w v S X R l b V R 5 c G U + P E l 0 Z W 1 Q Y X R o P l N l Y 3 R p b 2 4 x L 2 9 w d G l v b i 1 j a G F p b i 1 p b m R p Y 2 V z J T N G c 3 l t Y m 9 s J T N E T k l G V F k v Z G F 0 Y T w v S X R l b V B h d G g + P C 9 J d G V t T G 9 j Y X R p b 2 4 + P F N 0 Y W J s Z U V u d H J p Z X M g L z 4 8 L 0 l 0 Z W 0 + P E l 0 Z W 0 + P E l 0 Z W 1 M b 2 N h d G l v b j 4 8 S X R l b V R 5 c G U + R m 9 y b X V s Y T w v S X R l b V R 5 c G U + P E l 0 Z W 1 Q Y X R o P l N l Y 3 R p b 2 4 x L 2 9 w d G l v b i 1 j a G F p b i 1 p b m R p Y 2 V z J T N G c 3 l t Y m 9 s J T N E T k l G V F k v Q 2 9 u d m V y d G V k J T I w d G 8 l M j B U Y W J s Z T w v S X R l b V B h d G g + P C 9 J d G V t T G 9 j Y X R p b 2 4 + P F N 0 Y W J s Z U V u d H J p Z X M g L z 4 8 L 0 l 0 Z W 0 + P E l 0 Z W 0 + P E l 0 Z W 1 M b 2 N h d G l v b j 4 8 S X R l b V R 5 c G U + R m 9 y b X V s Y T w v S X R l b V R 5 c G U + P E l 0 Z W 1 Q Y X R o P l N l Y 3 R p b 2 4 x L 2 9 w d G l v b i 1 j a G F p b i 1 p b m R p Y 2 V z J T N G c 3 l t Y m 9 s J T N E T k l G V F k v R X h w Y W 5 k Z W Q l M j B D b 2 x 1 b W 4 x P C 9 J d G V t U G F 0 a D 4 8 L 0 l 0 Z W 1 M b 2 N h d G l v b j 4 8 U 3 R h Y m x l R W 5 0 c m l l c y A v P j w v S X R l b T 4 8 L 0 l 0 Z W 1 z P j w v T G 9 j Y W x Q Y W N r Y W d l T W V 0 Y W R h d G F G a W x l P h Y A A A B Q S w U G A A A A A A A A A A A A A A A A A A A A A A A A 2 g A A A A E A A A D Q j J 3 f A R X R E Y x 6 A M B P w p f r A Q A A A K 8 G I b M d r O p L m i C 5 F T a w L X k A A A A A A g A A A A A A A 2 Y A A M A A A A A Q A A A A h y H v A U I u l W y r I 0 2 / V 9 I 2 0 g A A A A A E g A A A o A A A A B A A A A A 6 A Z p w e O d y D M 1 J p L a J P Y Z o U A A A A P l W P h T y 8 P 8 b X j Z G 4 G S N P p V 8 p T 9 Z + B h Q p 7 f I N O G / s z p S e g b r + z Y f X Y n I y f J W o w z e 7 k k G K u j o Y 7 P y d K u L w K 7 I D u F 0 P w t T 6 F I P Q f 2 M 8 n T H P L Z Y F A A A A L X K I r q a B + U T 1 H v D S 5 n W Q v 7 N h c p x < / D a t a M a s h u p > 
</file>

<file path=customXml/itemProps1.xml><?xml version="1.0" encoding="utf-8"?>
<ds:datastoreItem xmlns:ds="http://schemas.openxmlformats.org/officeDocument/2006/customXml" ds:itemID="{A63A89DF-BB95-480C-BDFA-0BE007097B2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3</vt:i4>
      </vt:variant>
    </vt:vector>
  </HeadingPairs>
  <TitlesOfParts>
    <vt:vector size="20" baseType="lpstr">
      <vt:lpstr>Raw Materials Requirement </vt:lpstr>
      <vt:lpstr>Basis</vt:lpstr>
      <vt:lpstr>Norms</vt:lpstr>
      <vt:lpstr>Capex</vt:lpstr>
      <vt:lpstr>Opex</vt:lpstr>
      <vt:lpstr>Depreciation</vt:lpstr>
      <vt:lpstr>ITC-GST</vt:lpstr>
      <vt:lpstr>Working Capital</vt:lpstr>
      <vt:lpstr>Reference Values</vt:lpstr>
      <vt:lpstr>Interest Cal.</vt:lpstr>
      <vt:lpstr>Profitability</vt:lpstr>
      <vt:lpstr> Breakeven Point</vt:lpstr>
      <vt:lpstr>DSCR</vt:lpstr>
      <vt:lpstr>Cashflow </vt:lpstr>
      <vt:lpstr>IRR</vt:lpstr>
      <vt:lpstr>Balance Sheet</vt:lpstr>
      <vt:lpstr>Sensitivity Analysis</vt:lpstr>
      <vt:lpstr>' Breakeven Point'!Print_Area</vt:lpstr>
      <vt:lpstr>DSCR!Print_Area</vt:lpstr>
      <vt:lpstr>Profitability!Print_Area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Pranav L. Shukla</dc:creator>
  <cp:lastModifiedBy>Hardik Malhotra</cp:lastModifiedBy>
  <dcterms:created xsi:type="dcterms:W3CDTF">2021-10-29T09:15:20Z</dcterms:created>
  <dcterms:modified xsi:type="dcterms:W3CDTF">2023-02-23T08:30:37Z</dcterms:modified>
</cp:coreProperties>
</file>