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dik.malhotra\Desktop\Desktop Data\Global Methanol - Russia\"/>
    </mc:Choice>
  </mc:AlternateContent>
  <xr:revisionPtr revIDLastSave="0" documentId="13_ncr:1_{F3AE9CEF-EEE0-4E54-B999-A9E22F45B57B}" xr6:coauthVersionLast="47" xr6:coauthVersionMax="47" xr10:uidLastSave="{00000000-0000-0000-0000-000000000000}"/>
  <bookViews>
    <workbookView xWindow="-120" yWindow="-120" windowWidth="20730" windowHeight="11160" activeTab="1" xr2:uid="{2FF6A138-A290-486F-B2B5-958B75721AD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5" i="2" l="1"/>
  <c r="L5" i="2"/>
  <c r="D2" i="2" l="1"/>
  <c r="D5" i="2"/>
  <c r="D6" i="2" s="1"/>
  <c r="D7" i="2" s="1"/>
  <c r="F5" i="2"/>
  <c r="F2" i="2"/>
  <c r="U15" i="2"/>
  <c r="S9" i="2"/>
  <c r="F9" i="2" l="1"/>
  <c r="B9" i="2" s="1"/>
  <c r="C9" i="2" s="1"/>
  <c r="E7" i="2"/>
  <c r="G9" i="2"/>
  <c r="H2" i="2" s="1"/>
  <c r="F10" i="2"/>
  <c r="G10" i="2" s="1"/>
  <c r="H5" i="2" s="1"/>
  <c r="D3" i="2"/>
  <c r="K11" i="2"/>
  <c r="L8" i="2"/>
  <c r="L9" i="2" s="1"/>
  <c r="L10" i="2" s="1"/>
  <c r="L11" i="2" s="1"/>
  <c r="M11" i="2" s="1"/>
  <c r="O11" i="2" l="1"/>
  <c r="Q11" i="2" s="1"/>
  <c r="T11" i="2"/>
  <c r="D4" i="2" l="1"/>
  <c r="L25" i="2" l="1"/>
  <c r="K25" i="2" s="1"/>
  <c r="K21" i="2"/>
  <c r="L21" i="2"/>
  <c r="K22" i="2" s="1"/>
  <c r="N15" i="2"/>
  <c r="L16" i="2"/>
  <c r="K16" i="2"/>
  <c r="G24" i="1"/>
  <c r="G23" i="1"/>
  <c r="E23" i="1"/>
  <c r="G13" i="1"/>
  <c r="G10" i="1"/>
  <c r="M16" i="2" l="1"/>
  <c r="K23" i="2"/>
  <c r="L22" i="2" s="1"/>
  <c r="N16" i="2"/>
  <c r="N17" i="2" s="1"/>
  <c r="N18" i="2" s="1"/>
  <c r="G6" i="1"/>
  <c r="G4" i="1"/>
  <c r="D7" i="1"/>
  <c r="D5" i="1"/>
  <c r="D3" i="1"/>
  <c r="D4" i="1" s="1"/>
</calcChain>
</file>

<file path=xl/sharedStrings.xml><?xml version="1.0" encoding="utf-8"?>
<sst xmlns="http://schemas.openxmlformats.org/spreadsheetml/2006/main" count="67" uniqueCount="53">
  <si>
    <t>Company</t>
  </si>
  <si>
    <t>Price</t>
  </si>
  <si>
    <t>OPEX (per 1 unit of product)</t>
  </si>
  <si>
    <t>EBIDTA per 1 ton of product</t>
  </si>
  <si>
    <t>Capital cost per 1 ton of installed capacity</t>
  </si>
  <si>
    <t xml:space="preserve"> production costs - construction of "cost curves</t>
  </si>
  <si>
    <t>product sales plan and operational indicators of the Project</t>
  </si>
  <si>
    <t>Methanex</t>
  </si>
  <si>
    <t>COGS ($)</t>
  </si>
  <si>
    <t>COGS ($ million)</t>
  </si>
  <si>
    <t>Revenue ($ million)</t>
  </si>
  <si>
    <t>total vol. sales (tonnes)</t>
  </si>
  <si>
    <t>COGS per 1 tonne</t>
  </si>
  <si>
    <t>other expense</t>
  </si>
  <si>
    <t>COGS ($/ tonne)</t>
  </si>
  <si>
    <t>asjusted EBIDTA ($ million)</t>
  </si>
  <si>
    <t>EBIDTA ($)</t>
  </si>
  <si>
    <t>EBIDTA ($/tonne)</t>
  </si>
  <si>
    <t>Production cash cost per 1 ton of product</t>
  </si>
  <si>
    <t>http://kth.diva-portal.org/smash/get/diva2:1290829/FULLTEXT01.pdf</t>
  </si>
  <si>
    <t>capital cost per 1 ton of installed capacity</t>
  </si>
  <si>
    <t>euro/ton</t>
  </si>
  <si>
    <t xml:space="preserve"> kt/a</t>
  </si>
  <si>
    <t>USD/ton</t>
  </si>
  <si>
    <t>mmtpy</t>
  </si>
  <si>
    <t>$B</t>
  </si>
  <si>
    <t>tpy</t>
  </si>
  <si>
    <t>$</t>
  </si>
  <si>
    <t>https://deepblue.lib.umich.edu/bitstream/handle/2027.42/145723/Global?sequence=5</t>
  </si>
  <si>
    <t>Revenue (USD)</t>
  </si>
  <si>
    <t>Capacity (Tonnes)</t>
  </si>
  <si>
    <t>USD/Tonne</t>
  </si>
  <si>
    <t>Capital cost per 1 ton of installed capacity (USD/Tonne)</t>
  </si>
  <si>
    <t>Geisamer 3</t>
  </si>
  <si>
    <t>Capital Cost(USD)</t>
  </si>
  <si>
    <t>US Production (Tonne)</t>
  </si>
  <si>
    <t>Production cash cost per 1 ton of product (USD/Tonne)</t>
  </si>
  <si>
    <t>EBIDTA per 1 ton of product (USD/Tonne)</t>
  </si>
  <si>
    <t>OPEX (per 1 unit of product) (USD/Tonne)</t>
  </si>
  <si>
    <t>Price (USD/Tonne)</t>
  </si>
  <si>
    <t xml:space="preserve">Fixed Cost </t>
  </si>
  <si>
    <t>Variable Cost</t>
  </si>
  <si>
    <t xml:space="preserve">Methanex- 2.04 Million Tonnes(Geismar 1 and 2 ) </t>
  </si>
  <si>
    <t>Sabic - 1.6 Million Tonnes (AR RAZI Plant No. 5)</t>
  </si>
  <si>
    <t>SAR Billion</t>
  </si>
  <si>
    <t xml:space="preserve">Mathanol sabic Sales </t>
  </si>
  <si>
    <t>Petrochemical Sabic Sales Volume</t>
  </si>
  <si>
    <t xml:space="preserve">Percentage of Sales Volume </t>
  </si>
  <si>
    <t>Total Petrochemical Sales Revenue</t>
  </si>
  <si>
    <t xml:space="preserve">Plant No. 5 percentage to total plant </t>
  </si>
  <si>
    <t>revenue of Methanol from plant No. 5</t>
  </si>
  <si>
    <t>USD Billion</t>
  </si>
  <si>
    <t>USD Million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</si>
</sst>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"/>
  </numFmts>
  <fonts count="5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28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" fillId="0" borderId="0" xfId="0" applyFont="1" applyAlignment="1">
      <alignment wrapText="1"/>
    </xf>
    <xf numFmtId="165" fontId="0" fillId="0" borderId="0" xfId="0" applyNumberFormat="1"/>
    <xf numFmtId="2" fontId="0" fillId="0" borderId="0" xfId="0" applyNumberFormat="1"/>
    <xf numFmtId="1" fontId="0" fillId="0" borderId="0" xfId="0" applyNumberFormat="1"/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0" fontId="0" fillId="0" borderId="0" xfId="1" applyNumberFormat="1" applyFont="1"/>
    <xf numFmtId="10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4" fillId="7" borderId="0" xfId="0" applyFont="1" applyFill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9" fontId="0" fillId="4" borderId="0" xfId="1" applyFont="1" applyFill="1" applyAlignment="1">
      <alignment horizontal="center"/>
    </xf>
    <xf numFmtId="0" fontId="0" fillId="4" borderId="0" xfId="0" applyFill="1" applyAlignment="1">
      <alignment horizontal="center"/>
    </xf>
    <xf numFmtId="9" fontId="0" fillId="5" borderId="0" xfId="0" applyNumberFormat="1" applyFill="1" applyAlignment="1">
      <alignment horizontal="center"/>
    </xf>
    <xf numFmtId="0" fontId="0" fillId="6" borderId="0" xfId="0" applyFill="1" applyAlignment="1">
      <alignment horizontal="center"/>
    </xf>
    <xf numFmtId="0" fontId="4" fillId="7" borderId="0" xfId="0" applyFont="1" applyFill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561975</xdr:colOff>
      <xdr:row>26</xdr:row>
      <xdr:rowOff>66675</xdr:rowOff>
    </xdr:from>
    <xdr:to>
      <xdr:col>13</xdr:col>
      <xdr:colOff>1765745</xdr:colOff>
      <xdr:row>38</xdr:row>
      <xdr:rowOff>18770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AAF5FCB-9CC7-6874-CC10-FB2A5A2CC2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582775" y="5838825"/>
          <a:ext cx="9133333" cy="22380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3CAE7-937A-4E6C-BDCB-6F68DBFC2EA1}">
  <dimension ref="A1:L24"/>
  <sheetViews>
    <sheetView workbookViewId="0">
      <selection activeCell="D6" sqref="D6"/>
    </sheetView>
  </sheetViews>
  <sheetFormatPr defaultRowHeight="12.75" x14ac:dyDescent="0.2"/>
  <cols>
    <col min="1" max="1" width="13.7109375" style="3" customWidth="1"/>
    <col min="2" max="2" width="11.42578125" style="3" customWidth="1"/>
    <col min="3" max="3" width="19.7109375" style="3" bestFit="1" customWidth="1"/>
    <col min="4" max="4" width="12" style="3" bestFit="1" customWidth="1"/>
    <col min="5" max="5" width="26.140625" style="3" bestFit="1" customWidth="1"/>
    <col min="6" max="6" width="18.5703125" style="3" customWidth="1"/>
    <col min="7" max="7" width="22" style="3" customWidth="1"/>
    <col min="8" max="8" width="20" style="3" customWidth="1"/>
    <col min="9" max="9" width="17.140625" style="3" customWidth="1"/>
    <col min="10" max="10" width="17.85546875" style="3" customWidth="1"/>
    <col min="11" max="16384" width="9.140625" style="3"/>
  </cols>
  <sheetData>
    <row r="1" spans="1:12" ht="51" x14ac:dyDescent="0.2">
      <c r="A1" s="1" t="s">
        <v>0</v>
      </c>
      <c r="B1" s="1" t="s">
        <v>1</v>
      </c>
      <c r="C1" s="1" t="s">
        <v>10</v>
      </c>
      <c r="D1" s="1" t="s">
        <v>14</v>
      </c>
      <c r="E1" s="1" t="s">
        <v>2</v>
      </c>
      <c r="F1" s="1" t="s">
        <v>3</v>
      </c>
      <c r="G1" s="1" t="s">
        <v>4</v>
      </c>
      <c r="H1" s="1" t="s">
        <v>18</v>
      </c>
      <c r="I1" s="1" t="s">
        <v>5</v>
      </c>
      <c r="J1" s="1" t="s">
        <v>6</v>
      </c>
    </row>
    <row r="2" spans="1:12" x14ac:dyDescent="0.2">
      <c r="A2" s="3" t="s">
        <v>7</v>
      </c>
      <c r="C2" s="3">
        <v>4311</v>
      </c>
      <c r="D2" s="3">
        <v>281.46278076851678</v>
      </c>
      <c r="E2" s="3">
        <v>3446</v>
      </c>
      <c r="F2" s="3">
        <v>86.504547985891961</v>
      </c>
      <c r="G2" s="3">
        <v>31.36</v>
      </c>
    </row>
    <row r="3" spans="1:12" ht="25.5" x14ac:dyDescent="0.2">
      <c r="C3" s="2" t="s">
        <v>13</v>
      </c>
      <c r="D3" s="2">
        <f>12%*E2</f>
        <v>413.52</v>
      </c>
      <c r="F3" s="2" t="s">
        <v>15</v>
      </c>
      <c r="G3" s="2">
        <v>932</v>
      </c>
    </row>
    <row r="4" spans="1:12" ht="13.5" customHeight="1" x14ac:dyDescent="0.2">
      <c r="C4" s="2" t="s">
        <v>9</v>
      </c>
      <c r="D4" s="2">
        <f>E2-D3</f>
        <v>3032.48</v>
      </c>
      <c r="F4" s="2" t="s">
        <v>16</v>
      </c>
      <c r="G4" s="2">
        <f>G3*10^6</f>
        <v>932000000</v>
      </c>
    </row>
    <row r="5" spans="1:12" ht="25.5" x14ac:dyDescent="0.2">
      <c r="C5" s="2" t="s">
        <v>8</v>
      </c>
      <c r="D5" s="2">
        <f>D4*10^6</f>
        <v>3032480000</v>
      </c>
      <c r="F5" s="2" t="s">
        <v>11</v>
      </c>
      <c r="G5" s="2">
        <v>10774000</v>
      </c>
    </row>
    <row r="6" spans="1:12" ht="25.5" x14ac:dyDescent="0.2">
      <c r="C6" s="2" t="s">
        <v>11</v>
      </c>
      <c r="D6" s="2">
        <v>10774000</v>
      </c>
      <c r="F6" s="2" t="s">
        <v>17</v>
      </c>
      <c r="G6" s="2">
        <f>G4/G5</f>
        <v>86.504547985891961</v>
      </c>
    </row>
    <row r="7" spans="1:12" x14ac:dyDescent="0.2">
      <c r="C7" s="2" t="s">
        <v>12</v>
      </c>
      <c r="D7" s="2">
        <f>D5/D6</f>
        <v>281.46278076851678</v>
      </c>
    </row>
    <row r="9" spans="1:12" ht="114.75" x14ac:dyDescent="0.2">
      <c r="D9" s="2" t="s">
        <v>20</v>
      </c>
      <c r="E9" s="2">
        <v>250</v>
      </c>
      <c r="F9" s="2" t="s">
        <v>22</v>
      </c>
      <c r="G9" s="2">
        <v>28</v>
      </c>
      <c r="H9" s="2" t="s">
        <v>21</v>
      </c>
      <c r="I9" s="2" t="s">
        <v>19</v>
      </c>
      <c r="L9" s="3" t="s">
        <v>28</v>
      </c>
    </row>
    <row r="10" spans="1:12" x14ac:dyDescent="0.2">
      <c r="D10" s="2"/>
      <c r="E10" s="2"/>
      <c r="F10" s="2"/>
      <c r="G10" s="2">
        <f>G9*1.12</f>
        <v>31.360000000000003</v>
      </c>
      <c r="H10" s="2" t="s">
        <v>23</v>
      </c>
      <c r="I10" s="2"/>
    </row>
    <row r="12" spans="1:12" ht="51" x14ac:dyDescent="0.2">
      <c r="D12" s="2" t="s">
        <v>18</v>
      </c>
      <c r="E12" s="2">
        <v>250</v>
      </c>
      <c r="F12" s="2" t="s">
        <v>22</v>
      </c>
      <c r="G12" s="2">
        <v>617</v>
      </c>
      <c r="H12" s="2" t="s">
        <v>21</v>
      </c>
      <c r="I12" s="2" t="s">
        <v>19</v>
      </c>
    </row>
    <row r="13" spans="1:12" x14ac:dyDescent="0.2">
      <c r="D13" s="2"/>
      <c r="E13" s="2"/>
      <c r="F13" s="2"/>
      <c r="G13" s="2">
        <f>G12*1.12</f>
        <v>691.04000000000008</v>
      </c>
      <c r="H13" s="2" t="s">
        <v>23</v>
      </c>
      <c r="I13" s="2"/>
    </row>
    <row r="22" spans="5:8" x14ac:dyDescent="0.2">
      <c r="E22" s="3">
        <v>1</v>
      </c>
      <c r="F22" s="3" t="s">
        <v>24</v>
      </c>
      <c r="G22" s="3">
        <v>0.55000000000000004</v>
      </c>
      <c r="H22" s="3" t="s">
        <v>25</v>
      </c>
    </row>
    <row r="23" spans="5:8" x14ac:dyDescent="0.2">
      <c r="E23" s="3">
        <f>1*10^6</f>
        <v>1000000</v>
      </c>
      <c r="F23" s="3" t="s">
        <v>26</v>
      </c>
      <c r="G23" s="3">
        <f>G22*10^9</f>
        <v>550000000</v>
      </c>
      <c r="H23" s="3" t="s">
        <v>27</v>
      </c>
    </row>
    <row r="24" spans="5:8" x14ac:dyDescent="0.2">
      <c r="E24" s="3">
        <v>1</v>
      </c>
      <c r="F24" s="3" t="s">
        <v>26</v>
      </c>
      <c r="G24" s="3">
        <f>G23/E23</f>
        <v>550</v>
      </c>
      <c r="H24" s="3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2327B-3AF7-462E-BE50-2D7DB47635F1}">
  <dimension ref="A1:U26"/>
  <sheetViews>
    <sheetView tabSelected="1" topLeftCell="H2" zoomScale="80" workbookViewId="0">
      <selection activeCell="L5" sqref="L5"/>
    </sheetView>
  </sheetViews>
  <sheetFormatPr defaultRowHeight="15" x14ac:dyDescent="0.25"/>
  <cols>
    <col min="1" max="1" width="32" customWidth="1"/>
    <col min="2" max="2" width="13.85546875" customWidth="1"/>
    <col min="3" max="3" width="20.7109375" customWidth="1"/>
    <col min="4" max="4" width="21.7109375" customWidth="1"/>
    <col min="5" max="5" width="27.140625" customWidth="1"/>
    <col min="6" max="6" width="23.28515625" customWidth="1"/>
    <col min="7" max="7" width="25.7109375" customWidth="1"/>
    <col min="8" max="8" width="25.28515625" customWidth="1"/>
    <col min="10" max="10" width="38" bestFit="1" customWidth="1"/>
    <col min="11" max="11" width="21.140625" bestFit="1" customWidth="1"/>
    <col min="12" max="12" width="18.7109375" customWidth="1"/>
    <col min="13" max="13" width="31.85546875" bestFit="1" customWidth="1"/>
    <col min="14" max="14" width="38.7109375" bestFit="1" customWidth="1"/>
    <col min="15" max="15" width="32.5703125" bestFit="1" customWidth="1"/>
    <col min="16" max="16" width="11.28515625" bestFit="1" customWidth="1"/>
    <col min="21" max="21" width="10.5703125" bestFit="1" customWidth="1"/>
  </cols>
  <sheetData>
    <row r="1" spans="1:21" ht="49.5" customHeight="1" x14ac:dyDescent="0.25">
      <c r="A1" s="1" t="s">
        <v>0</v>
      </c>
      <c r="B1" s="1" t="s">
        <v>39</v>
      </c>
      <c r="C1" s="1" t="s">
        <v>10</v>
      </c>
      <c r="D1" s="1" t="s">
        <v>14</v>
      </c>
      <c r="E1" s="1" t="s">
        <v>38</v>
      </c>
      <c r="F1" s="1" t="s">
        <v>37</v>
      </c>
      <c r="G1" s="1" t="s">
        <v>32</v>
      </c>
      <c r="H1" s="1" t="s">
        <v>36</v>
      </c>
    </row>
    <row r="2" spans="1:21" ht="30" x14ac:dyDescent="0.25">
      <c r="A2" s="13" t="s">
        <v>42</v>
      </c>
      <c r="B2" s="14">
        <v>321.89999999999998</v>
      </c>
      <c r="C2" s="15">
        <v>657</v>
      </c>
      <c r="D2" s="14">
        <f>E2*73.69%</f>
        <v>189.611739</v>
      </c>
      <c r="E2" s="14">
        <v>257.31</v>
      </c>
      <c r="F2" s="14">
        <f>B2-E2</f>
        <v>64.589999999999975</v>
      </c>
      <c r="G2" s="14">
        <v>694.44</v>
      </c>
      <c r="H2" s="14">
        <f>B2-G9</f>
        <v>283.14600000000002</v>
      </c>
    </row>
    <row r="3" spans="1:21" x14ac:dyDescent="0.25">
      <c r="B3" s="6"/>
      <c r="C3" t="s">
        <v>41</v>
      </c>
      <c r="D3" s="7">
        <f>D2*55%</f>
        <v>104.28645645</v>
      </c>
      <c r="E3" s="4"/>
      <c r="F3" s="6"/>
      <c r="G3" s="6"/>
      <c r="H3" s="6"/>
    </row>
    <row r="4" spans="1:21" x14ac:dyDescent="0.25">
      <c r="B4" s="6"/>
      <c r="C4" t="s">
        <v>40</v>
      </c>
      <c r="D4" s="14">
        <f>D2-D3</f>
        <v>85.325282549999997</v>
      </c>
      <c r="E4" s="5"/>
      <c r="H4" s="6"/>
    </row>
    <row r="5" spans="1:21" ht="30" x14ac:dyDescent="0.25">
      <c r="A5" s="12" t="s">
        <v>43</v>
      </c>
      <c r="B5" s="14">
        <v>244.74</v>
      </c>
      <c r="C5" s="14">
        <v>391.58651602560002</v>
      </c>
      <c r="D5" s="14">
        <f>E5*76.24%</f>
        <v>146.62476799999999</v>
      </c>
      <c r="E5" s="14">
        <v>192.32</v>
      </c>
      <c r="F5" s="14">
        <f>B5-E5</f>
        <v>52.420000000000016</v>
      </c>
      <c r="G5" s="14">
        <v>754</v>
      </c>
      <c r="H5" s="14">
        <f>B5+G10</f>
        <v>276.19200000000001</v>
      </c>
      <c r="L5">
        <f>L9*10^6</f>
        <v>1542857.6000000003</v>
      </c>
      <c r="M5">
        <f>L5/K11</f>
        <v>0.9642860000000002</v>
      </c>
    </row>
    <row r="6" spans="1:21" x14ac:dyDescent="0.25">
      <c r="B6" s="6"/>
      <c r="C6" t="s">
        <v>41</v>
      </c>
      <c r="D6" s="7">
        <f>D5*60%</f>
        <v>87.974860799999988</v>
      </c>
      <c r="E6" s="6"/>
      <c r="H6" s="6"/>
    </row>
    <row r="7" spans="1:21" x14ac:dyDescent="0.25">
      <c r="C7" t="s">
        <v>40</v>
      </c>
      <c r="D7" s="14">
        <f>D5-D6</f>
        <v>58.649907200000001</v>
      </c>
      <c r="E7" s="6">
        <f>E2+F2</f>
        <v>321.89999999999998</v>
      </c>
      <c r="J7" s="16" t="s">
        <v>45</v>
      </c>
      <c r="K7" s="21">
        <v>4.5</v>
      </c>
      <c r="M7" s="16" t="s">
        <v>46</v>
      </c>
      <c r="N7" s="21">
        <v>40</v>
      </c>
      <c r="O7" s="17" t="s">
        <v>48</v>
      </c>
      <c r="P7" s="22">
        <v>164.8</v>
      </c>
    </row>
    <row r="8" spans="1:21" x14ac:dyDescent="0.25">
      <c r="J8" s="18" t="s">
        <v>47</v>
      </c>
      <c r="K8" s="23">
        <v>3.0200000000000001E-2</v>
      </c>
      <c r="L8" s="24">
        <f>K8*P7</f>
        <v>4.9769600000000009</v>
      </c>
      <c r="S8">
        <v>164.8</v>
      </c>
      <c r="T8">
        <v>12.8</v>
      </c>
    </row>
    <row r="9" spans="1:21" x14ac:dyDescent="0.25">
      <c r="B9" s="6">
        <f>B2-F9</f>
        <v>296.06399999999996</v>
      </c>
      <c r="C9" s="6">
        <f>B9-E2</f>
        <v>38.753999999999962</v>
      </c>
      <c r="F9">
        <f>F2*40%</f>
        <v>25.835999999999991</v>
      </c>
      <c r="G9" s="6">
        <f>F2-F9</f>
        <v>38.753999999999984</v>
      </c>
      <c r="J9" s="19" t="s">
        <v>49</v>
      </c>
      <c r="K9" s="25">
        <v>0.31</v>
      </c>
      <c r="L9" s="26">
        <f>L8*K9</f>
        <v>1.5428576000000003</v>
      </c>
      <c r="M9" s="26" t="s">
        <v>44</v>
      </c>
      <c r="N9" s="26" t="s">
        <v>50</v>
      </c>
      <c r="S9" s="9">
        <f>T8/S8</f>
        <v>7.7669902912621352E-2</v>
      </c>
    </row>
    <row r="10" spans="1:21" x14ac:dyDescent="0.25">
      <c r="F10">
        <f>F5*40%</f>
        <v>20.968000000000007</v>
      </c>
      <c r="G10" s="6">
        <f>F5-F10</f>
        <v>31.452000000000009</v>
      </c>
      <c r="K10" s="11">
        <v>1.6</v>
      </c>
      <c r="L10" s="8">
        <f>L9*0.253806</f>
        <v>0.39158651602560002</v>
      </c>
      <c r="M10" s="11" t="s">
        <v>51</v>
      </c>
      <c r="N10" s="11"/>
    </row>
    <row r="11" spans="1:21" x14ac:dyDescent="0.25">
      <c r="F11" s="6"/>
      <c r="J11" s="9"/>
      <c r="K11" s="11">
        <f>K10*10^6</f>
        <v>1600000</v>
      </c>
      <c r="L11" s="11">
        <f>L10*10^9</f>
        <v>391586516.02560002</v>
      </c>
      <c r="M11" s="27">
        <f>L11/K11</f>
        <v>244.74157251600002</v>
      </c>
      <c r="N11" s="27" t="s">
        <v>31</v>
      </c>
      <c r="O11" s="11">
        <f>K11*M11</f>
        <v>391586516.02560002</v>
      </c>
      <c r="P11" s="27" t="s">
        <v>52</v>
      </c>
      <c r="Q11" s="20">
        <f>O11/10^6</f>
        <v>391.58651602560002</v>
      </c>
      <c r="S11" s="10">
        <v>0.2142</v>
      </c>
      <c r="T11" s="6">
        <f>M11-(S11*M11)</f>
        <v>192.31792768307281</v>
      </c>
    </row>
    <row r="12" spans="1:21" x14ac:dyDescent="0.25">
      <c r="E12" s="6"/>
    </row>
    <row r="14" spans="1:21" x14ac:dyDescent="0.25">
      <c r="K14" t="s">
        <v>30</v>
      </c>
      <c r="L14" t="s">
        <v>34</v>
      </c>
    </row>
    <row r="15" spans="1:21" x14ac:dyDescent="0.25">
      <c r="J15" t="s">
        <v>33</v>
      </c>
      <c r="K15">
        <v>1.8</v>
      </c>
      <c r="L15">
        <v>1.25</v>
      </c>
      <c r="M15" s="11" t="s">
        <v>31</v>
      </c>
      <c r="N15">
        <f>2.2*10^6</f>
        <v>2200000</v>
      </c>
      <c r="S15">
        <v>4311</v>
      </c>
      <c r="T15">
        <v>354</v>
      </c>
      <c r="U15" s="9">
        <f>T15/S15</f>
        <v>8.2115518441196939E-2</v>
      </c>
    </row>
    <row r="16" spans="1:21" x14ac:dyDescent="0.25">
      <c r="K16">
        <f>K15*10^6</f>
        <v>1800000</v>
      </c>
      <c r="L16">
        <f>L15*10^9</f>
        <v>1250000000</v>
      </c>
      <c r="M16" s="6">
        <f>L16/K16</f>
        <v>694.44444444444446</v>
      </c>
      <c r="N16">
        <f>N15*M16</f>
        <v>1527777777.7777779</v>
      </c>
    </row>
    <row r="17" spans="11:14" x14ac:dyDescent="0.25">
      <c r="N17" s="5">
        <f>N16/10^6</f>
        <v>1527.7777777777778</v>
      </c>
    </row>
    <row r="18" spans="11:14" x14ac:dyDescent="0.25">
      <c r="N18" s="5">
        <f>N17/10^3</f>
        <v>1.5277777777777779</v>
      </c>
    </row>
    <row r="19" spans="11:14" x14ac:dyDescent="0.25">
      <c r="K19" t="s">
        <v>35</v>
      </c>
      <c r="L19" t="s">
        <v>29</v>
      </c>
    </row>
    <row r="20" spans="11:14" x14ac:dyDescent="0.25">
      <c r="K20">
        <v>2041</v>
      </c>
      <c r="L20">
        <v>657</v>
      </c>
    </row>
    <row r="21" spans="11:14" x14ac:dyDescent="0.25">
      <c r="K21">
        <f>K20*10^3</f>
        <v>2041000</v>
      </c>
      <c r="L21">
        <f>L20*10^6</f>
        <v>657000000</v>
      </c>
    </row>
    <row r="22" spans="11:14" x14ac:dyDescent="0.25">
      <c r="K22" s="5">
        <f>L21/K21</f>
        <v>321.90102890739831</v>
      </c>
      <c r="L22" s="5">
        <f>K22-K23</f>
        <v>64.589280910438333</v>
      </c>
    </row>
    <row r="23" spans="11:14" x14ac:dyDescent="0.25">
      <c r="K23" s="6">
        <f>K22-(K22*K25)</f>
        <v>257.31174799695998</v>
      </c>
    </row>
    <row r="24" spans="11:14" x14ac:dyDescent="0.25">
      <c r="K24">
        <v>4311</v>
      </c>
      <c r="L24">
        <v>3446</v>
      </c>
    </row>
    <row r="25" spans="11:14" x14ac:dyDescent="0.25">
      <c r="K25" s="9">
        <f>L25/K24</f>
        <v>0.20064950127580608</v>
      </c>
      <c r="L25">
        <f>K24-L24</f>
        <v>865</v>
      </c>
    </row>
    <row r="26" spans="11:14" x14ac:dyDescent="0.25">
      <c r="K26" s="10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Rajat Sharma</dc:creator>
  <cp:lastModifiedBy>Hardik Malhotra</cp:lastModifiedBy>
  <dcterms:created xsi:type="dcterms:W3CDTF">2023-07-10T05:08:45Z</dcterms:created>
  <dcterms:modified xsi:type="dcterms:W3CDTF">2023-07-20T16:55:29Z</dcterms:modified>
</cp:coreProperties>
</file>