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13_ncr:1_{5762794A-2C54-4EAD-93A6-1828A315213D}" xr6:coauthVersionLast="47" xr6:coauthVersionMax="47" xr10:uidLastSave="{00000000-0000-0000-0000-000000000000}"/>
  <bookViews>
    <workbookView xWindow="-120" yWindow="-120" windowWidth="20730" windowHeight="11160" tabRatio="842" activeTab="2" xr2:uid="{7AC7B747-0892-4439-90E4-03A431670962}"/>
  </bookViews>
  <sheets>
    <sheet name="Historical Price_Methanol " sheetId="1" r:id="rId1"/>
    <sheet name="Hist_Weighted Average Price " sheetId="15" r:id="rId2"/>
    <sheet name="Sheet7" sheetId="18" r:id="rId3"/>
    <sheet name="Nat_Gas World Bank Forec" sheetId="17" r:id="rId4"/>
    <sheet name="Country Demand" sheetId="16" r:id="rId5"/>
    <sheet name="Nominal Price_Methanol" sheetId="3" r:id="rId6"/>
    <sheet name="Sheet4" sheetId="10" r:id="rId7"/>
    <sheet name="Natural Gas Forecast Price" sheetId="13" r:id="rId8"/>
    <sheet name="World Bank Data Natural gas " sheetId="14" r:id="rId9"/>
    <sheet name="Sheet6" sheetId="12" r:id="rId10"/>
    <sheet name="Sheet5" sheetId="11" r:id="rId11"/>
    <sheet name="ALFRED Graph" sheetId="7" r:id="rId12"/>
    <sheet name="Feedstock Price_Crude Oil" sheetId="4" r:id="rId13"/>
    <sheet name="Feedstock Price_Natural Gas" sheetId="5" r:id="rId14"/>
    <sheet name="Inflation" sheetId="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8" l="1"/>
  <c r="I34" i="18"/>
  <c r="H34" i="18"/>
  <c r="G34" i="18"/>
  <c r="F34" i="18"/>
  <c r="E34" i="18"/>
  <c r="D34" i="18"/>
  <c r="C34" i="18"/>
  <c r="O44" i="15"/>
  <c r="N44" i="15"/>
  <c r="V44" i="15"/>
  <c r="U44" i="15"/>
  <c r="M44" i="15"/>
  <c r="O39" i="15"/>
  <c r="N39" i="15"/>
  <c r="M39" i="15"/>
  <c r="O3" i="15"/>
  <c r="N3" i="15"/>
  <c r="M3" i="15"/>
  <c r="C44" i="15"/>
  <c r="D44" i="15"/>
  <c r="E44" i="15"/>
  <c r="F44" i="15"/>
  <c r="G44" i="15"/>
  <c r="H44" i="15"/>
  <c r="I44" i="15"/>
  <c r="J44" i="15"/>
  <c r="K44" i="15"/>
  <c r="L44" i="15"/>
  <c r="B44" i="15"/>
  <c r="B15" i="18"/>
  <c r="B41" i="15"/>
  <c r="L17" i="18"/>
  <c r="P16" i="15"/>
  <c r="P17" i="15"/>
  <c r="P18" i="15"/>
  <c r="P19" i="15"/>
  <c r="P15" i="15"/>
  <c r="P22" i="15"/>
  <c r="P23" i="15"/>
  <c r="P21" i="15"/>
  <c r="P20" i="15" s="1"/>
  <c r="P35" i="15"/>
  <c r="P36" i="15"/>
  <c r="P37" i="15"/>
  <c r="P34" i="15"/>
  <c r="P30" i="15"/>
  <c r="P31" i="15"/>
  <c r="P32" i="15"/>
  <c r="P29" i="15"/>
  <c r="C15" i="18" l="1"/>
  <c r="D15" i="18"/>
  <c r="E15" i="18"/>
  <c r="F15" i="18"/>
  <c r="G15" i="18"/>
  <c r="H15" i="18"/>
  <c r="I15" i="18"/>
  <c r="J15" i="18"/>
  <c r="K15" i="18"/>
  <c r="L15" i="18"/>
  <c r="M15" i="18"/>
  <c r="N15" i="18"/>
  <c r="O15" i="18"/>
  <c r="U11" i="18"/>
  <c r="W9" i="18"/>
  <c r="Y8" i="18"/>
  <c r="V7" i="18"/>
  <c r="X5" i="18"/>
  <c r="Z4" i="18"/>
  <c r="U3" i="18"/>
  <c r="X2" i="18"/>
  <c r="Y2" i="18"/>
  <c r="Z2" i="18"/>
  <c r="X3" i="18"/>
  <c r="Y3" i="18"/>
  <c r="Z3" i="18"/>
  <c r="X4" i="18"/>
  <c r="Y4" i="18"/>
  <c r="Y5" i="18"/>
  <c r="Z5" i="18"/>
  <c r="X6" i="18"/>
  <c r="Y6" i="18"/>
  <c r="Z6" i="18"/>
  <c r="X7" i="18"/>
  <c r="Y7" i="18"/>
  <c r="Z7" i="18"/>
  <c r="X8" i="18"/>
  <c r="Y9" i="18"/>
  <c r="Z9" i="18"/>
  <c r="W3" i="18"/>
  <c r="W4" i="18"/>
  <c r="W6" i="18"/>
  <c r="W7" i="18"/>
  <c r="W8" i="18"/>
  <c r="W2" i="18"/>
  <c r="V4" i="18"/>
  <c r="V5" i="18"/>
  <c r="V6" i="18"/>
  <c r="V8" i="18"/>
  <c r="V9" i="18"/>
  <c r="V10" i="18"/>
  <c r="V12" i="18"/>
  <c r="V13" i="18"/>
  <c r="V14" i="18"/>
  <c r="V2" i="18"/>
  <c r="U4" i="18"/>
  <c r="U5" i="18"/>
  <c r="U6" i="18"/>
  <c r="U8" i="18"/>
  <c r="U9" i="18"/>
  <c r="U10" i="18"/>
  <c r="U12" i="18"/>
  <c r="U13" i="18"/>
  <c r="U14" i="18"/>
  <c r="U2" i="18"/>
  <c r="O5" i="15"/>
  <c r="N5" i="15"/>
  <c r="M5" i="15"/>
  <c r="O4" i="15"/>
  <c r="N4" i="15"/>
  <c r="M4" i="15"/>
  <c r="O42" i="15"/>
  <c r="N42" i="15"/>
  <c r="M42" i="15"/>
  <c r="U42" i="15" s="1"/>
  <c r="O41" i="15"/>
  <c r="N41" i="15"/>
  <c r="M41" i="15"/>
  <c r="O40" i="15"/>
  <c r="N40" i="15"/>
  <c r="M40" i="15"/>
  <c r="U40" i="15" s="1"/>
  <c r="M38" i="15"/>
  <c r="N38" i="15" s="1"/>
  <c r="O38" i="15" s="1"/>
  <c r="U17" i="17"/>
  <c r="T17" i="17"/>
  <c r="S17" i="17"/>
  <c r="R17" i="17"/>
  <c r="Q17" i="17"/>
  <c r="AC38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9" i="15"/>
  <c r="AC40" i="15"/>
  <c r="AC41" i="15"/>
  <c r="AC42" i="15"/>
  <c r="M30" i="15"/>
  <c r="N30" i="15" s="1"/>
  <c r="O30" i="15" s="1"/>
  <c r="M31" i="15"/>
  <c r="N31" i="15" s="1"/>
  <c r="O31" i="15" s="1"/>
  <c r="P44" i="15" l="1"/>
  <c r="Q44" i="15" s="1"/>
  <c r="R44" i="15" s="1"/>
  <c r="S44" i="15" s="1"/>
  <c r="W44" i="15"/>
  <c r="X9" i="18"/>
  <c r="V11" i="18"/>
  <c r="V3" i="18"/>
  <c r="Z8" i="18"/>
  <c r="U7" i="18"/>
  <c r="W5" i="18"/>
  <c r="P38" i="15"/>
  <c r="Q38" i="15" s="1"/>
  <c r="R38" i="15" s="1"/>
  <c r="S38" i="15" s="1"/>
  <c r="U39" i="15"/>
  <c r="V39" i="15"/>
  <c r="V42" i="15"/>
  <c r="U38" i="15"/>
  <c r="V38" i="15"/>
  <c r="W38" i="15" l="1"/>
  <c r="W42" i="15"/>
  <c r="P42" i="15"/>
  <c r="Q42" i="15" s="1"/>
  <c r="R42" i="15" s="1"/>
  <c r="S42" i="15" s="1"/>
  <c r="P39" i="15"/>
  <c r="Q39" i="15" s="1"/>
  <c r="R39" i="15" s="1"/>
  <c r="S39" i="15" s="1"/>
  <c r="W39" i="15"/>
  <c r="V40" i="15"/>
  <c r="P40" i="15" l="1"/>
  <c r="Q40" i="15" s="1"/>
  <c r="R40" i="15" s="1"/>
  <c r="S40" i="15" s="1"/>
  <c r="W40" i="15"/>
  <c r="Q36" i="15" l="1"/>
  <c r="R36" i="15" s="1"/>
  <c r="S36" i="15" s="1"/>
  <c r="N36" i="15"/>
  <c r="O36" i="15" s="1"/>
  <c r="W36" i="15" s="1"/>
  <c r="Q35" i="15"/>
  <c r="R35" i="15" s="1"/>
  <c r="S35" i="15" s="1"/>
  <c r="N35" i="15"/>
  <c r="O35" i="15" s="1"/>
  <c r="W35" i="15" s="1"/>
  <c r="Q34" i="15"/>
  <c r="R34" i="15" s="1"/>
  <c r="S34" i="15" s="1"/>
  <c r="N34" i="15"/>
  <c r="O34" i="15" s="1"/>
  <c r="V31" i="15"/>
  <c r="U31" i="15"/>
  <c r="W30" i="15"/>
  <c r="U30" i="15"/>
  <c r="U29" i="15"/>
  <c r="Q31" i="15"/>
  <c r="R31" i="15" s="1"/>
  <c r="S31" i="15" s="1"/>
  <c r="W31" i="15"/>
  <c r="Q30" i="15"/>
  <c r="R30" i="15" s="1"/>
  <c r="S30" i="15" s="1"/>
  <c r="Q29" i="15"/>
  <c r="R29" i="15" s="1"/>
  <c r="S29" i="15" s="1"/>
  <c r="Q22" i="15"/>
  <c r="R22" i="15" s="1"/>
  <c r="S22" i="15" s="1"/>
  <c r="M22" i="15"/>
  <c r="N22" i="15" s="1"/>
  <c r="O22" i="15" s="1"/>
  <c r="W22" i="15" s="1"/>
  <c r="Q21" i="15"/>
  <c r="R21" i="15" s="1"/>
  <c r="S21" i="15" s="1"/>
  <c r="M21" i="15"/>
  <c r="U21" i="15" s="1"/>
  <c r="Q18" i="15"/>
  <c r="R18" i="15" s="1"/>
  <c r="S18" i="15" s="1"/>
  <c r="M18" i="15"/>
  <c r="U18" i="15" s="1"/>
  <c r="Q17" i="15"/>
  <c r="R17" i="15" s="1"/>
  <c r="S17" i="15" s="1"/>
  <c r="M17" i="15"/>
  <c r="N17" i="15" s="1"/>
  <c r="O17" i="15" s="1"/>
  <c r="W17" i="15" s="1"/>
  <c r="Q16" i="15"/>
  <c r="R16" i="15" s="1"/>
  <c r="S16" i="15" s="1"/>
  <c r="M16" i="15"/>
  <c r="N16" i="15" s="1"/>
  <c r="O16" i="15" s="1"/>
  <c r="W16" i="15" s="1"/>
  <c r="Q15" i="15"/>
  <c r="R15" i="15" s="1"/>
  <c r="S15" i="15" s="1"/>
  <c r="M15" i="15"/>
  <c r="N15" i="15" s="1"/>
  <c r="O15" i="15" s="1"/>
  <c r="W15" i="15" s="1"/>
  <c r="M25" i="15"/>
  <c r="U25" i="15" s="1"/>
  <c r="M26" i="15"/>
  <c r="N26" i="15" s="1"/>
  <c r="O26" i="15" s="1"/>
  <c r="P26" i="15" s="1"/>
  <c r="Q26" i="15" s="1"/>
  <c r="R26" i="15" s="1"/>
  <c r="S26" i="15" s="1"/>
  <c r="M11" i="15"/>
  <c r="U11" i="15" s="1"/>
  <c r="M8" i="15"/>
  <c r="N8" i="15" s="1"/>
  <c r="O8" i="15" s="1"/>
  <c r="P8" i="15" s="1"/>
  <c r="Q8" i="15" s="1"/>
  <c r="R8" i="15" s="1"/>
  <c r="S8" i="15" s="1"/>
  <c r="M7" i="15"/>
  <c r="U7" i="15" s="1"/>
  <c r="P4" i="15"/>
  <c r="Q4" i="15" s="1"/>
  <c r="R4" i="15" s="1"/>
  <c r="S4" i="15" s="1"/>
  <c r="V3" i="15" l="1"/>
  <c r="W3" i="15"/>
  <c r="N18" i="15"/>
  <c r="O18" i="15" s="1"/>
  <c r="W18" i="15" s="1"/>
  <c r="U34" i="15"/>
  <c r="U36" i="15"/>
  <c r="V34" i="15"/>
  <c r="N21" i="15"/>
  <c r="O21" i="15" s="1"/>
  <c r="W21" i="15" s="1"/>
  <c r="U15" i="15"/>
  <c r="W34" i="15"/>
  <c r="U16" i="15"/>
  <c r="U22" i="15"/>
  <c r="U35" i="15"/>
  <c r="V22" i="15"/>
  <c r="V35" i="15"/>
  <c r="U17" i="15"/>
  <c r="V36" i="15"/>
  <c r="V29" i="15"/>
  <c r="W29" i="15"/>
  <c r="V30" i="15"/>
  <c r="V17" i="15"/>
  <c r="V15" i="15"/>
  <c r="V16" i="15"/>
  <c r="U3" i="15"/>
  <c r="U26" i="15"/>
  <c r="N25" i="15"/>
  <c r="V26" i="15"/>
  <c r="W26" i="15"/>
  <c r="N11" i="15"/>
  <c r="O11" i="15" s="1"/>
  <c r="W11" i="15" s="1"/>
  <c r="V4" i="15"/>
  <c r="W8" i="15"/>
  <c r="U8" i="15"/>
  <c r="W4" i="15"/>
  <c r="U4" i="15"/>
  <c r="V8" i="15"/>
  <c r="N7" i="15"/>
  <c r="V7" i="15" s="1"/>
  <c r="V18" i="15" l="1"/>
  <c r="V21" i="15"/>
  <c r="V11" i="15"/>
  <c r="P11" i="15"/>
  <c r="Q11" i="15" s="1"/>
  <c r="O25" i="15"/>
  <c r="V25" i="15"/>
  <c r="O7" i="15"/>
  <c r="W7" i="15" s="1"/>
  <c r="P3" i="15"/>
  <c r="W25" i="15" l="1"/>
  <c r="P25" i="15"/>
  <c r="R11" i="15"/>
  <c r="P7" i="15"/>
  <c r="Q3" i="15"/>
  <c r="Q25" i="15" l="1"/>
  <c r="S11" i="15"/>
  <c r="Q7" i="15"/>
  <c r="R3" i="15"/>
  <c r="R25" i="15" l="1"/>
  <c r="R7" i="15"/>
  <c r="S3" i="15"/>
  <c r="S25" i="15" l="1"/>
  <c r="S7" i="15"/>
  <c r="C12" i="15" l="1"/>
  <c r="D12" i="15"/>
  <c r="E12" i="15"/>
  <c r="F12" i="15"/>
  <c r="G12" i="15"/>
  <c r="H12" i="15"/>
  <c r="I12" i="15"/>
  <c r="J12" i="15"/>
  <c r="K12" i="15"/>
  <c r="L12" i="15"/>
  <c r="M12" i="15" s="1"/>
  <c r="B12" i="15"/>
  <c r="U21" i="17"/>
  <c r="T21" i="17"/>
  <c r="S21" i="17"/>
  <c r="R21" i="17"/>
  <c r="Q21" i="17"/>
  <c r="U20" i="17"/>
  <c r="T20" i="17"/>
  <c r="S20" i="17"/>
  <c r="R20" i="17"/>
  <c r="Q20" i="17"/>
  <c r="U19" i="17"/>
  <c r="T19" i="17"/>
  <c r="S19" i="17"/>
  <c r="R19" i="17"/>
  <c r="Q19" i="17"/>
  <c r="U18" i="17"/>
  <c r="T18" i="17"/>
  <c r="S18" i="17"/>
  <c r="R18" i="17"/>
  <c r="Q18" i="17"/>
  <c r="U7" i="17"/>
  <c r="U8" i="17"/>
  <c r="U9" i="17"/>
  <c r="U10" i="17"/>
  <c r="T7" i="17"/>
  <c r="T8" i="17"/>
  <c r="T9" i="17"/>
  <c r="T10" i="17"/>
  <c r="Q7" i="17"/>
  <c r="R7" i="17"/>
  <c r="S7" i="17"/>
  <c r="Q8" i="17"/>
  <c r="R8" i="17"/>
  <c r="S8" i="17"/>
  <c r="Q9" i="17"/>
  <c r="R9" i="17"/>
  <c r="S9" i="17"/>
  <c r="Q10" i="17"/>
  <c r="R10" i="17"/>
  <c r="S10" i="17"/>
  <c r="U12" i="15" l="1"/>
  <c r="N12" i="15"/>
  <c r="P14" i="16"/>
  <c r="O14" i="16"/>
  <c r="N14" i="16"/>
  <c r="M14" i="16"/>
  <c r="L14" i="16"/>
  <c r="K14" i="16"/>
  <c r="P13" i="16"/>
  <c r="O13" i="16"/>
  <c r="N13" i="16"/>
  <c r="M13" i="16"/>
  <c r="L13" i="16"/>
  <c r="K13" i="16"/>
  <c r="P12" i="16"/>
  <c r="O12" i="16"/>
  <c r="N12" i="16"/>
  <c r="M12" i="16"/>
  <c r="L12" i="16"/>
  <c r="K12" i="16"/>
  <c r="P11" i="16"/>
  <c r="O11" i="16"/>
  <c r="N11" i="16"/>
  <c r="M11" i="16"/>
  <c r="L11" i="16"/>
  <c r="K11" i="16"/>
  <c r="P10" i="16"/>
  <c r="O10" i="16"/>
  <c r="N10" i="16"/>
  <c r="M10" i="16"/>
  <c r="L10" i="16"/>
  <c r="K10" i="16"/>
  <c r="P9" i="16"/>
  <c r="O9" i="16"/>
  <c r="N9" i="16"/>
  <c r="M9" i="16"/>
  <c r="L9" i="16"/>
  <c r="K9" i="16"/>
  <c r="P8" i="16"/>
  <c r="O8" i="16"/>
  <c r="N8" i="16"/>
  <c r="M8" i="16"/>
  <c r="L8" i="16"/>
  <c r="K8" i="16"/>
  <c r="P7" i="16"/>
  <c r="O7" i="16"/>
  <c r="N7" i="16"/>
  <c r="M7" i="16"/>
  <c r="L7" i="16"/>
  <c r="K7" i="16"/>
  <c r="P6" i="16"/>
  <c r="O6" i="16"/>
  <c r="N6" i="16"/>
  <c r="M6" i="16"/>
  <c r="L6" i="16"/>
  <c r="K6" i="16"/>
  <c r="P5" i="16"/>
  <c r="O5" i="16"/>
  <c r="N5" i="16"/>
  <c r="M5" i="16"/>
  <c r="L5" i="16"/>
  <c r="K5" i="16"/>
  <c r="P4" i="16"/>
  <c r="O4" i="16"/>
  <c r="N4" i="16"/>
  <c r="M4" i="16"/>
  <c r="L4" i="16"/>
  <c r="K4" i="16"/>
  <c r="P3" i="16"/>
  <c r="O3" i="16"/>
  <c r="N3" i="16"/>
  <c r="M3" i="16"/>
  <c r="L3" i="16"/>
  <c r="K3" i="16"/>
  <c r="O12" i="15" l="1"/>
  <c r="V12" i="15"/>
  <c r="L41" i="15"/>
  <c r="K41" i="15"/>
  <c r="J41" i="15"/>
  <c r="I41" i="15"/>
  <c r="H41" i="15"/>
  <c r="G41" i="15"/>
  <c r="F41" i="15"/>
  <c r="E41" i="15"/>
  <c r="D41" i="15"/>
  <c r="C41" i="15"/>
  <c r="L37" i="15"/>
  <c r="K37" i="15"/>
  <c r="K33" i="15" s="1"/>
  <c r="J37" i="15"/>
  <c r="J33" i="15" s="1"/>
  <c r="I37" i="15"/>
  <c r="I33" i="15" s="1"/>
  <c r="H37" i="15"/>
  <c r="H33" i="15" s="1"/>
  <c r="G37" i="15"/>
  <c r="G33" i="15" s="1"/>
  <c r="F37" i="15"/>
  <c r="F33" i="15" s="1"/>
  <c r="E37" i="15"/>
  <c r="E33" i="15" s="1"/>
  <c r="D37" i="15"/>
  <c r="D33" i="15" s="1"/>
  <c r="C37" i="15"/>
  <c r="C33" i="15" s="1"/>
  <c r="B37" i="15"/>
  <c r="B33" i="15" s="1"/>
  <c r="L32" i="15"/>
  <c r="K32" i="15"/>
  <c r="K28" i="15" s="1"/>
  <c r="J32" i="15"/>
  <c r="J28" i="15" s="1"/>
  <c r="I32" i="15"/>
  <c r="I28" i="15" s="1"/>
  <c r="H32" i="15"/>
  <c r="H28" i="15" s="1"/>
  <c r="G32" i="15"/>
  <c r="G28" i="15" s="1"/>
  <c r="F32" i="15"/>
  <c r="F28" i="15" s="1"/>
  <c r="E32" i="15"/>
  <c r="E28" i="15" s="1"/>
  <c r="D32" i="15"/>
  <c r="D28" i="15" s="1"/>
  <c r="C32" i="15"/>
  <c r="C28" i="15" s="1"/>
  <c r="B32" i="15"/>
  <c r="B28" i="15" s="1"/>
  <c r="L27" i="15"/>
  <c r="K27" i="15"/>
  <c r="K24" i="15" s="1"/>
  <c r="J27" i="15"/>
  <c r="J24" i="15" s="1"/>
  <c r="I27" i="15"/>
  <c r="I24" i="15" s="1"/>
  <c r="H27" i="15"/>
  <c r="H24" i="15" s="1"/>
  <c r="G27" i="15"/>
  <c r="G24" i="15" s="1"/>
  <c r="F27" i="15"/>
  <c r="F24" i="15" s="1"/>
  <c r="E27" i="15"/>
  <c r="E24" i="15" s="1"/>
  <c r="D27" i="15"/>
  <c r="D24" i="15" s="1"/>
  <c r="C27" i="15"/>
  <c r="C24" i="15" s="1"/>
  <c r="B27" i="15"/>
  <c r="B24" i="15" s="1"/>
  <c r="L23" i="15"/>
  <c r="K23" i="15"/>
  <c r="K20" i="15" s="1"/>
  <c r="J23" i="15"/>
  <c r="J20" i="15" s="1"/>
  <c r="I23" i="15"/>
  <c r="I20" i="15" s="1"/>
  <c r="H23" i="15"/>
  <c r="H20" i="15" s="1"/>
  <c r="G23" i="15"/>
  <c r="G20" i="15" s="1"/>
  <c r="F23" i="15"/>
  <c r="F20" i="15" s="1"/>
  <c r="E23" i="15"/>
  <c r="E20" i="15" s="1"/>
  <c r="D23" i="15"/>
  <c r="D20" i="15" s="1"/>
  <c r="C23" i="15"/>
  <c r="C20" i="15" s="1"/>
  <c r="B23" i="15"/>
  <c r="B20" i="15" s="1"/>
  <c r="L19" i="15"/>
  <c r="K19" i="15"/>
  <c r="K14" i="15" s="1"/>
  <c r="J19" i="15"/>
  <c r="J14" i="15" s="1"/>
  <c r="I19" i="15"/>
  <c r="I14" i="15" s="1"/>
  <c r="H19" i="15"/>
  <c r="H14" i="15" s="1"/>
  <c r="G19" i="15"/>
  <c r="G14" i="15" s="1"/>
  <c r="F19" i="15"/>
  <c r="F14" i="15" s="1"/>
  <c r="E19" i="15"/>
  <c r="E14" i="15" s="1"/>
  <c r="D19" i="15"/>
  <c r="D14" i="15" s="1"/>
  <c r="C19" i="15"/>
  <c r="C14" i="15" s="1"/>
  <c r="B19" i="15"/>
  <c r="B14" i="15" s="1"/>
  <c r="L13" i="15"/>
  <c r="K13" i="15"/>
  <c r="K10" i="15" s="1"/>
  <c r="J13" i="15"/>
  <c r="J10" i="15" s="1"/>
  <c r="I13" i="15"/>
  <c r="I10" i="15" s="1"/>
  <c r="H13" i="15"/>
  <c r="H10" i="15" s="1"/>
  <c r="G13" i="15"/>
  <c r="G10" i="15" s="1"/>
  <c r="F13" i="15"/>
  <c r="F10" i="15" s="1"/>
  <c r="E13" i="15"/>
  <c r="E10" i="15" s="1"/>
  <c r="D13" i="15"/>
  <c r="C13" i="15"/>
  <c r="C10" i="15" s="1"/>
  <c r="B13" i="15"/>
  <c r="B10" i="15" s="1"/>
  <c r="L9" i="15"/>
  <c r="M9" i="15" s="1"/>
  <c r="U9" i="15" s="1"/>
  <c r="K9" i="15"/>
  <c r="K6" i="15" s="1"/>
  <c r="J9" i="15"/>
  <c r="J6" i="15" s="1"/>
  <c r="I9" i="15"/>
  <c r="I6" i="15" s="1"/>
  <c r="H9" i="15"/>
  <c r="H6" i="15" s="1"/>
  <c r="G9" i="15"/>
  <c r="G6" i="15" s="1"/>
  <c r="F9" i="15"/>
  <c r="F6" i="15" s="1"/>
  <c r="E9" i="15"/>
  <c r="E6" i="15" s="1"/>
  <c r="D9" i="15"/>
  <c r="D6" i="15" s="1"/>
  <c r="C9" i="15"/>
  <c r="C6" i="15" s="1"/>
  <c r="B9" i="15"/>
  <c r="B6" i="15" s="1"/>
  <c r="L5" i="15"/>
  <c r="U5" i="15" s="1"/>
  <c r="K5" i="15"/>
  <c r="K2" i="15" s="1"/>
  <c r="J5" i="15"/>
  <c r="J2" i="15" s="1"/>
  <c r="I5" i="15"/>
  <c r="I2" i="15" s="1"/>
  <c r="H5" i="15"/>
  <c r="H2" i="15" s="1"/>
  <c r="G5" i="15"/>
  <c r="G2" i="15" s="1"/>
  <c r="AC2" i="15" s="1"/>
  <c r="F5" i="15"/>
  <c r="F2" i="15" s="1"/>
  <c r="E5" i="15"/>
  <c r="E2" i="15" s="1"/>
  <c r="D5" i="15"/>
  <c r="D2" i="15" s="1"/>
  <c r="C5" i="15"/>
  <c r="C2" i="15" s="1"/>
  <c r="B5" i="15"/>
  <c r="B2" i="15" s="1"/>
  <c r="L2" i="1"/>
  <c r="L33" i="1"/>
  <c r="C4" i="13"/>
  <c r="C5" i="13"/>
  <c r="C6" i="13"/>
  <c r="C7" i="13"/>
  <c r="C8" i="13"/>
  <c r="C9" i="13"/>
  <c r="C10" i="13"/>
  <c r="C11" i="13"/>
  <c r="C12" i="13"/>
  <c r="C13" i="13"/>
  <c r="C14" i="13"/>
  <c r="C3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E238" i="12"/>
  <c r="E214" i="12"/>
  <c r="E190" i="12"/>
  <c r="E166" i="12"/>
  <c r="E142" i="12"/>
  <c r="E118" i="12"/>
  <c r="E94" i="12"/>
  <c r="E70" i="12"/>
  <c r="E46" i="12"/>
  <c r="E31" i="12"/>
  <c r="E19" i="12"/>
  <c r="E7" i="12"/>
  <c r="E2" i="12"/>
  <c r="G4" i="10"/>
  <c r="G5" i="10"/>
  <c r="G6" i="10"/>
  <c r="G7" i="10"/>
  <c r="G8" i="10"/>
  <c r="G9" i="10"/>
  <c r="G10" i="10"/>
  <c r="G11" i="10"/>
  <c r="G12" i="10"/>
  <c r="G3" i="10"/>
  <c r="F12" i="10"/>
  <c r="F11" i="10"/>
  <c r="F10" i="10"/>
  <c r="F9" i="10"/>
  <c r="F8" i="10"/>
  <c r="F7" i="10"/>
  <c r="F6" i="10"/>
  <c r="F5" i="10"/>
  <c r="F4" i="10"/>
  <c r="F3" i="10"/>
  <c r="E4" i="10"/>
  <c r="E5" i="10"/>
  <c r="E6" i="10"/>
  <c r="E7" i="10"/>
  <c r="E8" i="10"/>
  <c r="E9" i="10"/>
  <c r="E10" i="10"/>
  <c r="E11" i="10"/>
  <c r="E12" i="10"/>
  <c r="E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G144" i="7"/>
  <c r="G132" i="7"/>
  <c r="G120" i="7"/>
  <c r="G108" i="7"/>
  <c r="G96" i="7"/>
  <c r="G84" i="7"/>
  <c r="G72" i="7"/>
  <c r="G60" i="7"/>
  <c r="G48" i="7"/>
  <c r="G36" i="7"/>
  <c r="G24" i="7"/>
  <c r="G12" i="7"/>
  <c r="D145" i="7"/>
  <c r="D133" i="7"/>
  <c r="D121" i="7"/>
  <c r="D109" i="7"/>
  <c r="D97" i="7"/>
  <c r="D85" i="7"/>
  <c r="D73" i="7"/>
  <c r="D61" i="7"/>
  <c r="D49" i="7"/>
  <c r="D37" i="7"/>
  <c r="D25" i="7"/>
  <c r="D13" i="7"/>
  <c r="I13" i="1"/>
  <c r="H13" i="1"/>
  <c r="G13" i="1"/>
  <c r="D13" i="1"/>
  <c r="F13" i="1"/>
  <c r="E13" i="1"/>
  <c r="C13" i="1"/>
  <c r="B13" i="1"/>
  <c r="L13" i="1"/>
  <c r="K13" i="1"/>
  <c r="J13" i="1"/>
  <c r="L37" i="1"/>
  <c r="K37" i="1"/>
  <c r="J37" i="1"/>
  <c r="I37" i="1"/>
  <c r="H37" i="1"/>
  <c r="G37" i="1"/>
  <c r="F37" i="1"/>
  <c r="E37" i="1"/>
  <c r="D37" i="1"/>
  <c r="C37" i="1"/>
  <c r="B37" i="1"/>
  <c r="L27" i="1"/>
  <c r="K27" i="1"/>
  <c r="J27" i="1"/>
  <c r="I27" i="1"/>
  <c r="H27" i="1"/>
  <c r="G27" i="1"/>
  <c r="F27" i="1"/>
  <c r="E27" i="1"/>
  <c r="D27" i="1"/>
  <c r="C27" i="1"/>
  <c r="B27" i="1"/>
  <c r="L23" i="1"/>
  <c r="K23" i="1"/>
  <c r="J23" i="1"/>
  <c r="I23" i="1"/>
  <c r="H23" i="1"/>
  <c r="G23" i="1"/>
  <c r="F23" i="1"/>
  <c r="E23" i="1"/>
  <c r="D23" i="1"/>
  <c r="C23" i="1"/>
  <c r="B23" i="1"/>
  <c r="L19" i="1"/>
  <c r="K19" i="1"/>
  <c r="J19" i="1"/>
  <c r="I19" i="1"/>
  <c r="H19" i="1"/>
  <c r="G19" i="1"/>
  <c r="F19" i="1"/>
  <c r="E19" i="1"/>
  <c r="D19" i="1"/>
  <c r="C19" i="1"/>
  <c r="B19" i="1"/>
  <c r="L9" i="1"/>
  <c r="K9" i="1"/>
  <c r="J9" i="1"/>
  <c r="I9" i="1"/>
  <c r="H9" i="1"/>
  <c r="G9" i="1"/>
  <c r="F9" i="1"/>
  <c r="E9" i="1"/>
  <c r="D9" i="1"/>
  <c r="C9" i="1"/>
  <c r="B9" i="1"/>
  <c r="L5" i="1"/>
  <c r="K5" i="1"/>
  <c r="J5" i="1"/>
  <c r="I5" i="1"/>
  <c r="H5" i="1"/>
  <c r="G5" i="1"/>
  <c r="F5" i="1"/>
  <c r="E5" i="1"/>
  <c r="D5" i="1"/>
  <c r="C5" i="1"/>
  <c r="B5" i="1"/>
  <c r="G24" i="1"/>
  <c r="H24" i="1"/>
  <c r="I24" i="1"/>
  <c r="L24" i="1"/>
  <c r="B24" i="1"/>
  <c r="C41" i="1"/>
  <c r="D41" i="1"/>
  <c r="E41" i="1"/>
  <c r="F41" i="1"/>
  <c r="G41" i="1"/>
  <c r="H41" i="1"/>
  <c r="I41" i="1"/>
  <c r="J41" i="1"/>
  <c r="K41" i="1"/>
  <c r="L41" i="1"/>
  <c r="B41" i="1"/>
  <c r="L20" i="15" l="1"/>
  <c r="M23" i="15"/>
  <c r="L33" i="15"/>
  <c r="U41" i="15"/>
  <c r="L14" i="15"/>
  <c r="M19" i="15"/>
  <c r="L28" i="15"/>
  <c r="M32" i="15"/>
  <c r="L24" i="15"/>
  <c r="M27" i="15"/>
  <c r="L10" i="15"/>
  <c r="M13" i="15"/>
  <c r="W12" i="15"/>
  <c r="P12" i="15"/>
  <c r="M2" i="15"/>
  <c r="V5" i="15"/>
  <c r="L2" i="15"/>
  <c r="N9" i="15"/>
  <c r="V9" i="15" s="1"/>
  <c r="M6" i="15"/>
  <c r="L6" i="15"/>
  <c r="C33" i="1"/>
  <c r="D33" i="1"/>
  <c r="E33" i="1"/>
  <c r="F33" i="1"/>
  <c r="G33" i="1"/>
  <c r="H33" i="1"/>
  <c r="I33" i="1"/>
  <c r="J33" i="1"/>
  <c r="K33" i="1"/>
  <c r="B33" i="1"/>
  <c r="C32" i="1"/>
  <c r="C28" i="1" s="1"/>
  <c r="D32" i="1"/>
  <c r="D28" i="1" s="1"/>
  <c r="E32" i="1"/>
  <c r="E28" i="1" s="1"/>
  <c r="F32" i="1"/>
  <c r="F28" i="1" s="1"/>
  <c r="G32" i="1"/>
  <c r="G28" i="1" s="1"/>
  <c r="H32" i="1"/>
  <c r="H28" i="1" s="1"/>
  <c r="I32" i="1"/>
  <c r="I28" i="1" s="1"/>
  <c r="J32" i="1"/>
  <c r="J28" i="1" s="1"/>
  <c r="K32" i="1"/>
  <c r="K28" i="1" s="1"/>
  <c r="L32" i="1"/>
  <c r="L28" i="1" s="1"/>
  <c r="B32" i="1"/>
  <c r="B28" i="1" s="1"/>
  <c r="C14" i="1"/>
  <c r="D14" i="1"/>
  <c r="E14" i="1"/>
  <c r="F14" i="1"/>
  <c r="G14" i="1"/>
  <c r="H14" i="1"/>
  <c r="I14" i="1"/>
  <c r="J14" i="1"/>
  <c r="K14" i="1"/>
  <c r="L14" i="1"/>
  <c r="B14" i="1"/>
  <c r="L20" i="1"/>
  <c r="C20" i="1"/>
  <c r="D20" i="1"/>
  <c r="E20" i="1"/>
  <c r="F20" i="1"/>
  <c r="G20" i="1"/>
  <c r="H20" i="1"/>
  <c r="I20" i="1"/>
  <c r="J20" i="1"/>
  <c r="K20" i="1"/>
  <c r="V41" i="15" l="1"/>
  <c r="N37" i="15"/>
  <c r="U37" i="15"/>
  <c r="M33" i="15"/>
  <c r="U33" i="15" s="1"/>
  <c r="N32" i="15"/>
  <c r="M28" i="15"/>
  <c r="U28" i="15" s="1"/>
  <c r="U32" i="15"/>
  <c r="Q37" i="15"/>
  <c r="P33" i="15"/>
  <c r="Q19" i="15"/>
  <c r="P14" i="15"/>
  <c r="N23" i="15"/>
  <c r="U23" i="15"/>
  <c r="M20" i="15"/>
  <c r="U20" i="15" s="1"/>
  <c r="N19" i="15"/>
  <c r="U19" i="15"/>
  <c r="M14" i="15"/>
  <c r="U14" i="15" s="1"/>
  <c r="Q23" i="15"/>
  <c r="Q32" i="15"/>
  <c r="P28" i="15"/>
  <c r="N27" i="15"/>
  <c r="U27" i="15"/>
  <c r="M24" i="15"/>
  <c r="U24" i="15" s="1"/>
  <c r="U2" i="15"/>
  <c r="U6" i="15"/>
  <c r="Q12" i="15"/>
  <c r="N13" i="15"/>
  <c r="U13" i="15"/>
  <c r="M10" i="15"/>
  <c r="U10" i="15" s="1"/>
  <c r="W5" i="15"/>
  <c r="N2" i="15"/>
  <c r="V2" i="15" s="1"/>
  <c r="O9" i="15"/>
  <c r="N6" i="15"/>
  <c r="V6" i="15" s="1"/>
  <c r="B20" i="1"/>
  <c r="K24" i="1"/>
  <c r="C24" i="1"/>
  <c r="E24" i="1"/>
  <c r="J24" i="1"/>
  <c r="F24" i="1"/>
  <c r="D24" i="1"/>
  <c r="O32" i="15" l="1"/>
  <c r="V32" i="15"/>
  <c r="N28" i="15"/>
  <c r="V28" i="15" s="1"/>
  <c r="R32" i="15"/>
  <c r="Q28" i="15"/>
  <c r="O23" i="15"/>
  <c r="N20" i="15"/>
  <c r="V20" i="15" s="1"/>
  <c r="V23" i="15"/>
  <c r="R23" i="15"/>
  <c r="Q20" i="15"/>
  <c r="R19" i="15"/>
  <c r="Q14" i="15"/>
  <c r="O37" i="15"/>
  <c r="N33" i="15"/>
  <c r="V33" i="15" s="1"/>
  <c r="V37" i="15"/>
  <c r="V19" i="15"/>
  <c r="O19" i="15"/>
  <c r="N14" i="15"/>
  <c r="V14" i="15" s="1"/>
  <c r="R37" i="15"/>
  <c r="Q33" i="15"/>
  <c r="W41" i="15"/>
  <c r="P41" i="15"/>
  <c r="Q41" i="15" s="1"/>
  <c r="R41" i="15" s="1"/>
  <c r="S41" i="15" s="1"/>
  <c r="V27" i="15"/>
  <c r="O27" i="15"/>
  <c r="N24" i="15"/>
  <c r="V24" i="15" s="1"/>
  <c r="W9" i="15"/>
  <c r="P9" i="15"/>
  <c r="Q9" i="15" s="1"/>
  <c r="R9" i="15" s="1"/>
  <c r="S9" i="15" s="1"/>
  <c r="O13" i="15"/>
  <c r="V13" i="15"/>
  <c r="N10" i="15"/>
  <c r="V10" i="15" s="1"/>
  <c r="R12" i="15"/>
  <c r="O6" i="15"/>
  <c r="W6" i="15" s="1"/>
  <c r="P5" i="15"/>
  <c r="O2" i="15"/>
  <c r="W2" i="15" s="1"/>
  <c r="W23" i="15" l="1"/>
  <c r="O20" i="15"/>
  <c r="W20" i="15" s="1"/>
  <c r="W37" i="15"/>
  <c r="O33" i="15"/>
  <c r="W33" i="15" s="1"/>
  <c r="S32" i="15"/>
  <c r="S28" i="15" s="1"/>
  <c r="R28" i="15"/>
  <c r="S37" i="15"/>
  <c r="S33" i="15" s="1"/>
  <c r="R33" i="15"/>
  <c r="S19" i="15"/>
  <c r="S14" i="15" s="1"/>
  <c r="R14" i="15"/>
  <c r="W19" i="15"/>
  <c r="O14" i="15"/>
  <c r="W14" i="15" s="1"/>
  <c r="S23" i="15"/>
  <c r="S20" i="15" s="1"/>
  <c r="R20" i="15"/>
  <c r="O28" i="15"/>
  <c r="W28" i="15" s="1"/>
  <c r="W32" i="15"/>
  <c r="W27" i="15"/>
  <c r="P27" i="15"/>
  <c r="O24" i="15"/>
  <c r="W24" i="15" s="1"/>
  <c r="S12" i="15"/>
  <c r="W13" i="15"/>
  <c r="P13" i="15"/>
  <c r="O10" i="15"/>
  <c r="W10" i="15" s="1"/>
  <c r="Q5" i="15"/>
  <c r="P2" i="15"/>
  <c r="P6" i="15"/>
  <c r="D10" i="15"/>
  <c r="Q27" i="15" l="1"/>
  <c r="P24" i="15"/>
  <c r="Q13" i="15"/>
  <c r="P10" i="15"/>
  <c r="Q6" i="15"/>
  <c r="R5" i="15"/>
  <c r="Q2" i="15"/>
  <c r="R27" i="15" l="1"/>
  <c r="Q24" i="15"/>
  <c r="R13" i="15"/>
  <c r="Q10" i="15"/>
  <c r="S5" i="15"/>
  <c r="S2" i="15" s="1"/>
  <c r="R2" i="15"/>
  <c r="S6" i="15"/>
  <c r="R6" i="15"/>
  <c r="S27" i="15" l="1"/>
  <c r="S24" i="15" s="1"/>
  <c r="R24" i="15"/>
  <c r="S13" i="15"/>
  <c r="S10" i="15" s="1"/>
  <c r="R10" i="15"/>
  <c r="W13" i="18" l="1"/>
  <c r="X13" i="18"/>
  <c r="Y13" i="18"/>
  <c r="Z13" i="18"/>
  <c r="W14" i="18"/>
  <c r="X14" i="18"/>
  <c r="Y14" i="18"/>
  <c r="Z14" i="18"/>
  <c r="W12" i="18"/>
  <c r="Z12" i="18"/>
  <c r="Y12" i="18"/>
  <c r="X12" i="18"/>
  <c r="W11" i="18"/>
  <c r="X11" i="18"/>
  <c r="Z11" i="18"/>
  <c r="Y11" i="18"/>
  <c r="P15" i="18"/>
  <c r="X10" i="18"/>
  <c r="W10" i="18"/>
  <c r="S15" i="18"/>
  <c r="Y10" i="18"/>
  <c r="Q15" i="18"/>
  <c r="Z10" i="18"/>
  <c r="R15" i="18"/>
</calcChain>
</file>

<file path=xl/sharedStrings.xml><?xml version="1.0" encoding="utf-8"?>
<sst xmlns="http://schemas.openxmlformats.org/spreadsheetml/2006/main" count="511" uniqueCount="369">
  <si>
    <t>North America</t>
  </si>
  <si>
    <t>Central America</t>
  </si>
  <si>
    <t>Others</t>
  </si>
  <si>
    <t>Latin America</t>
  </si>
  <si>
    <t>West Europe</t>
  </si>
  <si>
    <t>Greece</t>
  </si>
  <si>
    <t>France</t>
  </si>
  <si>
    <t xml:space="preserve">Italy </t>
  </si>
  <si>
    <t>Spain</t>
  </si>
  <si>
    <t>Central Europe</t>
  </si>
  <si>
    <t>Romania</t>
  </si>
  <si>
    <t>Bulgaria</t>
  </si>
  <si>
    <t>Africa</t>
  </si>
  <si>
    <t>Egypt</t>
  </si>
  <si>
    <t>Algeria</t>
  </si>
  <si>
    <t>CIS</t>
  </si>
  <si>
    <t>Russia</t>
  </si>
  <si>
    <t>Azerbaijan</t>
  </si>
  <si>
    <t>Baltic States</t>
  </si>
  <si>
    <t>Latvia</t>
  </si>
  <si>
    <t>Lithuania</t>
  </si>
  <si>
    <t>Estonia</t>
  </si>
  <si>
    <t>China</t>
  </si>
  <si>
    <t>India</t>
  </si>
  <si>
    <t>Middle East</t>
  </si>
  <si>
    <t>East Asia</t>
  </si>
  <si>
    <t>South Asia</t>
  </si>
  <si>
    <t>USA</t>
  </si>
  <si>
    <t>Trinidad</t>
  </si>
  <si>
    <t>Canada</t>
  </si>
  <si>
    <t>Europe</t>
  </si>
  <si>
    <t>Chilie</t>
  </si>
  <si>
    <t>Belarus</t>
  </si>
  <si>
    <t>Gautemela</t>
  </si>
  <si>
    <t>Costa Rica</t>
  </si>
  <si>
    <t>Year</t>
  </si>
  <si>
    <t>N/A</t>
  </si>
  <si>
    <t>Asia Pacific ($/MT)</t>
  </si>
  <si>
    <t>North America ($/MT)</t>
  </si>
  <si>
    <t>Europe (Euro/MT)</t>
  </si>
  <si>
    <t>China ($/MT)</t>
  </si>
  <si>
    <t>Brent Crude Oil Price ($/Barrel)</t>
  </si>
  <si>
    <t>WTI Crude Oil Price ($/Barrel)</t>
  </si>
  <si>
    <t>Unit: $/million Btu</t>
  </si>
  <si>
    <t>Source: ITC Trade Map, Methanex, Assam Petro-Chemical Ltd., PJSC Metafrax</t>
  </si>
  <si>
    <t>Source: Methanex</t>
  </si>
  <si>
    <t>Source: BP Stats</t>
  </si>
  <si>
    <t xml:space="preserve">Source: World Bank, IMF, OECD </t>
  </si>
  <si>
    <t>Unit: Average Growth Rate (%)</t>
  </si>
  <si>
    <t>ALFRED Graph Observations</t>
  </si>
  <si>
    <t>Archival Federal Reserve Economic Data</t>
  </si>
  <si>
    <t>Link: https://alfred.stlouisfed.org</t>
  </si>
  <si>
    <t>Help: https://alfred.stlouisfed.org/help</t>
  </si>
  <si>
    <t>Economic Research Division</t>
  </si>
  <si>
    <t>Federal Reserve Bank of St. Louis</t>
  </si>
  <si>
    <t>PNGASEUUSDM_20230512</t>
  </si>
  <si>
    <t>Global price of Natural gas, EU Vintage: 2023-05-12, U.S. Dollars per Million Metric British Thermal Unit, Monthly, Not Seasonally Adjusted</t>
  </si>
  <si>
    <t>PNGASEUUSDM_20230612</t>
  </si>
  <si>
    <t>Global price of Natural gas, EU Vintage: 2023-06-12, U.S. Dollars per Million Metric British Thermal Unit, Monthly, Not Seasonally Adjusted</t>
  </si>
  <si>
    <t>Frequency: Monthly</t>
  </si>
  <si>
    <t>observation_date</t>
  </si>
  <si>
    <t>FRED Graph Observations</t>
  </si>
  <si>
    <t>Federal Reserve Economic Data</t>
  </si>
  <si>
    <t>Link: https://fred.stlouisfed.org</t>
  </si>
  <si>
    <t>Help: https://fredhelp.stlouisfed.org</t>
  </si>
  <si>
    <t>MHHNGSP</t>
  </si>
  <si>
    <t>Henry Hub Natural Gas Spot Price, Dollars per Million BTU, Monthly, Not Seasonally Adjusted</t>
  </si>
  <si>
    <t xml:space="preserve">Europe Natural Gas Price </t>
  </si>
  <si>
    <t>Henry Hub US Prices</t>
  </si>
  <si>
    <t>https://mopng.gov.in/files/TableManagements/IPNG-2021-22_L.pdf</t>
  </si>
  <si>
    <t>India Crude Oil &amp; Natural Gas</t>
  </si>
  <si>
    <t xml:space="preserve">Topics </t>
  </si>
  <si>
    <t>Links</t>
  </si>
  <si>
    <t>NGV26</t>
  </si>
  <si>
    <t>NGX26</t>
  </si>
  <si>
    <t>NGZ26</t>
  </si>
  <si>
    <t>NGF27</t>
  </si>
  <si>
    <t>NGG27</t>
  </si>
  <si>
    <t>NGH27</t>
  </si>
  <si>
    <t>NGJ27</t>
  </si>
  <si>
    <t>NGK27</t>
  </si>
  <si>
    <t>NGM27</t>
  </si>
  <si>
    <t>NGN27</t>
  </si>
  <si>
    <t>NGQ27</t>
  </si>
  <si>
    <t>NGU27</t>
  </si>
  <si>
    <t>NGV27</t>
  </si>
  <si>
    <t>NGX27</t>
  </si>
  <si>
    <t>NGZ27</t>
  </si>
  <si>
    <t>NGF28</t>
  </si>
  <si>
    <t>NGG28</t>
  </si>
  <si>
    <t>NGH28</t>
  </si>
  <si>
    <t>NGJ28</t>
  </si>
  <si>
    <t>NGK28</t>
  </si>
  <si>
    <t>NGM28</t>
  </si>
  <si>
    <t>NGN28</t>
  </si>
  <si>
    <t>NGQ28</t>
  </si>
  <si>
    <t>NGU28</t>
  </si>
  <si>
    <t>NGV28</t>
  </si>
  <si>
    <t>NGX28</t>
  </si>
  <si>
    <t>NGZ28</t>
  </si>
  <si>
    <t>NGF29</t>
  </si>
  <si>
    <t>NGG29</t>
  </si>
  <si>
    <t>NGH29</t>
  </si>
  <si>
    <t>NGJ29</t>
  </si>
  <si>
    <t>NGK29</t>
  </si>
  <si>
    <t>NGM29</t>
  </si>
  <si>
    <t>NGN29</t>
  </si>
  <si>
    <t>NGQ29</t>
  </si>
  <si>
    <t>NGU29</t>
  </si>
  <si>
    <t>NGV29</t>
  </si>
  <si>
    <t>NGX29</t>
  </si>
  <si>
    <t>NGZ29</t>
  </si>
  <si>
    <t>NGF30</t>
  </si>
  <si>
    <t>NGG30</t>
  </si>
  <si>
    <t>NGH30</t>
  </si>
  <si>
    <t>NGJ30</t>
  </si>
  <si>
    <t>NGK30</t>
  </si>
  <si>
    <t>NGM30</t>
  </si>
  <si>
    <t>NGN30</t>
  </si>
  <si>
    <t>NGQ30</t>
  </si>
  <si>
    <t>NGU30</t>
  </si>
  <si>
    <t>NGV30</t>
  </si>
  <si>
    <t>NGX30</t>
  </si>
  <si>
    <t>NGZ30</t>
  </si>
  <si>
    <t>NGF31</t>
  </si>
  <si>
    <t>NGG31</t>
  </si>
  <si>
    <t>NGH31</t>
  </si>
  <si>
    <t>NGJ31</t>
  </si>
  <si>
    <t>NGK31</t>
  </si>
  <si>
    <t>NGM31</t>
  </si>
  <si>
    <t>NGN31</t>
  </si>
  <si>
    <t>NGQ31</t>
  </si>
  <si>
    <t>NGU31</t>
  </si>
  <si>
    <t>NGV31</t>
  </si>
  <si>
    <t>NGX31</t>
  </si>
  <si>
    <t>NGZ31</t>
  </si>
  <si>
    <t>NGF32</t>
  </si>
  <si>
    <t>NGG32</t>
  </si>
  <si>
    <t>NGH32</t>
  </si>
  <si>
    <t>NGJ32</t>
  </si>
  <si>
    <t>NGK32</t>
  </si>
  <si>
    <t>NGM32</t>
  </si>
  <si>
    <t>NGN32</t>
  </si>
  <si>
    <t>NGQ32</t>
  </si>
  <si>
    <t>NGU32</t>
  </si>
  <si>
    <t>NGV32</t>
  </si>
  <si>
    <t>NGX32</t>
  </si>
  <si>
    <t>NGZ32</t>
  </si>
  <si>
    <t>NGF33</t>
  </si>
  <si>
    <t>NGG33</t>
  </si>
  <si>
    <t>NGH33</t>
  </si>
  <si>
    <t>NGJ33</t>
  </si>
  <si>
    <t>NGK33</t>
  </si>
  <si>
    <t>NGM33</t>
  </si>
  <si>
    <t>NGN33</t>
  </si>
  <si>
    <t>NGQ33</t>
  </si>
  <si>
    <t>NGU33</t>
  </si>
  <si>
    <t>NGV33</t>
  </si>
  <si>
    <t>NGX33</t>
  </si>
  <si>
    <t>NGZ33</t>
  </si>
  <si>
    <t>NGF34</t>
  </si>
  <si>
    <t>NGG34</t>
  </si>
  <si>
    <t>NGH34</t>
  </si>
  <si>
    <t>NGJ34</t>
  </si>
  <si>
    <t>NGK34</t>
  </si>
  <si>
    <t>NGM34</t>
  </si>
  <si>
    <t>NGN34</t>
  </si>
  <si>
    <t>NGQ34</t>
  </si>
  <si>
    <t>NGU34</t>
  </si>
  <si>
    <t>NGV34</t>
  </si>
  <si>
    <t>NGX34</t>
  </si>
  <si>
    <t>NGZ34</t>
  </si>
  <si>
    <t>NGF35</t>
  </si>
  <si>
    <t>NGG35</t>
  </si>
  <si>
    <t>NGH35</t>
  </si>
  <si>
    <t>NGJ35</t>
  </si>
  <si>
    <t>NGK35</t>
  </si>
  <si>
    <t>NGM35</t>
  </si>
  <si>
    <t>NGN35</t>
  </si>
  <si>
    <t>NGQ35</t>
  </si>
  <si>
    <t>NGU35</t>
  </si>
  <si>
    <t>NGV35</t>
  </si>
  <si>
    <t>NGX35</t>
  </si>
  <si>
    <t>NGZ35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</si>
  <si>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</si>
  <si>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</si>
  <si>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</si>
  <si>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</si>
  <si>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</si>
  <si>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</si>
  <si>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</si>
  <si>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</si>
  <si>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</si>
  <si>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</si>
  <si>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</si>
  <si>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</si>
  <si>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</si>
  <si>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</si>
  <si>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</si>
  <si>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</si>
  <si>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</si>
  <si>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</si>
  <si>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</si>
  <si>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</si>
  <si>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</si>
  <si>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</si>
  <si>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</si>
  <si>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</si>
  <si>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</si>
  <si>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</si>
  <si>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</si>
  <si>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</si>
  <si>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</si>
  <si>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</si>
  <si>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</si>
  <si>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</si>
  <si>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</si>
  <si>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</si>
  <si>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</si>
  <si>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</si>
  <si>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</si>
  <si>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</si>
  <si>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</si>
  <si>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</si>
  <si>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</si>
  <si>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</si>
  <si>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</si>
  <si>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</si>
  <si>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</si>
  <si>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</si>
  <si>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</si>
  <si>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</si>
  <si>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</si>
  <si>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</si>
  <si>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</si>
  <si>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</si>
  <si>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</si>
  <si>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</si>
  <si>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</si>
  <si>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</si>
  <si>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</si>
  <si>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</si>
  <si>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</si>
  <si>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</si>
  <si>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</si>
  <si>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</si>
  <si>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</si>
  <si>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</si>
  <si>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</si>
  <si>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</si>
  <si>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</si>
  <si>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</si>
  <si>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</si>
  <si>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</si>
  <si>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</si>
  <si>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</si>
  <si>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</si>
  <si>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</si>
  <si>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</si>
  <si>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</si>
  <si>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</si>
  <si>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</si>
  <si>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</si>
  <si>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</si>
  <si>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</si>
  <si>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</si>
  <si>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</si>
  <si>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</si>
  <si>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</si>
  <si>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</si>
  <si>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</si>
  <si>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</si>
  <si>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</si>
  <si>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</si>
  <si>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</si>
  <si>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</si>
  <si>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</si>
  <si>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</si>
  <si>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</si>
  <si>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</si>
  <si>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</si>
  <si>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</si>
  <si>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</si>
  <si>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</si>
  <si>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</si>
  <si>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</si>
  <si>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</si>
  <si>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</si>
  <si>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</si>
  <si>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</si>
  <si>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</si>
  <si>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</si>
  <si>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</si>
  <si>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</si>
  <si>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</si>
  <si>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</si>
  <si>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</si>
  <si>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</si>
  <si>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</si>
  <si>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</si>
  <si>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</si>
  <si>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</si>
  <si>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</si>
  <si>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</si>
  <si>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</si>
  <si>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</si>
  <si>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</si>
  <si>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</si>
  <si>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</si>
  <si>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</si>
  <si>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</si>
  <si>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</si>
  <si>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</si>
  <si>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</si>
  <si>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</si>
  <si>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</si>
  <si>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</si>
  <si>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</si>
  <si>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</si>
  <si>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</si>
  <si>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</si>
  <si>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</si>
  <si>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Natural gas, US</t>
  </si>
  <si>
    <t>Natural gas, Europe</t>
  </si>
  <si>
    <t>Liquefied natural gas, Japan</t>
  </si>
  <si>
    <t>Natural gas index</t>
  </si>
  <si>
    <t>($/mmbtu)</t>
  </si>
  <si>
    <t>(2010=100)</t>
  </si>
  <si>
    <t>https://thedocs.worldbank.org/en/doc/ff5bad98f52ffa2457136bbef5703ddb-0350012021/related/CMO-October-2021-forecasts.pdf</t>
  </si>
  <si>
    <t xml:space="preserve">World Bank Crude oil Prices </t>
  </si>
  <si>
    <t>CAGR</t>
  </si>
  <si>
    <t>2025F</t>
  </si>
  <si>
    <t>2030F</t>
  </si>
  <si>
    <t>2035F</t>
  </si>
  <si>
    <t>2040F</t>
  </si>
  <si>
    <t>2045F</t>
  </si>
  <si>
    <t>CAGR(2012-2022)</t>
  </si>
  <si>
    <t>CAGR(2022-2025)</t>
  </si>
  <si>
    <t>CAGR(2025-2030)</t>
  </si>
  <si>
    <t>CAGR(2030-2035)</t>
  </si>
  <si>
    <t>CAGR(2035-2040)</t>
  </si>
  <si>
    <t>CAGR(2040-2045)</t>
  </si>
  <si>
    <t>Italy</t>
  </si>
  <si>
    <t>Turkey</t>
  </si>
  <si>
    <t xml:space="preserve">China </t>
  </si>
  <si>
    <t xml:space="preserve">India </t>
  </si>
  <si>
    <t>Forecasts</t>
  </si>
  <si>
    <t>Commodity</t>
  </si>
  <si>
    <t>Unit</t>
  </si>
  <si>
    <t>Energy</t>
  </si>
  <si>
    <t>Coal, Australia</t>
  </si>
  <si>
    <t>$/mt</t>
  </si>
  <si>
    <t>Crude oil, avg</t>
  </si>
  <si>
    <t>$/bbl</t>
  </si>
  <si>
    <t>$/mmbtu</t>
  </si>
  <si>
    <t>World Bank Commodities Price Forecast (nominal US dollars) Released: October 21, 2021</t>
  </si>
  <si>
    <t>World Bank Commodities Price Forecast (constant US dollars) Released: October 21, 2021</t>
  </si>
  <si>
    <t>https://blogs.worldbank.org/developmenttalk/commodity-markets-outlook-eight-charts-0#:~:text=Commodity%20prices%20are%20expected%20to,remain%20broadly%20stable%20in%202024.</t>
  </si>
  <si>
    <t>https://economictimes.indiatimes.com/industry/energy/oil-gas/consumption-of-natural-gas-falls-12-4-in-may/articleshow/101200605.cms?from=mdr</t>
  </si>
  <si>
    <t>https://blogs.worldbank.org/opendata/bubble-trouble-whats-behind-highs-and-lows-natural-gas-markets</t>
  </si>
  <si>
    <t>Deoendent on Coal</t>
  </si>
  <si>
    <t> Futures markets predict lower natural gas prices in 2023, but higher than the 2017-21 average until end-2026. </t>
  </si>
  <si>
    <t>2017-2022</t>
  </si>
  <si>
    <t>2022-2025</t>
  </si>
  <si>
    <t>2025-2030</t>
  </si>
  <si>
    <t>2030-2035</t>
  </si>
  <si>
    <t>2035-2040</t>
  </si>
  <si>
    <t>2040-2045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</si>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</sst>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yyyy\-mm\-dd"/>
    <numFmt numFmtId="168" formatCode="0.0%"/>
    <numFmt numFmtId="169" formatCode="_ * #,##0.0_ ;_ * \-#,##0.0_ ;_ * &quot;-&quot;??_ ;_ @_ "/>
    <numFmt numFmtId="170" formatCode="_ * #,##0_ ;_ * \-#,##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2B54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Geneva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1"/>
      <color rgb="FF25323C"/>
      <name val="Roboto-Mono"/>
    </font>
    <font>
      <sz val="11"/>
      <color rgb="FF25323C"/>
      <name val="Roboto-Mono"/>
    </font>
    <font>
      <sz val="10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5F7"/>
        <bgColor indexed="64"/>
      </patternFill>
    </fill>
    <fill>
      <patternFill patternType="solid">
        <fgColor rgb="FFEBF9FF"/>
        <bgColor indexed="64"/>
      </patternFill>
    </fill>
    <fill>
      <patternFill patternType="solid">
        <fgColor rgb="FFFEE9D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2CACE"/>
      </left>
      <right style="medium">
        <color rgb="FF000000"/>
      </right>
      <top style="medium">
        <color rgb="FFC2CACE"/>
      </top>
      <bottom/>
      <diagonal/>
    </border>
    <border>
      <left style="medium">
        <color rgb="FFC2CACE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2CACE"/>
      </left>
      <right style="medium">
        <color rgb="FF000000"/>
      </right>
      <top/>
      <bottom style="medium">
        <color rgb="FFC2CACE"/>
      </bottom>
      <diagonal/>
    </border>
    <border>
      <left style="medium">
        <color rgb="FF000000"/>
      </left>
      <right style="medium">
        <color rgb="FF000000"/>
      </right>
      <top style="medium">
        <color rgb="FFC2CACE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2CAC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24" fillId="0" borderId="0"/>
    <xf numFmtId="0" fontId="28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/>
    <xf numFmtId="10" fontId="3" fillId="3" borderId="1" xfId="0" applyNumberFormat="1" applyFont="1" applyFill="1" applyBorder="1"/>
    <xf numFmtId="0" fontId="3" fillId="3" borderId="1" xfId="0" applyFont="1" applyFill="1" applyBorder="1"/>
    <xf numFmtId="0" fontId="20" fillId="0" borderId="1" xfId="0" applyFont="1" applyBorder="1"/>
    <xf numFmtId="2" fontId="0" fillId="0" borderId="0" xfId="0" applyNumberFormat="1"/>
    <xf numFmtId="0" fontId="3" fillId="0" borderId="0" xfId="0" applyFont="1"/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/>
    <xf numFmtId="9" fontId="2" fillId="3" borderId="0" xfId="1" applyFont="1" applyFill="1" applyBorder="1" applyAlignment="1">
      <alignment horizontal="right" wrapTex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22" fillId="35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164" fontId="3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8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25" fillId="3" borderId="11" xfId="0" applyFont="1" applyFill="1" applyBorder="1"/>
    <xf numFmtId="0" fontId="26" fillId="0" borderId="0" xfId="0" applyFont="1"/>
    <xf numFmtId="0" fontId="27" fillId="0" borderId="0" xfId="0" applyFont="1"/>
    <xf numFmtId="0" fontId="28" fillId="0" borderId="0" xfId="45"/>
    <xf numFmtId="167" fontId="28" fillId="0" borderId="0" xfId="45" applyNumberFormat="1"/>
    <xf numFmtId="2" fontId="28" fillId="0" borderId="0" xfId="45" applyNumberFormat="1" applyAlignment="1">
      <alignment horizontal="center"/>
    </xf>
    <xf numFmtId="167" fontId="0" fillId="0" borderId="0" xfId="0" applyNumberFormat="1"/>
    <xf numFmtId="1" fontId="0" fillId="0" borderId="0" xfId="0" applyNumberFormat="1"/>
    <xf numFmtId="1" fontId="3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2" fillId="35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/>
    </xf>
    <xf numFmtId="2" fontId="28" fillId="0" borderId="0" xfId="45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0" fontId="19" fillId="36" borderId="0" xfId="0" applyFont="1" applyFill="1"/>
    <xf numFmtId="0" fontId="0" fillId="0" borderId="1" xfId="0" applyBorder="1"/>
    <xf numFmtId="17" fontId="29" fillId="37" borderId="12" xfId="0" applyNumberFormat="1" applyFont="1" applyFill="1" applyBorder="1" applyAlignment="1">
      <alignment horizontal="left" vertical="center" wrapText="1"/>
    </xf>
    <xf numFmtId="0" fontId="30" fillId="37" borderId="13" xfId="0" applyFont="1" applyFill="1" applyBorder="1" applyAlignment="1">
      <alignment horizontal="left" vertical="center" wrapText="1"/>
    </xf>
    <xf numFmtId="17" fontId="29" fillId="38" borderId="12" xfId="0" applyNumberFormat="1" applyFont="1" applyFill="1" applyBorder="1" applyAlignment="1">
      <alignment horizontal="left" vertical="center" wrapText="1"/>
    </xf>
    <xf numFmtId="0" fontId="30" fillId="38" borderId="13" xfId="0" applyFont="1" applyFill="1" applyBorder="1" applyAlignment="1">
      <alignment horizontal="left" vertical="center" wrapText="1"/>
    </xf>
    <xf numFmtId="17" fontId="29" fillId="39" borderId="12" xfId="0" applyNumberFormat="1" applyFont="1" applyFill="1" applyBorder="1" applyAlignment="1">
      <alignment horizontal="left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8" borderId="17" xfId="0" applyFont="1" applyFill="1" applyBorder="1" applyAlignment="1">
      <alignment horizontal="left" vertical="center" wrapText="1"/>
    </xf>
    <xf numFmtId="0" fontId="30" fillId="37" borderId="17" xfId="0" applyFont="1" applyFill="1" applyBorder="1" applyAlignment="1">
      <alignment horizontal="left" vertical="center" wrapText="1"/>
    </xf>
    <xf numFmtId="0" fontId="30" fillId="37" borderId="15" xfId="0" applyFont="1" applyFill="1" applyBorder="1" applyAlignment="1">
      <alignment horizontal="left" vertical="center" wrapText="1"/>
    </xf>
    <xf numFmtId="168" fontId="0" fillId="0" borderId="0" xfId="1" applyNumberFormat="1" applyFont="1"/>
    <xf numFmtId="2" fontId="22" fillId="40" borderId="0" xfId="0" applyNumberFormat="1" applyFont="1" applyFill="1" applyAlignment="1">
      <alignment horizontal="right"/>
    </xf>
    <xf numFmtId="2" fontId="22" fillId="0" borderId="0" xfId="0" applyNumberFormat="1" applyFont="1" applyAlignment="1">
      <alignment horizontal="right"/>
    </xf>
    <xf numFmtId="0" fontId="22" fillId="40" borderId="0" xfId="0" applyFont="1" applyFill="1" applyAlignment="1">
      <alignment horizontal="righ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wrapText="1"/>
    </xf>
    <xf numFmtId="0" fontId="22" fillId="0" borderId="0" xfId="0" applyFont="1"/>
    <xf numFmtId="1" fontId="3" fillId="3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8" fillId="0" borderId="20" xfId="0" applyFont="1" applyBorder="1" applyAlignment="1">
      <alignment horizontal="center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left"/>
    </xf>
    <xf numFmtId="169" fontId="0" fillId="0" borderId="1" xfId="46" applyNumberFormat="1" applyFont="1" applyFill="1" applyBorder="1"/>
    <xf numFmtId="168" fontId="0" fillId="0" borderId="1" xfId="1" applyNumberFormat="1" applyFont="1" applyBorder="1" applyAlignment="1">
      <alignment horizontal="center"/>
    </xf>
    <xf numFmtId="168" fontId="0" fillId="0" borderId="26" xfId="1" applyNumberFormat="1" applyFont="1" applyBorder="1" applyAlignment="1">
      <alignment horizontal="center"/>
    </xf>
    <xf numFmtId="0" fontId="18" fillId="0" borderId="27" xfId="0" applyFont="1" applyBorder="1" applyAlignment="1">
      <alignment horizontal="left"/>
    </xf>
    <xf numFmtId="169" fontId="0" fillId="0" borderId="28" xfId="46" applyNumberFormat="1" applyFont="1" applyFill="1" applyBorder="1"/>
    <xf numFmtId="168" fontId="0" fillId="0" borderId="28" xfId="1" applyNumberFormat="1" applyFont="1" applyBorder="1" applyAlignment="1">
      <alignment horizontal="center"/>
    </xf>
    <xf numFmtId="168" fontId="0" fillId="0" borderId="29" xfId="1" applyNumberFormat="1" applyFont="1" applyBorder="1" applyAlignment="1">
      <alignment horizontal="center"/>
    </xf>
    <xf numFmtId="43" fontId="0" fillId="0" borderId="0" xfId="46" applyFont="1" applyFill="1" applyBorder="1"/>
    <xf numFmtId="43" fontId="0" fillId="0" borderId="0" xfId="0" applyNumberFormat="1"/>
    <xf numFmtId="170" fontId="0" fillId="0" borderId="0" xfId="46" applyNumberFormat="1" applyFont="1"/>
    <xf numFmtId="0" fontId="18" fillId="2" borderId="25" xfId="0" applyFont="1" applyFill="1" applyBorder="1" applyAlignment="1">
      <alignment horizontal="left"/>
    </xf>
    <xf numFmtId="10" fontId="0" fillId="0" borderId="0" xfId="1" applyNumberFormat="1" applyFont="1"/>
    <xf numFmtId="10" fontId="0" fillId="2" borderId="0" xfId="1" applyNumberFormat="1" applyFont="1" applyFill="1"/>
    <xf numFmtId="168" fontId="0" fillId="2" borderId="0" xfId="1" applyNumberFormat="1" applyFont="1" applyFill="1"/>
    <xf numFmtId="10" fontId="0" fillId="0" borderId="0" xfId="0" applyNumberFormat="1"/>
    <xf numFmtId="168" fontId="0" fillId="0" borderId="0" xfId="0" applyNumberFormat="1"/>
    <xf numFmtId="0" fontId="21" fillId="0" borderId="11" xfId="0" applyFont="1" applyBorder="1" applyAlignment="1">
      <alignment horizontal="center" vertical="center"/>
    </xf>
    <xf numFmtId="168" fontId="0" fillId="41" borderId="0" xfId="1" applyNumberFormat="1" applyFont="1" applyFill="1"/>
    <xf numFmtId="2" fontId="3" fillId="41" borderId="1" xfId="0" applyNumberFormat="1" applyFont="1" applyFill="1" applyBorder="1" applyAlignment="1">
      <alignment horizontal="center" vertical="center"/>
    </xf>
    <xf numFmtId="0" fontId="3" fillId="41" borderId="1" xfId="0" applyFont="1" applyFill="1" applyBorder="1"/>
    <xf numFmtId="0" fontId="21" fillId="0" borderId="30" xfId="0" applyFont="1" applyBorder="1" applyAlignment="1">
      <alignment horizontal="center" vertical="center"/>
    </xf>
    <xf numFmtId="10" fontId="3" fillId="3" borderId="1" xfId="1" applyNumberFormat="1" applyFont="1" applyFill="1" applyBorder="1" applyAlignment="1">
      <alignment horizontal="center" vertical="center"/>
    </xf>
    <xf numFmtId="2" fontId="0" fillId="2" borderId="0" xfId="0" applyNumberFormat="1" applyFill="1"/>
    <xf numFmtId="168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10" fontId="3" fillId="41" borderId="1" xfId="0" applyNumberFormat="1" applyFont="1" applyFill="1" applyBorder="1"/>
    <xf numFmtId="0" fontId="21" fillId="41" borderId="1" xfId="0" applyFont="1" applyFill="1" applyBorder="1"/>
    <xf numFmtId="2" fontId="0" fillId="41" borderId="0" xfId="0" applyNumberFormat="1" applyFill="1"/>
    <xf numFmtId="2" fontId="3" fillId="41" borderId="1" xfId="0" applyNumberFormat="1" applyFont="1" applyFill="1" applyBorder="1"/>
    <xf numFmtId="2" fontId="3" fillId="2" borderId="1" xfId="0" applyNumberFormat="1" applyFont="1" applyFill="1" applyBorder="1"/>
    <xf numFmtId="0" fontId="31" fillId="36" borderId="1" xfId="0" applyFont="1" applyFill="1" applyBorder="1"/>
    <xf numFmtId="10" fontId="3" fillId="0" borderId="1" xfId="1" applyNumberFormat="1" applyFont="1" applyBorder="1"/>
    <xf numFmtId="2" fontId="3" fillId="0" borderId="1" xfId="0" applyNumberFormat="1" applyFont="1" applyBorder="1" applyAlignment="1">
      <alignment horizontal="center"/>
    </xf>
    <xf numFmtId="0" fontId="3" fillId="42" borderId="1" xfId="0" applyFont="1" applyFill="1" applyBorder="1"/>
    <xf numFmtId="2" fontId="3" fillId="4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0" fillId="37" borderId="17" xfId="0" applyFont="1" applyFill="1" applyBorder="1" applyAlignment="1">
      <alignment horizontal="left" vertical="center" wrapText="1"/>
    </xf>
    <xf numFmtId="0" fontId="30" fillId="37" borderId="16" xfId="0" applyFont="1" applyFill="1" applyBorder="1" applyAlignment="1">
      <alignment horizontal="left" vertical="center" wrapText="1"/>
    </xf>
    <xf numFmtId="0" fontId="30" fillId="38" borderId="17" xfId="0" applyFont="1" applyFill="1" applyBorder="1" applyAlignment="1">
      <alignment horizontal="left" vertical="center" wrapText="1"/>
    </xf>
    <xf numFmtId="0" fontId="30" fillId="38" borderId="16" xfId="0" applyFont="1" applyFill="1" applyBorder="1" applyAlignment="1">
      <alignment horizontal="left" vertical="center" wrapText="1"/>
    </xf>
    <xf numFmtId="0" fontId="30" fillId="39" borderId="17" xfId="0" applyFont="1" applyFill="1" applyBorder="1" applyAlignment="1">
      <alignment horizontal="left" vertical="center" wrapText="1"/>
    </xf>
    <xf numFmtId="0" fontId="30" fillId="39" borderId="18" xfId="0" applyFont="1" applyFill="1" applyBorder="1" applyAlignment="1">
      <alignment horizontal="left" vertical="center" wrapText="1"/>
    </xf>
    <xf numFmtId="2" fontId="0" fillId="2" borderId="1" xfId="0" applyNumberFormat="1" applyFill="1" applyBorder="1" applyAlignment="1">
      <alignment horizontal="center"/>
    </xf>
    <xf numFmtId="0" fontId="21" fillId="43" borderId="1" xfId="0" applyFont="1" applyFill="1" applyBorder="1"/>
    <xf numFmtId="2" fontId="3" fillId="43" borderId="1" xfId="0" applyNumberFormat="1" applyFont="1" applyFill="1" applyBorder="1" applyAlignment="1">
      <alignment horizontal="center" vertical="center"/>
    </xf>
    <xf numFmtId="2" fontId="3" fillId="43" borderId="1" xfId="0" applyNumberFormat="1" applyFont="1" applyFill="1" applyBorder="1"/>
    <xf numFmtId="0" fontId="0" fillId="43" borderId="0" xfId="0" applyFill="1"/>
    <xf numFmtId="10" fontId="3" fillId="43" borderId="1" xfId="1" applyNumberFormat="1" applyFont="1" applyFill="1" applyBorder="1" applyAlignment="1">
      <alignment horizontal="center" vertical="center"/>
    </xf>
    <xf numFmtId="10" fontId="0" fillId="43" borderId="0" xfId="0" applyNumberFormat="1" applyFill="1"/>
    <xf numFmtId="2" fontId="0" fillId="43" borderId="0" xfId="0" applyNumberFormat="1" applyFill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6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8" xfId="43" xr:uid="{87AE84CB-A56B-430C-A62F-3729A96F533A}"/>
    <cellStyle name="Normal 2" xfId="45" xr:uid="{2B89ADD5-72F6-425B-8113-43E24B53135F}"/>
    <cellStyle name="Normal 6" xfId="44" xr:uid="{55E2B77B-487B-4B76-A0FA-87D74D4EA08A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'Nominal Price_Methanol'!$B$1:$B$2</c:f>
              <c:strCache>
                <c:ptCount val="2"/>
                <c:pt idx="0">
                  <c:v>Asia Pacific ($/MT)</c:v>
                </c:pt>
                <c:pt idx="1">
                  <c:v>$200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'Nominal Price_Methanol'!$A$3:$A$24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'Nominal Price_Methanol'!$B$3:$B$24</c:f>
              <c:numCache>
                <c:formatCode>"$"#,##0</c:formatCode>
                <c:ptCount val="12"/>
                <c:pt idx="0">
                  <c:v>441.66666666666669</c:v>
                </c:pt>
                <c:pt idx="1">
                  <c:v>466.66666666666669</c:v>
                </c:pt>
                <c:pt idx="2">
                  <c:v>472.08333333333331</c:v>
                </c:pt>
                <c:pt idx="3">
                  <c:v>342.5</c:v>
                </c:pt>
                <c:pt idx="4">
                  <c:v>280</c:v>
                </c:pt>
                <c:pt idx="5">
                  <c:v>387.5</c:v>
                </c:pt>
                <c:pt idx="6">
                  <c:v>475.41666666666669</c:v>
                </c:pt>
                <c:pt idx="7">
                  <c:v>328.75</c:v>
                </c:pt>
                <c:pt idx="8">
                  <c:v>275</c:v>
                </c:pt>
                <c:pt idx="9">
                  <c:v>457.08333333333331</c:v>
                </c:pt>
                <c:pt idx="10">
                  <c:v>459.16666666666669</c:v>
                </c:pt>
                <c:pt idx="11">
                  <c:v>402.5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102-98ED-D0C26F5DA544}"/>
            </c:ext>
          </c:extLst>
        </c:ser>
        <c:ser>
          <c:idx val="1"/>
          <c:order val="1"/>
          <c:tx>
            <c:strRef>
              <c:f>'Nominal Price_Methanol'!$C$1:$C$2</c:f>
              <c:strCache>
                <c:ptCount val="2"/>
                <c:pt idx="0">
                  <c:v>North America ($/MT)</c:v>
                </c:pt>
                <c:pt idx="1">
                  <c:v>$170.87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'Nominal Price_Methanol'!$A$3:$A$24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'Nominal Price_Methanol'!$C$3:$C$24</c:f>
              <c:numCache>
                <c:formatCode>"$"#,##0</c:formatCode>
                <c:ptCount val="12"/>
                <c:pt idx="0">
                  <c:v>451.83333333333331</c:v>
                </c:pt>
                <c:pt idx="1">
                  <c:v>536.33333333333337</c:v>
                </c:pt>
                <c:pt idx="2">
                  <c:v>541.16666666666663</c:v>
                </c:pt>
                <c:pt idx="3">
                  <c:v>405.75</c:v>
                </c:pt>
                <c:pt idx="4">
                  <c:v>278.91666666666669</c:v>
                </c:pt>
                <c:pt idx="5">
                  <c:v>408.33333333333331</c:v>
                </c:pt>
                <c:pt idx="6">
                  <c:v>493.25</c:v>
                </c:pt>
                <c:pt idx="7">
                  <c:v>390.41666666666669</c:v>
                </c:pt>
                <c:pt idx="8">
                  <c:v>337.25</c:v>
                </c:pt>
                <c:pt idx="9">
                  <c:v>557.33333333333337</c:v>
                </c:pt>
                <c:pt idx="10">
                  <c:v>608.33333333333337</c:v>
                </c:pt>
                <c:pt idx="1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102-98ED-D0C26F5DA544}"/>
            </c:ext>
          </c:extLst>
        </c:ser>
        <c:ser>
          <c:idx val="2"/>
          <c:order val="2"/>
          <c:tx>
            <c:strRef>
              <c:f>'Nominal Price_Methanol'!$D$1:$D$2</c:f>
              <c:strCache>
                <c:ptCount val="2"/>
                <c:pt idx="0">
                  <c:v>Europe (Euro/MT)</c:v>
                </c:pt>
                <c:pt idx="1">
                  <c:v>N/A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'Nominal Price_Methanol'!$A$3:$A$24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'Nominal Price_Methanol'!$D$3:$D$24</c:f>
              <c:numCache>
                <c:formatCode>0</c:formatCode>
                <c:ptCount val="12"/>
                <c:pt idx="0">
                  <c:v>335</c:v>
                </c:pt>
                <c:pt idx="1">
                  <c:v>389.5</c:v>
                </c:pt>
                <c:pt idx="2">
                  <c:v>384.5</c:v>
                </c:pt>
                <c:pt idx="3">
                  <c:v>342.25</c:v>
                </c:pt>
                <c:pt idx="4">
                  <c:v>247.5</c:v>
                </c:pt>
                <c:pt idx="5">
                  <c:v>367.5</c:v>
                </c:pt>
                <c:pt idx="6">
                  <c:v>401.75</c:v>
                </c:pt>
                <c:pt idx="7">
                  <c:v>328.75</c:v>
                </c:pt>
                <c:pt idx="8">
                  <c:v>261.25</c:v>
                </c:pt>
                <c:pt idx="9">
                  <c:v>425</c:v>
                </c:pt>
                <c:pt idx="10">
                  <c:v>535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3-4102-98ED-D0C26F5DA544}"/>
            </c:ext>
          </c:extLst>
        </c:ser>
        <c:ser>
          <c:idx val="3"/>
          <c:order val="3"/>
          <c:tx>
            <c:strRef>
              <c:f>'Nominal Price_Methanol'!$E$1:$E$2</c:f>
              <c:strCache>
                <c:ptCount val="2"/>
                <c:pt idx="0">
                  <c:v>China ($/MT)</c:v>
                </c:pt>
                <c:pt idx="1">
                  <c:v>N/A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'Nominal Price_Methanol'!$A$3:$A$24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'Nominal Price_Methanol'!$E$3:$E$24</c:f>
              <c:numCache>
                <c:formatCode>"$"#,##0_);[Red]\("$"#,##0\)</c:formatCode>
                <c:ptCount val="12"/>
                <c:pt idx="0">
                  <c:v>325</c:v>
                </c:pt>
                <c:pt idx="1">
                  <c:v>349</c:v>
                </c:pt>
                <c:pt idx="2">
                  <c:v>353</c:v>
                </c:pt>
                <c:pt idx="3">
                  <c:v>220</c:v>
                </c:pt>
                <c:pt idx="4">
                  <c:v>154</c:v>
                </c:pt>
                <c:pt idx="5">
                  <c:v>260</c:v>
                </c:pt>
                <c:pt idx="6">
                  <c:v>340</c:v>
                </c:pt>
                <c:pt idx="7">
                  <c:v>235</c:v>
                </c:pt>
                <c:pt idx="8">
                  <c:v>180</c:v>
                </c:pt>
                <c:pt idx="9">
                  <c:v>385</c:v>
                </c:pt>
                <c:pt idx="10">
                  <c:v>421.25</c:v>
                </c:pt>
                <c:pt idx="11" formatCode="&quot;$&quot;#,##0">
                  <c:v>374.16666666666703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3-4102-98ED-D0C26F5D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502976"/>
        <c:axId val="959517856"/>
      </c:lineChart>
      <c:catAx>
        <c:axId val="9595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7856"/>
        <c:crosses val="autoZero"/>
        <c:auto val="1"/>
        <c:lblAlgn val="ctr"/>
        <c:lblOffset val="100"/>
        <c:noMultiLvlLbl val="0"/>
      </c:catAx>
      <c:valAx>
        <c:axId val="959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'Feedstock Price_Crude Oil'!$B$1</c:f>
              <c:strCache>
                <c:ptCount val="1"/>
                <c:pt idx="0">
                  <c:v>Brent Crude Oil Price ($/Barrel)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'Feedstock Price_Crude Oil'!$A$2:$A$12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'Feedstock Price_Crude Oil'!$B$2:$B$12</c:f>
              <c:numCache>
                <c:formatCode>0</c:formatCode>
                <c:ptCount val="11"/>
                <c:pt idx="0">
                  <c:v>1</c:v>
                </c:pt>
                <c:pt idx="1">
                  <c:v>108.6375</c:v>
                </c:pt>
                <c:pt idx="2">
                  <c:v>99.023333333333355</c:v>
                </c:pt>
                <c:pt idx="3">
                  <c:v>52.353333333333332</c:v>
                </c:pt>
                <c:pt idx="4">
                  <c:v>43.548333333333339</c:v>
                </c:pt>
                <c:pt idx="5">
                  <c:v>54.247500000000002</c:v>
                </c:pt>
                <c:pt idx="6">
                  <c:v>71.060833333333321</c:v>
                </c:pt>
                <c:pt idx="7">
                  <c:v>64.358333333333334</c:v>
                </c:pt>
                <c:pt idx="8">
                  <c:v>41.759166666666658</c:v>
                </c:pt>
                <c:pt idx="9">
                  <c:v>70.677499999999995</c:v>
                </c:pt>
                <c:pt idx="10">
                  <c:v>100.77750000000002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4-4AFD-82CD-D556F46C1FDC}"/>
            </c:ext>
          </c:extLst>
        </c:ser>
        <c:ser>
          <c:idx val="1"/>
          <c:order val="1"/>
          <c:tx>
            <c:strRef>
              <c:f>'Feedstock Price_Crude Oil'!$C$1</c:f>
              <c:strCache>
                <c:ptCount val="1"/>
                <c:pt idx="0">
                  <c:v>WTI Crude Oil Price ($/Barrel)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'Feedstock Price_Crude Oil'!$A$2:$A$12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'Feedstock Price_Crude Oil'!$C$2:$C$12</c:f>
              <c:numCache>
                <c:formatCode>0</c:formatCode>
                <c:ptCount val="11"/>
                <c:pt idx="0">
                  <c:v>99.19083333333333</c:v>
                </c:pt>
                <c:pt idx="1">
                  <c:v>101.81333333333333</c:v>
                </c:pt>
                <c:pt idx="2">
                  <c:v>97.446666666666673</c:v>
                </c:pt>
                <c:pt idx="3">
                  <c:v>53.730833333333329</c:v>
                </c:pt>
                <c:pt idx="4">
                  <c:v>47.199999999999996</c:v>
                </c:pt>
                <c:pt idx="5">
                  <c:v>53.971666666666671</c:v>
                </c:pt>
                <c:pt idx="6">
                  <c:v>69.391666666666666</c:v>
                </c:pt>
                <c:pt idx="7">
                  <c:v>60.389999999999993</c:v>
                </c:pt>
                <c:pt idx="8">
                  <c:v>45.182499999999997</c:v>
                </c:pt>
                <c:pt idx="9">
                  <c:v>72.381666666666675</c:v>
                </c:pt>
                <c:pt idx="10">
                  <c:v>103.71249999999999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4-4AFD-82CD-D556F46C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25072"/>
        <c:axId val="1134430832"/>
      </c:lineChart>
      <c:catAx>
        <c:axId val="11344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30832"/>
        <c:crosses val="autoZero"/>
        <c:auto val="1"/>
        <c:lblAlgn val="ctr"/>
        <c:lblOffset val="100"/>
        <c:noMultiLvlLbl val="0"/>
      </c:catAx>
      <c:valAx>
        <c:axId val="11344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'Feedstock Price_Natural Gas'!$B$1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'Feedstock Price_Natural Gas'!$A$2:$A$11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'Feedstock Price_Natural Gas'!$B$2:$B$11</c:f>
              <c:numCache>
                <c:formatCode>0.00</c:formatCode>
                <c:ptCount val="10"/>
                <c:pt idx="0">
                  <c:v>2.5119150679255862</c:v>
                </c:pt>
                <c:pt idx="1">
                  <c:v>3.3166524216308293</c:v>
                </c:pt>
                <c:pt idx="2">
                  <c:v>4.1080568710296124</c:v>
                </c:pt>
                <c:pt idx="3">
                  <c:v>2.3054944674525828</c:v>
                </c:pt>
                <c:pt idx="4">
                  <c:v>2.0061468664605395</c:v>
                </c:pt>
                <c:pt idx="5">
                  <c:v>2.2701337082191779</c:v>
                </c:pt>
                <c:pt idx="6">
                  <c:v>2.1494239162087911</c:v>
                </c:pt>
                <c:pt idx="7">
                  <c:v>1.8897885985226881</c:v>
                </c:pt>
                <c:pt idx="8">
                  <c:v>1.7850756807689403</c:v>
                </c:pt>
                <c:pt idx="9">
                  <c:v>3.2964433658857226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013-AE29-C7EB8E033921}"/>
            </c:ext>
          </c:extLst>
        </c:ser>
        <c:ser>
          <c:idx val="1"/>
          <c:order val="1"/>
          <c:tx>
            <c:strRef>
              <c:f>'Feedstock Price_Natural Gas'!$C$1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'Feedstock Price_Natural Gas'!$A$2:$A$11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'Feedstock Price_Natural Gas'!$C$2:$C$11</c:f>
              <c:numCache>
                <c:formatCode>0.00</c:formatCode>
                <c:ptCount val="10"/>
                <c:pt idx="0">
                  <c:v>9.9460374844893114</c:v>
                </c:pt>
                <c:pt idx="1">
                  <c:v>10.372953044117365</c:v>
                </c:pt>
                <c:pt idx="2">
                  <c:v>8.5039291293465862</c:v>
                </c:pt>
                <c:pt idx="3">
                  <c:v>6.5607179497379802</c:v>
                </c:pt>
                <c:pt idx="4">
                  <c:v>4.7203990437197962</c:v>
                </c:pt>
                <c:pt idx="5">
                  <c:v>5.7168419464580227</c:v>
                </c:pt>
                <c:pt idx="6">
                  <c:v>7.5344929105687077</c:v>
                </c:pt>
                <c:pt idx="7">
                  <c:v>4.6482075987550742</c:v>
                </c:pt>
                <c:pt idx="8">
                  <c:v>3.5176106778420073</c:v>
                </c:pt>
                <c:pt idx="9">
                  <c:v>13.585011555881929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013-AE29-C7EB8E03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97008"/>
        <c:axId val="268334912"/>
      </c:lineChart>
      <c:catAx>
        <c:axId val="21423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34912"/>
        <c:crosses val="autoZero"/>
        <c:auto val="1"/>
        <c:lblAlgn val="ctr"/>
        <c:lblOffset val="100"/>
        <c:noMultiLvlLbl val="0"/>
      </c:catAx>
      <c:valAx>
        <c:axId val="268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Inflation!$B$2:$B$12</c:f>
              <c:numCache>
                <c:formatCode>0.00</c:formatCode>
                <c:ptCount val="11"/>
                <c:pt idx="0">
                  <c:v>106.73830705790763</c:v>
                </c:pt>
                <c:pt idx="1">
                  <c:v>107.65762751306367</c:v>
                </c:pt>
                <c:pt idx="2">
                  <c:v>109.60449357994267</c:v>
                </c:pt>
                <c:pt idx="3">
                  <c:v>108.73175793667622</c:v>
                </c:pt>
                <c:pt idx="4">
                  <c:v>109.11065782421537</c:v>
                </c:pt>
                <c:pt idx="5">
                  <c:v>112.2000365033475</c:v>
                </c:pt>
                <c:pt idx="6">
                  <c:v>115.8777700813215</c:v>
                </c:pt>
                <c:pt idx="7">
                  <c:v>116.20991189872142</c:v>
                </c:pt>
                <c:pt idx="8">
                  <c:v>116.25243664717361</c:v>
                </c:pt>
                <c:pt idx="9">
                  <c:v>126.66260558804414</c:v>
                </c:pt>
                <c:pt idx="10">
                  <c:v>134.49147173489263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3-4E83-8434-C9D4B7204607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Central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Inflation!$C$2:$C$12</c:f>
              <c:numCache>
                <c:formatCode>0.00</c:formatCode>
                <c:ptCount val="11"/>
                <c:pt idx="0">
                  <c:v>123.30930373010561</c:v>
                </c:pt>
                <c:pt idx="1">
                  <c:v>127.97296791959641</c:v>
                </c:pt>
                <c:pt idx="2">
                  <c:v>131.95544416711277</c:v>
                </c:pt>
                <c:pt idx="3">
                  <c:v>135.09709544373231</c:v>
                </c:pt>
                <c:pt idx="4">
                  <c:v>133.47541974436587</c:v>
                </c:pt>
                <c:pt idx="5">
                  <c:v>137.00700366794212</c:v>
                </c:pt>
                <c:pt idx="6">
                  <c:v>141.2198298201678</c:v>
                </c:pt>
                <c:pt idx="7">
                  <c:v>141.87529341887739</c:v>
                </c:pt>
                <c:pt idx="8">
                  <c:v>119.3527589813505</c:v>
                </c:pt>
                <c:pt idx="9">
                  <c:v>123.54326270747792</c:v>
                </c:pt>
                <c:pt idx="10">
                  <c:v>129.02400445657898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3-4E83-8434-C9D4B7204607}"/>
            </c:ext>
          </c:extLst>
        </c:ser>
        <c:ser>
          <c:idx val="2"/>
          <c:order val="2"/>
          <c:tx>
            <c:strRef>
              <c:f>Inflation!$D$1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Inflation!$D$2:$D$12</c:f>
              <c:numCache>
                <c:formatCode>0.00</c:formatCode>
                <c:ptCount val="11"/>
                <c:pt idx="0">
                  <c:v>101.26058415986245</c:v>
                </c:pt>
                <c:pt idx="1">
                  <c:v>105.83614803450862</c:v>
                </c:pt>
                <c:pt idx="2">
                  <c:v>112.46999055444422</c:v>
                </c:pt>
                <c:pt idx="3">
                  <c:v>118.03634242409761</c:v>
                </c:pt>
                <c:pt idx="4">
                  <c:v>120.70357026653269</c:v>
                </c:pt>
                <c:pt idx="5">
                  <c:v>123.92097000541263</c:v>
                </c:pt>
                <c:pt idx="6">
                  <c:v>134.31958686357547</c:v>
                </c:pt>
                <c:pt idx="7">
                  <c:v>158.1262726821362</c:v>
                </c:pt>
                <c:pt idx="8">
                  <c:v>177.98423875414835</c:v>
                </c:pt>
                <c:pt idx="9">
                  <c:v>227.86119003400114</c:v>
                </c:pt>
                <c:pt idx="10">
                  <c:v>253.509381344091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3-4E83-8434-C9D4B7204607}"/>
            </c:ext>
          </c:extLst>
        </c:ser>
        <c:ser>
          <c:idx val="3"/>
          <c:order val="3"/>
          <c:tx>
            <c:strRef>
              <c:f>Inflation!$E$1</c:f>
              <c:strCache>
                <c:ptCount val="1"/>
                <c:pt idx="0">
                  <c:v>West 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Inflation!$E$2:$E$12</c:f>
              <c:numCache>
                <c:formatCode>0.00</c:formatCode>
                <c:ptCount val="11"/>
                <c:pt idx="0">
                  <c:v>109.59547402576165</c:v>
                </c:pt>
                <c:pt idx="1">
                  <c:v>109.02977572644421</c:v>
                </c:pt>
                <c:pt idx="2">
                  <c:v>107.54914721944273</c:v>
                </c:pt>
                <c:pt idx="3">
                  <c:v>104.00589178438351</c:v>
                </c:pt>
                <c:pt idx="4">
                  <c:v>100.73675649959688</c:v>
                </c:pt>
                <c:pt idx="5">
                  <c:v>104.2897484555231</c:v>
                </c:pt>
                <c:pt idx="6">
                  <c:v>107.50255017060051</c:v>
                </c:pt>
                <c:pt idx="7">
                  <c:v>107.69314826938501</c:v>
                </c:pt>
                <c:pt idx="8">
                  <c:v>103.3731412441042</c:v>
                </c:pt>
                <c:pt idx="9">
                  <c:v>113.59176351406914</c:v>
                </c:pt>
                <c:pt idx="10">
                  <c:v>111.11882700033088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3-4E83-8434-C9D4B7204607}"/>
            </c:ext>
          </c:extLst>
        </c:ser>
        <c:ser>
          <c:idx val="4"/>
          <c:order val="4"/>
          <c:tx>
            <c:strRef>
              <c:f>Inflation!$F$1</c:f>
              <c:strCache>
                <c:ptCount val="1"/>
                <c:pt idx="0">
                  <c:v>Central Europe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Inflation!$F$2:$F$12</c:f>
              <c:numCache>
                <c:formatCode>0.00</c:formatCode>
                <c:ptCount val="11"/>
                <c:pt idx="0">
                  <c:v>113.47139358196341</c:v>
                </c:pt>
                <c:pt idx="1">
                  <c:v>113.73016439329729</c:v>
                </c:pt>
                <c:pt idx="2">
                  <c:v>112.94902107168505</c:v>
                </c:pt>
                <c:pt idx="3">
                  <c:v>110.57365173288295</c:v>
                </c:pt>
                <c:pt idx="4">
                  <c:v>107.87746256214899</c:v>
                </c:pt>
                <c:pt idx="5">
                  <c:v>112.41563581840617</c:v>
                </c:pt>
                <c:pt idx="6">
                  <c:v>117.47152386567987</c:v>
                </c:pt>
                <c:pt idx="7">
                  <c:v>121.60930261387961</c:v>
                </c:pt>
                <c:pt idx="8">
                  <c:v>120.47312470520001</c:v>
                </c:pt>
                <c:pt idx="9">
                  <c:v>138.65113723474491</c:v>
                </c:pt>
                <c:pt idx="10">
                  <c:v>188.63832341358818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3-4E83-8434-C9D4B7204607}"/>
            </c:ext>
          </c:extLst>
        </c:ser>
        <c:ser>
          <c:idx val="5"/>
          <c:order val="5"/>
          <c:tx>
            <c:strRef>
              <c:f>Inflation!$G$1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Inflation!$G$2:$G$12</c:f>
              <c:numCache>
                <c:formatCode>0.00</c:formatCode>
                <c:ptCount val="11"/>
                <c:pt idx="0">
                  <c:v>91.410833333333315</c:v>
                </c:pt>
                <c:pt idx="1">
                  <c:v>96.578333333333333</c:v>
                </c:pt>
                <c:pt idx="2">
                  <c:v>101.85291666666666</c:v>
                </c:pt>
                <c:pt idx="3">
                  <c:v>104.65541666666667</c:v>
                </c:pt>
                <c:pt idx="4">
                  <c:v>122.56958333333333</c:v>
                </c:pt>
                <c:pt idx="5">
                  <c:v>156.77041666666668</c:v>
                </c:pt>
                <c:pt idx="6">
                  <c:v>188.23458333333332</c:v>
                </c:pt>
                <c:pt idx="7">
                  <c:v>209.07583333333332</c:v>
                </c:pt>
                <c:pt idx="8">
                  <c:v>226.63166666666666</c:v>
                </c:pt>
                <c:pt idx="9">
                  <c:v>282.36874999999998</c:v>
                </c:pt>
                <c:pt idx="10">
                  <c:v>353.26909090909089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3-4E83-8434-C9D4B7204607}"/>
            </c:ext>
          </c:extLst>
        </c:ser>
        <c:ser>
          <c:idx val="6"/>
          <c:order val="6"/>
          <c:tx>
            <c:strRef>
              <c:f>Inflation!$H$1</c:f>
              <c:strCache>
                <c:ptCount val="1"/>
                <c:pt idx="0">
                  <c:v>CIS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Inflation!$H$2:$H$12</c:f>
              <c:numCache>
                <c:formatCode>0.00</c:formatCode>
                <c:ptCount val="11"/>
                <c:pt idx="0">
                  <c:v>118.97100230810983</c:v>
                </c:pt>
                <c:pt idx="1">
                  <c:v>120.91069071045439</c:v>
                </c:pt>
                <c:pt idx="2">
                  <c:v>122.92390712538275</c:v>
                </c:pt>
                <c:pt idx="3">
                  <c:v>129.737337335218</c:v>
                </c:pt>
                <c:pt idx="4">
                  <c:v>132.3734722659963</c:v>
                </c:pt>
                <c:pt idx="5">
                  <c:v>142.80080736289739</c:v>
                </c:pt>
                <c:pt idx="6">
                  <c:v>156.45444841165281</c:v>
                </c:pt>
                <c:pt idx="7">
                  <c:v>159.01188600580244</c:v>
                </c:pt>
                <c:pt idx="8">
                  <c:v>177.49624053751</c:v>
                </c:pt>
                <c:pt idx="9">
                  <c:v>211.03957181595948</c:v>
                </c:pt>
                <c:pt idx="10">
                  <c:v>241.20685342189967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3-4E83-8434-C9D4B7204607}"/>
            </c:ext>
          </c:extLst>
        </c:ser>
        <c:ser>
          <c:idx val="7"/>
          <c:order val="7"/>
          <c:tx>
            <c:strRef>
              <c:f>Inflation!$I$1</c:f>
              <c:strCache>
                <c:ptCount val="1"/>
                <c:pt idx="0">
                  <c:v>Baltic States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Inflation!$I$2:$I$12</c:f>
              <c:numCache>
                <c:formatCode>0.00</c:formatCode>
                <c:ptCount val="11"/>
                <c:pt idx="0">
                  <c:v>113.01081069002504</c:v>
                </c:pt>
                <c:pt idx="1">
                  <c:v>113.86376176856152</c:v>
                </c:pt>
                <c:pt idx="2">
                  <c:v>110.07562567036109</c:v>
                </c:pt>
                <c:pt idx="3">
                  <c:v>103.63305476105354</c:v>
                </c:pt>
                <c:pt idx="4">
                  <c:v>101.05318347038492</c:v>
                </c:pt>
                <c:pt idx="5">
                  <c:v>105.42041621975923</c:v>
                </c:pt>
                <c:pt idx="6">
                  <c:v>109.69400101299013</c:v>
                </c:pt>
                <c:pt idx="7">
                  <c:v>109.53674323680139</c:v>
                </c:pt>
                <c:pt idx="8">
                  <c:v>103.44299696102968</c:v>
                </c:pt>
                <c:pt idx="9">
                  <c:v>114.89559945179363</c:v>
                </c:pt>
                <c:pt idx="10">
                  <c:v>143.8072837780739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E3-4E83-8434-C9D4B7204607}"/>
            </c:ext>
          </c:extLst>
        </c:ser>
        <c:ser>
          <c:idx val="8"/>
          <c:order val="8"/>
          <c:tx>
            <c:strRef>
              <c:f>Inflation!$J$1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Inflation!$J$2:$J$12</c:f>
              <c:numCache>
                <c:formatCode>0.00</c:formatCode>
                <c:ptCount val="11"/>
                <c:pt idx="0">
                  <c:v>103.34333333333335</c:v>
                </c:pt>
                <c:pt idx="1">
                  <c:v>101.33166666666666</c:v>
                </c:pt>
                <c:pt idx="2">
                  <c:v>99.409999999999982</c:v>
                </c:pt>
                <c:pt idx="3">
                  <c:v>94.240833333333342</c:v>
                </c:pt>
                <c:pt idx="4">
                  <c:v>92.907500000000013</c:v>
                </c:pt>
                <c:pt idx="5">
                  <c:v>98.834999999999994</c:v>
                </c:pt>
                <c:pt idx="6">
                  <c:v>102.35000000000001</c:v>
                </c:pt>
                <c:pt idx="7">
                  <c:v>101.86750000000001</c:v>
                </c:pt>
                <c:pt idx="8">
                  <c:v>99.999999999999986</c:v>
                </c:pt>
                <c:pt idx="9">
                  <c:v>108.1225</c:v>
                </c:pt>
                <c:pt idx="10">
                  <c:v>112.52636363636363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E3-4E83-8434-C9D4B7204607}"/>
            </c:ext>
          </c:extLst>
        </c:ser>
        <c:ser>
          <c:idx val="9"/>
          <c:order val="9"/>
          <c:tx>
            <c:strRef>
              <c:f>Inflation!$K$1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Inflation!$K$2:$K$12</c:f>
              <c:numCache>
                <c:formatCode>0.00</c:formatCode>
                <c:ptCount val="11"/>
                <c:pt idx="0">
                  <c:v>105.37499999999999</c:v>
                </c:pt>
                <c:pt idx="1">
                  <c:v>111.08333333333333</c:v>
                </c:pt>
                <c:pt idx="2">
                  <c:v>114.80833333333332</c:v>
                </c:pt>
                <c:pt idx="3">
                  <c:v>110.34166666666668</c:v>
                </c:pt>
                <c:pt idx="4">
                  <c:v>110.28333333333336</c:v>
                </c:pt>
                <c:pt idx="5">
                  <c:v>114.075</c:v>
                </c:pt>
                <c:pt idx="6">
                  <c:v>118.94166666666666</c:v>
                </c:pt>
                <c:pt idx="7">
                  <c:v>121.18333333333334</c:v>
                </c:pt>
                <c:pt idx="8">
                  <c:v>121.83333333333333</c:v>
                </c:pt>
                <c:pt idx="9">
                  <c:v>134.95000000000002</c:v>
                </c:pt>
                <c:pt idx="10">
                  <c:v>151.30909090909088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E3-4E83-8434-C9D4B7204607}"/>
            </c:ext>
          </c:extLst>
        </c:ser>
        <c:ser>
          <c:idx val="10"/>
          <c:order val="10"/>
          <c:tx>
            <c:strRef>
              <c:f>Inflation!$L$1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Inflation!$L$2:$L$12</c:f>
              <c:numCache>
                <c:formatCode>0.00</c:formatCode>
                <c:ptCount val="11"/>
                <c:pt idx="0">
                  <c:v>116.26241736267446</c:v>
                </c:pt>
                <c:pt idx="1">
                  <c:v>114.96711328337247</c:v>
                </c:pt>
                <c:pt idx="2">
                  <c:v>113.207946762071</c:v>
                </c:pt>
                <c:pt idx="3">
                  <c:v>104.22938475801718</c:v>
                </c:pt>
                <c:pt idx="4">
                  <c:v>97.78919132783102</c:v>
                </c:pt>
                <c:pt idx="5">
                  <c:v>100.46519634848707</c:v>
                </c:pt>
                <c:pt idx="6">
                  <c:v>105.38315995031962</c:v>
                </c:pt>
                <c:pt idx="7">
                  <c:v>104.72390745500797</c:v>
                </c:pt>
                <c:pt idx="8">
                  <c:v>99.496143958864153</c:v>
                </c:pt>
                <c:pt idx="9">
                  <c:v>115.47923450442164</c:v>
                </c:pt>
                <c:pt idx="10">
                  <c:v>122.84569999999999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E3-4E83-8434-C9D4B7204607}"/>
            </c:ext>
          </c:extLst>
        </c:ser>
        <c:ser>
          <c:idx val="11"/>
          <c:order val="11"/>
          <c:tx>
            <c:strRef>
              <c:f>Inflation!$M$1</c:f>
              <c:strCache>
                <c:ptCount val="1"/>
                <c:pt idx="0">
                  <c:v>East Asia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Inflation!$M$2:$M$12</c:f>
              <c:numCache>
                <c:formatCode>0.00</c:formatCode>
                <c:ptCount val="11"/>
                <c:pt idx="0">
                  <c:v>103.89365115025825</c:v>
                </c:pt>
                <c:pt idx="1">
                  <c:v>99.237836047678073</c:v>
                </c:pt>
                <c:pt idx="2">
                  <c:v>98.530054453493022</c:v>
                </c:pt>
                <c:pt idx="3">
                  <c:v>93.333663234539472</c:v>
                </c:pt>
                <c:pt idx="4">
                  <c:v>90.373512908456888</c:v>
                </c:pt>
                <c:pt idx="5">
                  <c:v>91.705560575552241</c:v>
                </c:pt>
                <c:pt idx="6">
                  <c:v>82.643855276629679</c:v>
                </c:pt>
                <c:pt idx="7">
                  <c:v>81.952458844412149</c:v>
                </c:pt>
                <c:pt idx="8">
                  <c:v>80.33845203921004</c:v>
                </c:pt>
                <c:pt idx="9">
                  <c:v>83.150508682917263</c:v>
                </c:pt>
                <c:pt idx="10">
                  <c:v>87.884016491572851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E3-4E83-8434-C9D4B7204607}"/>
            </c:ext>
          </c:extLst>
        </c:ser>
        <c:ser>
          <c:idx val="12"/>
          <c:order val="12"/>
          <c:tx>
            <c:strRef>
              <c:f>Inflation!$N$1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Inflation!$A$2:$A$12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Inflation!$N$2:$N$12</c:f>
              <c:numCache>
                <c:formatCode>0.00</c:formatCode>
                <c:ptCount val="11"/>
                <c:pt idx="0">
                  <c:v>110.65497624552199</c:v>
                </c:pt>
                <c:pt idx="1">
                  <c:v>109.05347729734237</c:v>
                </c:pt>
                <c:pt idx="2">
                  <c:v>107.23125021869529</c:v>
                </c:pt>
                <c:pt idx="3">
                  <c:v>100.10763341456305</c:v>
                </c:pt>
                <c:pt idx="4">
                  <c:v>96.817367751812029</c:v>
                </c:pt>
                <c:pt idx="5">
                  <c:v>98.936154232275243</c:v>
                </c:pt>
                <c:pt idx="6">
                  <c:v>101.2413563275847</c:v>
                </c:pt>
                <c:pt idx="7">
                  <c:v>99.089687546863388</c:v>
                </c:pt>
                <c:pt idx="8">
                  <c:v>94.833186849121091</c:v>
                </c:pt>
                <c:pt idx="9">
                  <c:v>99.583258352078687</c:v>
                </c:pt>
                <c:pt idx="10">
                  <c:v>113.69163636363636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E3-4E83-8434-C9D4B7204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83168"/>
        <c:axId val="507006688"/>
      </c:lineChart>
      <c:catAx>
        <c:axId val="5069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6688"/>
        <c:crosses val="autoZero"/>
        <c:auto val="1"/>
        <c:lblAlgn val="ctr"/>
        <c:lblOffset val="100"/>
        <c:noMultiLvlLbl val="0"/>
      </c:catAx>
      <c:valAx>
        <c:axId val="507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33337</xdr:rowOff>
    </xdr:from>
    <xdr:to>
      <xdr:col>13</xdr:col>
      <xdr:colOff>209549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7D946-1C87-1F89-565C-F12A14314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71437</xdr:rowOff>
    </xdr:from>
    <xdr:to>
      <xdr:col>11</xdr:col>
      <xdr:colOff>361949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3CDE9-1878-A79F-D6F2-2AF4D7DB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52387</xdr:rowOff>
    </xdr:from>
    <xdr:to>
      <xdr:col>10</xdr:col>
      <xdr:colOff>590550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3668C-2B23-1AD2-FC68-7771026E0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14</xdr:row>
      <xdr:rowOff>128587</xdr:rowOff>
    </xdr:from>
    <xdr:to>
      <xdr:col>8</xdr:col>
      <xdr:colOff>847724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E6D58-2DA1-19CA-CEA2-CA38E8B53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EADD-7ABF-41A2-ACFF-87D925B0A1DD}">
  <dimension ref="A1:N43"/>
  <sheetViews>
    <sheetView showGridLines="0" topLeftCell="A35" zoomScale="85" zoomScaleNormal="85" workbookViewId="0">
      <selection activeCell="B39" sqref="B39"/>
    </sheetView>
  </sheetViews>
  <sheetFormatPr defaultRowHeight="15"/>
  <cols>
    <col min="1" max="1" width="17.7109375" customWidth="1"/>
    <col min="2" max="12" width="15.5703125" customWidth="1"/>
    <col min="13" max="13" width="13.7109375" customWidth="1"/>
  </cols>
  <sheetData>
    <row r="1" spans="1:14" s="1" customFormat="1" ht="34.5" customHeight="1">
      <c r="A1" s="8"/>
      <c r="B1" s="8">
        <v>2012</v>
      </c>
      <c r="C1" s="8">
        <v>2013</v>
      </c>
      <c r="D1" s="8">
        <v>2014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  <c r="J1" s="8">
        <v>2020</v>
      </c>
      <c r="K1" s="8">
        <v>2021</v>
      </c>
      <c r="L1" s="8">
        <v>2022</v>
      </c>
      <c r="M1" s="8">
        <v>2023</v>
      </c>
      <c r="N1" s="10"/>
    </row>
    <row r="2" spans="1:14" ht="34.5" customHeight="1">
      <c r="A2" s="9" t="s">
        <v>0</v>
      </c>
      <c r="B2" s="64">
        <v>327.05506757342937</v>
      </c>
      <c r="C2" s="64">
        <v>309.60129438023785</v>
      </c>
      <c r="D2" s="64">
        <v>223.10424169667868</v>
      </c>
      <c r="E2" s="64">
        <v>269.70782449073249</v>
      </c>
      <c r="F2" s="64">
        <v>325.8493743984601</v>
      </c>
      <c r="G2" s="64">
        <v>288.93943553341961</v>
      </c>
      <c r="H2" s="64">
        <v>200.0528499062662</v>
      </c>
      <c r="I2" s="64">
        <v>391.56284872765855</v>
      </c>
      <c r="J2" s="64">
        <v>245.54455445544554</v>
      </c>
      <c r="K2" s="64">
        <v>224.78991596638656</v>
      </c>
      <c r="L2" s="64">
        <f>AVERAGE(L3:L4)</f>
        <v>380.03483711018714</v>
      </c>
      <c r="M2" s="10"/>
      <c r="N2" s="10"/>
    </row>
    <row r="3" spans="1:14" ht="34.5" customHeight="1">
      <c r="A3" s="3" t="s">
        <v>27</v>
      </c>
      <c r="B3" s="22">
        <v>321.90102890739831</v>
      </c>
      <c r="C3" s="22">
        <v>337.35545500251385</v>
      </c>
      <c r="D3" s="22">
        <v>205.39215686274511</v>
      </c>
      <c r="E3" s="22">
        <v>301.71073094867808</v>
      </c>
      <c r="F3" s="22">
        <v>366.69874879692014</v>
      </c>
      <c r="G3" s="22">
        <v>294.5736434108527</v>
      </c>
      <c r="H3" s="22">
        <v>174.69586374695865</v>
      </c>
      <c r="I3" s="22">
        <v>484.88008342022943</v>
      </c>
      <c r="J3" s="22">
        <v>593.63400000000001</v>
      </c>
      <c r="K3" s="22">
        <v>547.88499999999999</v>
      </c>
      <c r="L3" s="22">
        <v>385.84930000000003</v>
      </c>
      <c r="M3" s="10"/>
      <c r="N3" s="10"/>
    </row>
    <row r="4" spans="1:14" ht="34.5" customHeight="1">
      <c r="A4" s="4" t="s">
        <v>29</v>
      </c>
      <c r="B4" s="23">
        <v>332.20910623946037</v>
      </c>
      <c r="C4" s="23">
        <v>281.84713375796179</v>
      </c>
      <c r="D4" s="23">
        <v>240.81632653061226</v>
      </c>
      <c r="E4" s="23">
        <v>237.70491803278688</v>
      </c>
      <c r="F4" s="23">
        <v>285.73450000000003</v>
      </c>
      <c r="G4" s="23">
        <v>283.30522765598653</v>
      </c>
      <c r="H4" s="23">
        <v>225.40983606557376</v>
      </c>
      <c r="I4" s="23">
        <v>298.24561403508773</v>
      </c>
      <c r="J4" s="23">
        <v>491.08910891089107</v>
      </c>
      <c r="K4" s="23">
        <v>449.57983193277312</v>
      </c>
      <c r="L4" s="23">
        <v>374.2203742203742</v>
      </c>
      <c r="M4" s="10"/>
      <c r="N4" s="10"/>
    </row>
    <row r="5" spans="1:14" ht="34.5" customHeight="1">
      <c r="A5" s="4" t="s">
        <v>2</v>
      </c>
      <c r="B5" s="23">
        <f>B4+(7.46%*B4)</f>
        <v>356.99190556492408</v>
      </c>
      <c r="C5" s="23">
        <f>C4+(6.96%*C4)</f>
        <v>301.4636942675159</v>
      </c>
      <c r="D5" s="23">
        <f>D4+(8.23%*D4)</f>
        <v>260.63551020408164</v>
      </c>
      <c r="E5" s="23">
        <f>E4+(7.96%*E4)</f>
        <v>256.62622950819673</v>
      </c>
      <c r="F5" s="23">
        <f>F4+(7.83%*F4)</f>
        <v>308.10751135000004</v>
      </c>
      <c r="G5" s="23">
        <f>G4+(6.46%*G4)</f>
        <v>301.60674536256329</v>
      </c>
      <c r="H5" s="23">
        <f>H4+(6.93%*H4)</f>
        <v>241.03073770491801</v>
      </c>
      <c r="I5" s="23">
        <f>I4+(7.26%*I4)</f>
        <v>319.89824561403509</v>
      </c>
      <c r="J5" s="23">
        <f>J4+(7.66%*J4)</f>
        <v>528.70653465346527</v>
      </c>
      <c r="K5" s="23">
        <f>K4+(8.36%*K4)</f>
        <v>487.16470588235296</v>
      </c>
      <c r="L5" s="23">
        <f>L4+(4.46%*L4)</f>
        <v>390.9106029106029</v>
      </c>
      <c r="M5" s="10"/>
      <c r="N5" s="10"/>
    </row>
    <row r="6" spans="1:14" ht="34.5" customHeight="1">
      <c r="A6" s="9" t="s">
        <v>1</v>
      </c>
      <c r="B6" s="64">
        <v>1028.8336093243699</v>
      </c>
      <c r="C6" s="64">
        <v>1038.57955714901</v>
      </c>
      <c r="D6" s="64">
        <v>991.71715742124195</v>
      </c>
      <c r="E6" s="64">
        <v>875.38659972934295</v>
      </c>
      <c r="F6" s="64">
        <v>749.91123314875597</v>
      </c>
      <c r="G6" s="64">
        <v>882.65180631717101</v>
      </c>
      <c r="H6" s="64">
        <v>951.08163121512098</v>
      </c>
      <c r="I6" s="64">
        <v>840.44093678768797</v>
      </c>
      <c r="J6" s="64">
        <v>785.69918616261305</v>
      </c>
      <c r="K6" s="64">
        <v>1027.2181446903401</v>
      </c>
      <c r="L6" s="64">
        <v>1268.6855831518101</v>
      </c>
    </row>
    <row r="7" spans="1:14" ht="34.5" customHeight="1">
      <c r="A7" s="4" t="s">
        <v>33</v>
      </c>
      <c r="B7" s="22">
        <v>1146.7209539043188</v>
      </c>
      <c r="C7" s="22">
        <v>1147.2328118837913</v>
      </c>
      <c r="D7" s="22">
        <v>1057.8064078657399</v>
      </c>
      <c r="E7" s="22">
        <v>932.90309867481153</v>
      </c>
      <c r="F7" s="22">
        <v>844.31704330401874</v>
      </c>
      <c r="G7" s="22">
        <v>962.71546340244811</v>
      </c>
      <c r="H7" s="22">
        <v>1124.251758005463</v>
      </c>
      <c r="I7" s="22">
        <v>953.50202861413629</v>
      </c>
      <c r="J7" s="22">
        <v>984.81609384421427</v>
      </c>
      <c r="K7" s="22">
        <v>1311.8912443356426</v>
      </c>
      <c r="L7" s="22">
        <v>1705.5935185564058</v>
      </c>
    </row>
    <row r="8" spans="1:14" ht="34.5" customHeight="1">
      <c r="A8" s="4" t="s">
        <v>34</v>
      </c>
      <c r="B8" s="23">
        <v>906.94626474442987</v>
      </c>
      <c r="C8" s="22">
        <v>933.92630241423126</v>
      </c>
      <c r="D8" s="22">
        <v>911.62790697674416</v>
      </c>
      <c r="E8" s="22">
        <v>811.87010078387459</v>
      </c>
      <c r="F8" s="22">
        <v>647.5054229934924</v>
      </c>
      <c r="G8" s="22">
        <v>788.5881492318947</v>
      </c>
      <c r="H8" s="22">
        <v>769.91150442477874</v>
      </c>
      <c r="I8" s="22">
        <v>719.37984496124034</v>
      </c>
      <c r="J8" s="22">
        <v>576.58227848101262</v>
      </c>
      <c r="K8" s="22">
        <v>732.54504504504507</v>
      </c>
      <c r="L8" s="22">
        <v>819.77764774722061</v>
      </c>
    </row>
    <row r="9" spans="1:14" ht="34.5" customHeight="1">
      <c r="A9" s="4" t="s">
        <v>2</v>
      </c>
      <c r="B9" s="23">
        <f>B8+(7.46%*B8)</f>
        <v>974.60445609436431</v>
      </c>
      <c r="C9" s="23">
        <f>C8+(6.96%*C8)</f>
        <v>998.92757306226179</v>
      </c>
      <c r="D9" s="23">
        <f>D8+(8.23%*D8)</f>
        <v>986.65488372093023</v>
      </c>
      <c r="E9" s="23">
        <f>E8+(7.96%*E8)</f>
        <v>876.49496080627102</v>
      </c>
      <c r="F9" s="23">
        <f>F8+(7.83%*F8)</f>
        <v>698.2050976138828</v>
      </c>
      <c r="G9" s="23">
        <f>G8+(6.46%*G8)</f>
        <v>839.53094367227516</v>
      </c>
      <c r="H9" s="23">
        <f>H8+(6.93%*H8)</f>
        <v>823.26637168141588</v>
      </c>
      <c r="I9" s="23">
        <f>I8+(7.26%*I8)</f>
        <v>771.60682170542634</v>
      </c>
      <c r="J9" s="23">
        <f>J8+(7.66%*J8)</f>
        <v>620.7484810126582</v>
      </c>
      <c r="K9" s="23">
        <f>K8+(8.36%*K8)</f>
        <v>793.78581081081086</v>
      </c>
      <c r="L9" s="23">
        <f>L8+(4.46%*L8)</f>
        <v>856.33973083674664</v>
      </c>
    </row>
    <row r="10" spans="1:14" ht="34.5" customHeight="1">
      <c r="A10" s="9" t="s">
        <v>3</v>
      </c>
      <c r="B10" s="64">
        <v>142.85714285714286</v>
      </c>
      <c r="C10" s="64">
        <v>211.93866374589268</v>
      </c>
      <c r="D10" s="64">
        <v>235.02304147465438</v>
      </c>
      <c r="E10" s="64">
        <v>143.93939393939394</v>
      </c>
      <c r="F10" s="64">
        <v>89.5</v>
      </c>
      <c r="G10" s="64">
        <v>127.86434463794684</v>
      </c>
      <c r="H10" s="64">
        <v>152.54969749351773</v>
      </c>
      <c r="I10" s="64">
        <v>110.27568922305765</v>
      </c>
      <c r="J10" s="64">
        <v>147.21919302071976</v>
      </c>
      <c r="K10" s="64">
        <v>222.5609756097561</v>
      </c>
      <c r="L10" s="64">
        <v>245.58587479935792</v>
      </c>
    </row>
    <row r="11" spans="1:14" ht="34.5" customHeight="1">
      <c r="A11" s="3" t="s">
        <v>28</v>
      </c>
      <c r="B11" s="23">
        <v>648.77</v>
      </c>
      <c r="C11" s="23">
        <v>651</v>
      </c>
      <c r="D11" s="23">
        <v>664</v>
      </c>
      <c r="E11" s="23">
        <v>1644</v>
      </c>
      <c r="F11" s="23">
        <v>1605</v>
      </c>
      <c r="G11" s="23">
        <v>1768</v>
      </c>
      <c r="H11" s="23">
        <v>1702</v>
      </c>
      <c r="I11" s="23">
        <v>1743</v>
      </c>
      <c r="J11" s="23">
        <v>998</v>
      </c>
      <c r="K11" s="23">
        <v>1161</v>
      </c>
      <c r="L11" s="23">
        <v>981</v>
      </c>
    </row>
    <row r="12" spans="1:14" ht="34.5" customHeight="1">
      <c r="A12" s="4" t="s">
        <v>31</v>
      </c>
      <c r="B12" s="23">
        <v>184.76</v>
      </c>
      <c r="C12" s="23">
        <v>204</v>
      </c>
      <c r="D12" s="23">
        <v>165</v>
      </c>
      <c r="E12" s="23">
        <v>204</v>
      </c>
      <c r="F12" s="23">
        <v>395</v>
      </c>
      <c r="G12" s="23">
        <v>414</v>
      </c>
      <c r="H12" s="23">
        <v>612</v>
      </c>
      <c r="I12" s="23">
        <v>1050</v>
      </c>
      <c r="J12" s="23">
        <v>836</v>
      </c>
      <c r="K12" s="23">
        <v>807</v>
      </c>
      <c r="L12" s="23">
        <v>888</v>
      </c>
    </row>
    <row r="13" spans="1:14" ht="34.5" customHeight="1">
      <c r="A13" s="4" t="s">
        <v>2</v>
      </c>
      <c r="B13" s="23">
        <f>488+(7.46%*B12)</f>
        <v>501.783096</v>
      </c>
      <c r="C13" s="23">
        <f>474+(6.96%*C12)</f>
        <v>488.19839999999999</v>
      </c>
      <c r="D13" s="23">
        <f>854+(8.23%*D12)</f>
        <v>867.57950000000005</v>
      </c>
      <c r="E13" s="23">
        <f>765+(7.96%*E12)</f>
        <v>781.23839999999996</v>
      </c>
      <c r="F13" s="23">
        <f>867+(7.83%*F12)</f>
        <v>897.92849999999999</v>
      </c>
      <c r="G13" s="23">
        <f>664+(6.46%*G12)</f>
        <v>690.74440000000004</v>
      </c>
      <c r="H13" s="23">
        <f>978+(6.93%*H12)</f>
        <v>1020.4116</v>
      </c>
      <c r="I13" s="23">
        <f>956+(7.26%*I12)</f>
        <v>1032.23</v>
      </c>
      <c r="J13" s="23">
        <f>J12+(7.66%*J12)</f>
        <v>900.0376</v>
      </c>
      <c r="K13" s="23">
        <f>K12+(8.36%*K12)</f>
        <v>874.46519999999998</v>
      </c>
      <c r="L13" s="23">
        <f>L12+(4.46%*L12)</f>
        <v>927.60479999999995</v>
      </c>
    </row>
    <row r="14" spans="1:14" ht="34.5" customHeight="1">
      <c r="A14" s="9" t="s">
        <v>4</v>
      </c>
      <c r="B14" s="64">
        <f>AVERAGE(B15:B18)</f>
        <v>375.33643862499997</v>
      </c>
      <c r="C14" s="64">
        <f t="shared" ref="C14:L14" si="0">AVERAGE(C15:C18)</f>
        <v>441.39876307500003</v>
      </c>
      <c r="D14" s="64">
        <f t="shared" si="0"/>
        <v>443.89626770000001</v>
      </c>
      <c r="E14" s="64">
        <f t="shared" si="0"/>
        <v>331.58207830000003</v>
      </c>
      <c r="F14" s="64">
        <f t="shared" si="0"/>
        <v>226.534106275</v>
      </c>
      <c r="G14" s="64">
        <f t="shared" si="0"/>
        <v>330.81904704999999</v>
      </c>
      <c r="H14" s="64">
        <f t="shared" si="0"/>
        <v>395.25586085000003</v>
      </c>
      <c r="I14" s="64">
        <f t="shared" si="0"/>
        <v>296.67981835000001</v>
      </c>
      <c r="J14" s="64">
        <f t="shared" si="0"/>
        <v>244.74556455000001</v>
      </c>
      <c r="K14" s="64">
        <f t="shared" si="0"/>
        <v>404.34825174999997</v>
      </c>
      <c r="L14" s="64">
        <f t="shared" si="0"/>
        <v>459.28561385</v>
      </c>
    </row>
    <row r="15" spans="1:14" ht="34.5" customHeight="1">
      <c r="A15" s="2" t="s">
        <v>5</v>
      </c>
      <c r="B15" s="23">
        <v>418.03423500000002</v>
      </c>
      <c r="C15" s="23">
        <v>489.0307555</v>
      </c>
      <c r="D15" s="23">
        <v>477.16743209999998</v>
      </c>
      <c r="E15" s="23">
        <v>336.2551603</v>
      </c>
      <c r="F15" s="23">
        <v>227.07664500000001</v>
      </c>
      <c r="G15" s="23">
        <v>346.02350639999997</v>
      </c>
      <c r="H15" s="23">
        <v>415.7606609</v>
      </c>
      <c r="I15" s="23">
        <v>306.45397709999997</v>
      </c>
      <c r="J15" s="23">
        <v>245.040998</v>
      </c>
      <c r="K15" s="23">
        <v>442.78196259999999</v>
      </c>
      <c r="L15" s="23">
        <v>545.04149749999999</v>
      </c>
    </row>
    <row r="16" spans="1:14" ht="34.5" customHeight="1">
      <c r="A16" s="2" t="s">
        <v>7</v>
      </c>
      <c r="B16" s="23">
        <v>369.23950059999999</v>
      </c>
      <c r="C16" s="23">
        <v>430.83352550000001</v>
      </c>
      <c r="D16" s="23">
        <v>436.0485175</v>
      </c>
      <c r="E16" s="23">
        <v>328.16145610000001</v>
      </c>
      <c r="F16" s="23">
        <v>219.93989070000001</v>
      </c>
      <c r="G16" s="23">
        <v>331.34853889999999</v>
      </c>
      <c r="H16" s="23">
        <v>387.81093270000002</v>
      </c>
      <c r="I16" s="23">
        <v>292.19256180000002</v>
      </c>
      <c r="J16" s="23">
        <v>226.56223439999999</v>
      </c>
      <c r="K16" s="23">
        <v>378.39097390000001</v>
      </c>
      <c r="L16" s="23">
        <v>399.14487680000002</v>
      </c>
    </row>
    <row r="17" spans="1:12" ht="34.5" customHeight="1">
      <c r="A17" s="2" t="s">
        <v>6</v>
      </c>
      <c r="B17" s="65">
        <v>350.41401450000001</v>
      </c>
      <c r="C17" s="65">
        <v>411.08494339999999</v>
      </c>
      <c r="D17" s="65">
        <v>432.51562790000003</v>
      </c>
      <c r="E17" s="65">
        <v>333.8523849</v>
      </c>
      <c r="F17" s="65">
        <v>226.22523029999999</v>
      </c>
      <c r="G17" s="65">
        <v>325.90899280000002</v>
      </c>
      <c r="H17" s="65">
        <v>394.92467950000002</v>
      </c>
      <c r="I17" s="65">
        <v>297.62042719999999</v>
      </c>
      <c r="J17" s="65">
        <v>230.64131090000001</v>
      </c>
      <c r="K17" s="65">
        <v>377.67762499999998</v>
      </c>
      <c r="L17" s="65">
        <v>388.89930520000001</v>
      </c>
    </row>
    <row r="18" spans="1:12" ht="34.5" customHeight="1">
      <c r="A18" s="2" t="s">
        <v>8</v>
      </c>
      <c r="B18" s="23">
        <v>363.65800439999998</v>
      </c>
      <c r="C18" s="23">
        <v>434.64582789999997</v>
      </c>
      <c r="D18" s="23">
        <v>429.85349330000003</v>
      </c>
      <c r="E18" s="23">
        <v>328.05931190000001</v>
      </c>
      <c r="F18" s="23">
        <v>232.89465910000001</v>
      </c>
      <c r="G18" s="23">
        <v>319.99515009999999</v>
      </c>
      <c r="H18" s="23">
        <v>382.52717030000002</v>
      </c>
      <c r="I18" s="23">
        <v>290.45230729999997</v>
      </c>
      <c r="J18" s="23">
        <v>276.73771490000001</v>
      </c>
      <c r="K18" s="23">
        <v>418.54244549999999</v>
      </c>
      <c r="L18" s="23">
        <v>504.05677589999999</v>
      </c>
    </row>
    <row r="19" spans="1:12" ht="34.5" customHeight="1">
      <c r="A19" s="4" t="s">
        <v>2</v>
      </c>
      <c r="B19" s="23">
        <f>B18+(7.46%*B18)</f>
        <v>390.78689152824001</v>
      </c>
      <c r="C19" s="23">
        <f>C18+(6.96%*C18)</f>
        <v>464.89717752183998</v>
      </c>
      <c r="D19" s="23">
        <f>D18+(8.23%*D18)</f>
        <v>465.23043579859001</v>
      </c>
      <c r="E19" s="23">
        <f>E18+(7.96%*E18)</f>
        <v>354.17283312724004</v>
      </c>
      <c r="F19" s="23">
        <f>F18+(7.83%*F18)</f>
        <v>251.13031090753</v>
      </c>
      <c r="G19" s="23">
        <f>G18+(6.46%*G18)</f>
        <v>340.66683679645996</v>
      </c>
      <c r="H19" s="23">
        <f>H18+(6.93%*H18)</f>
        <v>409.03630320179002</v>
      </c>
      <c r="I19" s="23">
        <f>I18+(7.26%*I18)</f>
        <v>311.53914480997997</v>
      </c>
      <c r="J19" s="23">
        <f>J18+(7.66%*J18)</f>
        <v>297.93582386134</v>
      </c>
      <c r="K19" s="23">
        <f>K18+(8.36%*K18)</f>
        <v>453.53259394379995</v>
      </c>
      <c r="L19" s="23">
        <f>L18+(4.46%*L18)</f>
        <v>526.53770810514004</v>
      </c>
    </row>
    <row r="20" spans="1:12" ht="34.5" customHeight="1">
      <c r="A20" s="9" t="s">
        <v>9</v>
      </c>
      <c r="B20" s="64">
        <f>AVERAGE(B21:B22)</f>
        <v>426.66759592676362</v>
      </c>
      <c r="C20" s="64">
        <f t="shared" ref="C20:K20" si="1">AVERAGE(C21:C22)</f>
        <v>511.55302205969122</v>
      </c>
      <c r="D20" s="64">
        <f t="shared" si="1"/>
        <v>477.45294039942019</v>
      </c>
      <c r="E20" s="64">
        <f t="shared" si="1"/>
        <v>360.98707629308086</v>
      </c>
      <c r="F20" s="64">
        <f t="shared" si="1"/>
        <v>253.1266116366026</v>
      </c>
      <c r="G20" s="64">
        <f t="shared" si="1"/>
        <v>374.51089646148591</v>
      </c>
      <c r="H20" s="64">
        <f t="shared" si="1"/>
        <v>438.62481021955989</v>
      </c>
      <c r="I20" s="64">
        <f t="shared" si="1"/>
        <v>327.59619446874149</v>
      </c>
      <c r="J20" s="64">
        <f t="shared" si="1"/>
        <v>257.88113713418772</v>
      </c>
      <c r="K20" s="64">
        <f t="shared" si="1"/>
        <v>429.79058435451896</v>
      </c>
      <c r="L20" s="64">
        <f>AVERAGE(L21:L22)</f>
        <v>460.47743375612311</v>
      </c>
    </row>
    <row r="21" spans="1:12" ht="34.5" customHeight="1">
      <c r="A21" s="2" t="s">
        <v>10</v>
      </c>
      <c r="B21" s="23">
        <v>400.80606635581302</v>
      </c>
      <c r="C21" s="23">
        <v>486.49142764280492</v>
      </c>
      <c r="D21" s="23">
        <v>445.2542800455447</v>
      </c>
      <c r="E21" s="23">
        <v>339.0359829497508</v>
      </c>
      <c r="F21" s="23">
        <v>224.37241858490202</v>
      </c>
      <c r="G21" s="66">
        <v>340.642</v>
      </c>
      <c r="H21" s="23">
        <v>409.49362043911981</v>
      </c>
      <c r="I21" s="23">
        <v>304.84246032760075</v>
      </c>
      <c r="J21" s="23">
        <v>224.20227426837539</v>
      </c>
      <c r="K21" s="23">
        <v>398.30042554296773</v>
      </c>
      <c r="L21" s="23">
        <v>423.06329588795563</v>
      </c>
    </row>
    <row r="22" spans="1:12" ht="34.5" customHeight="1">
      <c r="A22" s="2" t="s">
        <v>11</v>
      </c>
      <c r="B22" s="23">
        <v>452.52912549771418</v>
      </c>
      <c r="C22" s="23">
        <v>536.61461647657745</v>
      </c>
      <c r="D22" s="23">
        <v>509.65160075329567</v>
      </c>
      <c r="E22" s="23">
        <v>382.93816963641092</v>
      </c>
      <c r="F22" s="23">
        <v>281.88080468830321</v>
      </c>
      <c r="G22" s="23">
        <v>408.37979292297189</v>
      </c>
      <c r="H22" s="66">
        <v>467.75599999999997</v>
      </c>
      <c r="I22" s="23">
        <v>350.34992860988228</v>
      </c>
      <c r="J22" s="66">
        <v>291.56</v>
      </c>
      <c r="K22" s="23">
        <v>461.28074316607018</v>
      </c>
      <c r="L22" s="23">
        <v>497.89157162429052</v>
      </c>
    </row>
    <row r="23" spans="1:12" ht="34.5" customHeight="1">
      <c r="A23" s="4" t="s">
        <v>2</v>
      </c>
      <c r="B23" s="23">
        <f>B22+(7.46%*B22)</f>
        <v>486.28779825984367</v>
      </c>
      <c r="C23" s="23">
        <f>C22+(6.96%*C22)</f>
        <v>573.9629937833472</v>
      </c>
      <c r="D23" s="23">
        <f>D22+(8.23%*D22)</f>
        <v>551.5959274952919</v>
      </c>
      <c r="E23" s="23">
        <f>E22+(7.96%*E22)</f>
        <v>413.42004793946921</v>
      </c>
      <c r="F23" s="23">
        <f>F22+(7.83%*F22)</f>
        <v>303.95207169539736</v>
      </c>
      <c r="G23" s="23">
        <f>G22+(6.46%*G22)</f>
        <v>434.76112754579589</v>
      </c>
      <c r="H23" s="23">
        <f>H22+(6.93%*H22)</f>
        <v>500.17149079999996</v>
      </c>
      <c r="I23" s="23">
        <f>I22+(7.26%*I22)</f>
        <v>375.78533342695971</v>
      </c>
      <c r="J23" s="23">
        <f>J22+(7.66%*J22)</f>
        <v>313.89349600000003</v>
      </c>
      <c r="K23" s="23">
        <f>K22+(8.36%*K22)</f>
        <v>499.84381329475366</v>
      </c>
      <c r="L23" s="23">
        <f>L22+(4.46%*L22)</f>
        <v>520.09753571873387</v>
      </c>
    </row>
    <row r="24" spans="1:12" ht="34.5" customHeight="1">
      <c r="A24" s="9" t="s">
        <v>12</v>
      </c>
      <c r="B24" s="64">
        <f>AVERAGE(B25:B26)</f>
        <v>402.07880481119162</v>
      </c>
      <c r="C24" s="64">
        <f t="shared" ref="C24:L24" si="2">AVERAGE(C25:C26)</f>
        <v>441.12127458491193</v>
      </c>
      <c r="D24" s="64">
        <f t="shared" si="2"/>
        <v>433.76130925873463</v>
      </c>
      <c r="E24" s="64">
        <f t="shared" si="2"/>
        <v>318.22145473622794</v>
      </c>
      <c r="F24" s="64">
        <f t="shared" si="2"/>
        <v>257.8901948060635</v>
      </c>
      <c r="G24" s="64">
        <f t="shared" si="2"/>
        <v>348.93170464052719</v>
      </c>
      <c r="H24" s="64">
        <f t="shared" si="2"/>
        <v>471.13986</v>
      </c>
      <c r="I24" s="64">
        <f t="shared" si="2"/>
        <v>234.03223000000003</v>
      </c>
      <c r="J24" s="64">
        <f t="shared" si="2"/>
        <v>435.86788392162157</v>
      </c>
      <c r="K24" s="64">
        <f t="shared" si="2"/>
        <v>526.54370834945257</v>
      </c>
      <c r="L24" s="64">
        <f t="shared" si="2"/>
        <v>518.85172999999998</v>
      </c>
    </row>
    <row r="25" spans="1:12" ht="34.5" customHeight="1">
      <c r="A25" s="2" t="s">
        <v>13</v>
      </c>
      <c r="B25" s="23">
        <v>436.56452000000002</v>
      </c>
      <c r="C25" s="23">
        <v>454.20571494279307</v>
      </c>
      <c r="D25" s="23">
        <v>468.15476872271927</v>
      </c>
      <c r="E25" s="23">
        <v>341.68474792597317</v>
      </c>
      <c r="F25" s="23">
        <v>250.72128795728062</v>
      </c>
      <c r="G25" s="23">
        <v>402.64484299999998</v>
      </c>
      <c r="H25" s="23">
        <v>537.63671999999997</v>
      </c>
      <c r="I25" s="23">
        <v>263.82546000000002</v>
      </c>
      <c r="J25" s="23">
        <v>456.27276784324306</v>
      </c>
      <c r="K25" s="23">
        <v>549.44241669890505</v>
      </c>
      <c r="L25" s="23">
        <v>538.76346000000001</v>
      </c>
    </row>
    <row r="26" spans="1:12" ht="34.5" customHeight="1">
      <c r="A26" s="2" t="s">
        <v>14</v>
      </c>
      <c r="B26" s="23">
        <v>367.59308962238316</v>
      </c>
      <c r="C26" s="23">
        <v>428.03683422703074</v>
      </c>
      <c r="D26" s="23">
        <v>399.36784979474999</v>
      </c>
      <c r="E26" s="23">
        <v>294.75816154648271</v>
      </c>
      <c r="F26" s="23">
        <v>265.05910165484636</v>
      </c>
      <c r="G26" s="23">
        <v>295.21856628105445</v>
      </c>
      <c r="H26" s="23">
        <v>404.64299999999997</v>
      </c>
      <c r="I26" s="23">
        <v>204.239</v>
      </c>
      <c r="J26" s="23">
        <v>415.46300000000002</v>
      </c>
      <c r="K26" s="23">
        <v>503.64499999999998</v>
      </c>
      <c r="L26" s="23">
        <v>498.94</v>
      </c>
    </row>
    <row r="27" spans="1:12" ht="34.5" customHeight="1">
      <c r="A27" s="4" t="s">
        <v>2</v>
      </c>
      <c r="B27" s="23">
        <f>B26+(7.46%*B26)</f>
        <v>395.01553410821293</v>
      </c>
      <c r="C27" s="23">
        <f>C26+(6.96%*C26)</f>
        <v>457.82819788923206</v>
      </c>
      <c r="D27" s="23">
        <f>D26+(8.23%*D26)</f>
        <v>432.23582383285793</v>
      </c>
      <c r="E27" s="23">
        <f>E26+(7.96%*E26)</f>
        <v>318.22091120558275</v>
      </c>
      <c r="F27" s="23">
        <f>F26+(7.83%*F26)</f>
        <v>285.81322931442082</v>
      </c>
      <c r="G27" s="23">
        <f>G26+(6.46%*G26)</f>
        <v>314.2896856628106</v>
      </c>
      <c r="H27" s="23">
        <f>H26+(6.93%*H26)</f>
        <v>432.68475989999996</v>
      </c>
      <c r="I27" s="23">
        <f>I26+(7.26%*I26)</f>
        <v>219.06675140000002</v>
      </c>
      <c r="J27" s="23">
        <f>J26+(7.66%*J26)</f>
        <v>447.28746580000001</v>
      </c>
      <c r="K27" s="23">
        <f>K26+(8.36%*K26)</f>
        <v>545.74972200000002</v>
      </c>
      <c r="L27" s="23">
        <f>L26+(4.46%*L26)</f>
        <v>521.192724</v>
      </c>
    </row>
    <row r="28" spans="1:12" ht="34.5" customHeight="1">
      <c r="A28" s="9" t="s">
        <v>15</v>
      </c>
      <c r="B28" s="64">
        <f t="shared" ref="B28:L28" si="3">AVERAGE(B29:B32)</f>
        <v>295.39995351181341</v>
      </c>
      <c r="C28" s="64">
        <f t="shared" si="3"/>
        <v>373.32829897955014</v>
      </c>
      <c r="D28" s="64">
        <f t="shared" si="3"/>
        <v>377.30356827242974</v>
      </c>
      <c r="E28" s="64">
        <f t="shared" si="3"/>
        <v>308.65697561923821</v>
      </c>
      <c r="F28" s="64">
        <f t="shared" si="3"/>
        <v>209.58792248380172</v>
      </c>
      <c r="G28" s="64">
        <f t="shared" si="3"/>
        <v>259.96479989547538</v>
      </c>
      <c r="H28" s="64">
        <f t="shared" si="3"/>
        <v>321.14877041403457</v>
      </c>
      <c r="I28" s="64">
        <f t="shared" si="3"/>
        <v>227.40456152588379</v>
      </c>
      <c r="J28" s="64">
        <f t="shared" si="3"/>
        <v>200.62209277667097</v>
      </c>
      <c r="K28" s="64">
        <f t="shared" si="3"/>
        <v>337.4392748876819</v>
      </c>
      <c r="L28" s="64">
        <f t="shared" si="3"/>
        <v>351.37861045240766</v>
      </c>
    </row>
    <row r="29" spans="1:12" ht="34.5" customHeight="1">
      <c r="A29" s="2" t="s">
        <v>16</v>
      </c>
      <c r="B29" s="23">
        <v>291.98193474928956</v>
      </c>
      <c r="C29" s="23">
        <v>362.25415266955497</v>
      </c>
      <c r="D29" s="23">
        <v>373.12876777596165</v>
      </c>
      <c r="E29" s="23">
        <v>262.60633403626758</v>
      </c>
      <c r="F29" s="23">
        <v>167.76814466849476</v>
      </c>
      <c r="G29" s="23">
        <v>269.91740052136839</v>
      </c>
      <c r="H29" s="23">
        <v>329.4017256818326</v>
      </c>
      <c r="I29" s="23">
        <v>245.44222294311933</v>
      </c>
      <c r="J29" s="23">
        <v>180.67550990210071</v>
      </c>
      <c r="K29" s="23">
        <v>333.92238447056587</v>
      </c>
      <c r="L29" s="23">
        <v>347.63465730000001</v>
      </c>
    </row>
    <row r="30" spans="1:12" ht="34.5" customHeight="1">
      <c r="A30" s="2" t="s">
        <v>17</v>
      </c>
      <c r="B30" s="23">
        <v>183.88757000000001</v>
      </c>
      <c r="C30" s="23">
        <v>256.63467000000003</v>
      </c>
      <c r="D30" s="23">
        <v>268.44057640176914</v>
      </c>
      <c r="E30" s="23">
        <v>253.21197857880455</v>
      </c>
      <c r="F30" s="23">
        <v>143.21815547280289</v>
      </c>
      <c r="G30" s="23">
        <v>168.01049402837944</v>
      </c>
      <c r="H30" s="23">
        <v>191.55491208314444</v>
      </c>
      <c r="I30" s="23">
        <v>166.26157973604123</v>
      </c>
      <c r="J30" s="23">
        <v>108.621425069976</v>
      </c>
      <c r="K30" s="23">
        <v>251.77585508016159</v>
      </c>
      <c r="L30" s="23">
        <v>261.5984645096305</v>
      </c>
    </row>
    <row r="31" spans="1:12" ht="34.5" customHeight="1">
      <c r="A31" s="5" t="s">
        <v>32</v>
      </c>
      <c r="B31" s="23">
        <v>351.67015464898202</v>
      </c>
      <c r="C31" s="23">
        <v>436.01718662432279</v>
      </c>
      <c r="D31" s="23">
        <v>432.62746445599419</v>
      </c>
      <c r="E31" s="23">
        <v>358.2097949309404</v>
      </c>
      <c r="F31" s="23">
        <v>262.48769489695468</v>
      </c>
      <c r="G31" s="23">
        <v>299.77065251607684</v>
      </c>
      <c r="H31" s="23">
        <v>380.62422194558064</v>
      </c>
      <c r="I31" s="23">
        <v>247.76222171218728</v>
      </c>
      <c r="J31" s="23">
        <v>255.40071806730359</v>
      </c>
      <c r="K31" s="23">
        <v>380.83443</v>
      </c>
      <c r="L31" s="23">
        <v>396.94565999999998</v>
      </c>
    </row>
    <row r="32" spans="1:12" ht="34.5" customHeight="1">
      <c r="A32" s="2" t="s">
        <v>2</v>
      </c>
      <c r="B32" s="23">
        <f t="shared" ref="B32:L32" si="4">B31+2.39</f>
        <v>354.06015464898201</v>
      </c>
      <c r="C32" s="23">
        <f t="shared" si="4"/>
        <v>438.40718662432278</v>
      </c>
      <c r="D32" s="23">
        <f t="shared" si="4"/>
        <v>435.01746445599417</v>
      </c>
      <c r="E32" s="23">
        <f t="shared" si="4"/>
        <v>360.59979493094039</v>
      </c>
      <c r="F32" s="23">
        <f t="shared" si="4"/>
        <v>264.87769489695467</v>
      </c>
      <c r="G32" s="23">
        <f t="shared" si="4"/>
        <v>302.16065251607682</v>
      </c>
      <c r="H32" s="23">
        <f t="shared" si="4"/>
        <v>383.01422194558063</v>
      </c>
      <c r="I32" s="23">
        <f t="shared" si="4"/>
        <v>250.15222171218727</v>
      </c>
      <c r="J32" s="23">
        <f t="shared" si="4"/>
        <v>257.7907180673036</v>
      </c>
      <c r="K32" s="23">
        <f t="shared" si="4"/>
        <v>383.22442999999998</v>
      </c>
      <c r="L32" s="23">
        <f t="shared" si="4"/>
        <v>399.33565999999996</v>
      </c>
    </row>
    <row r="33" spans="1:12" ht="34.5" customHeight="1">
      <c r="A33" s="9" t="s">
        <v>18</v>
      </c>
      <c r="B33" s="64">
        <f>AVERAGE(B34:B36)</f>
        <v>461.25958700652291</v>
      </c>
      <c r="C33" s="64">
        <f t="shared" ref="C33:K33" si="5">AVERAGE(C34:C36)</f>
        <v>527.13527313895509</v>
      </c>
      <c r="D33" s="64">
        <f t="shared" si="5"/>
        <v>467.61149772524215</v>
      </c>
      <c r="E33" s="64">
        <f t="shared" si="5"/>
        <v>393.66852256072934</v>
      </c>
      <c r="F33" s="64">
        <f t="shared" si="5"/>
        <v>273.27333445324081</v>
      </c>
      <c r="G33" s="64">
        <f t="shared" si="5"/>
        <v>377.94576256851173</v>
      </c>
      <c r="H33" s="64">
        <f t="shared" si="5"/>
        <v>431.11366868544388</v>
      </c>
      <c r="I33" s="64">
        <f t="shared" si="5"/>
        <v>389.23356229052888</v>
      </c>
      <c r="J33" s="64">
        <f t="shared" si="5"/>
        <v>285.82045502205057</v>
      </c>
      <c r="K33" s="64">
        <f t="shared" si="5"/>
        <v>633.68063727750734</v>
      </c>
      <c r="L33" s="64">
        <f>AVERAGE(L34:L37)</f>
        <v>498.3020626047001</v>
      </c>
    </row>
    <row r="34" spans="1:12" ht="34.5" customHeight="1">
      <c r="A34" s="2" t="s">
        <v>21</v>
      </c>
      <c r="B34" s="23">
        <v>552.12355212355214</v>
      </c>
      <c r="C34" s="23">
        <v>562.91390728476824</v>
      </c>
      <c r="D34" s="23">
        <v>466.25766871165644</v>
      </c>
      <c r="E34" s="23">
        <v>434.48275862068965</v>
      </c>
      <c r="F34" s="23">
        <v>340.2426693629929</v>
      </c>
      <c r="G34" s="23">
        <v>433.07839388145317</v>
      </c>
      <c r="H34" s="23">
        <v>433.3525678015003</v>
      </c>
      <c r="I34" s="23">
        <v>547.36842105263156</v>
      </c>
      <c r="J34" s="23">
        <v>362.06896551724139</v>
      </c>
      <c r="K34" s="23">
        <v>1000</v>
      </c>
      <c r="L34" s="23">
        <v>375</v>
      </c>
    </row>
    <row r="35" spans="1:12" ht="34.5" customHeight="1">
      <c r="A35" s="2" t="s">
        <v>19</v>
      </c>
      <c r="B35" s="23">
        <v>395.53186087839555</v>
      </c>
      <c r="C35" s="23">
        <v>494.54710693729174</v>
      </c>
      <c r="D35" s="23">
        <v>451.57906360424028</v>
      </c>
      <c r="E35" s="23">
        <v>325.61128091136425</v>
      </c>
      <c r="F35" s="23">
        <v>204.62354471761685</v>
      </c>
      <c r="G35" s="23">
        <v>345.64254062038407</v>
      </c>
      <c r="H35" s="23">
        <v>441.73401177292226</v>
      </c>
      <c r="I35" s="23">
        <v>301.60364866853024</v>
      </c>
      <c r="J35" s="23">
        <v>235.87101063829786</v>
      </c>
      <c r="K35" s="23">
        <v>436.20271836476661</v>
      </c>
      <c r="L35" s="23">
        <v>456.2837744215048</v>
      </c>
    </row>
    <row r="36" spans="1:12" ht="34.5" customHeight="1">
      <c r="A36" s="2" t="s">
        <v>20</v>
      </c>
      <c r="B36" s="23">
        <v>436.12334801762114</v>
      </c>
      <c r="C36" s="23">
        <v>523.94480519480521</v>
      </c>
      <c r="D36" s="23">
        <v>484.99776085982984</v>
      </c>
      <c r="E36" s="23">
        <v>420.91152815013407</v>
      </c>
      <c r="F36" s="23">
        <v>274.95378927911275</v>
      </c>
      <c r="G36" s="23">
        <v>355.11635320369783</v>
      </c>
      <c r="H36" s="23">
        <v>418.25442648190915</v>
      </c>
      <c r="I36" s="23">
        <v>318.7286171504249</v>
      </c>
      <c r="J36" s="23">
        <v>259.52138891061236</v>
      </c>
      <c r="K36" s="23">
        <v>464.83919346775536</v>
      </c>
      <c r="L36" s="23">
        <v>568.28938471940501</v>
      </c>
    </row>
    <row r="37" spans="1:12" ht="34.5" customHeight="1">
      <c r="A37" s="2" t="s">
        <v>2</v>
      </c>
      <c r="B37" s="23">
        <f>B36+(7.46%*B36)</f>
        <v>468.65814977973571</v>
      </c>
      <c r="C37" s="23">
        <f>C36+(6.96%*C36)</f>
        <v>560.4113636363636</v>
      </c>
      <c r="D37" s="23">
        <f>D36+(8.23%*D36)</f>
        <v>524.91307657859386</v>
      </c>
      <c r="E37" s="23">
        <f>E36+(7.96%*E36)</f>
        <v>454.41608579088472</v>
      </c>
      <c r="F37" s="23">
        <f>F36+(7.83%*F36)</f>
        <v>296.48267097966726</v>
      </c>
      <c r="G37" s="23">
        <f>G36+(6.46%*G36)</f>
        <v>378.0568696206567</v>
      </c>
      <c r="H37" s="23">
        <f>H36+(6.93%*H36)</f>
        <v>447.23945823710545</v>
      </c>
      <c r="I37" s="23">
        <f>I36+(7.26%*I36)</f>
        <v>341.86831475554573</v>
      </c>
      <c r="J37" s="23">
        <f>J36+(7.66%*J36)</f>
        <v>279.40072730116526</v>
      </c>
      <c r="K37" s="23">
        <f>K36+(8.36%*K36)</f>
        <v>503.69975004165974</v>
      </c>
      <c r="L37" s="23">
        <f>L36+(4.46%*L36)</f>
        <v>593.63509127789052</v>
      </c>
    </row>
    <row r="38" spans="1:12" ht="34.5" customHeight="1">
      <c r="A38" s="9" t="s">
        <v>22</v>
      </c>
      <c r="B38" s="64">
        <v>392.98120602119889</v>
      </c>
      <c r="C38" s="64">
        <v>398.66699132741343</v>
      </c>
      <c r="D38" s="64">
        <v>457.02956607155488</v>
      </c>
      <c r="E38" s="64">
        <v>306.22053624042428</v>
      </c>
      <c r="F38" s="64">
        <v>292.23104003818844</v>
      </c>
      <c r="G38" s="64">
        <v>374.50573388159711</v>
      </c>
      <c r="H38" s="64">
        <v>423.29089276908877</v>
      </c>
      <c r="I38" s="64">
        <v>362.60260517761509</v>
      </c>
      <c r="J38" s="64">
        <v>241.13691679386164</v>
      </c>
      <c r="K38" s="64">
        <v>339.98209962809398</v>
      </c>
      <c r="L38" s="64">
        <v>359.90728802289601</v>
      </c>
    </row>
    <row r="39" spans="1:12" ht="34.5" customHeight="1">
      <c r="A39" s="9" t="s">
        <v>23</v>
      </c>
      <c r="B39" s="64">
        <v>485.14285714285717</v>
      </c>
      <c r="C39" s="64">
        <v>315.42857142857139</v>
      </c>
      <c r="D39" s="64">
        <v>290.13698630136986</v>
      </c>
      <c r="E39" s="64">
        <v>353.69863013698631</v>
      </c>
      <c r="F39" s="64">
        <v>343.73333333333335</v>
      </c>
      <c r="G39" s="64">
        <v>292.82666666666665</v>
      </c>
      <c r="H39" s="64">
        <v>246.26666666666665</v>
      </c>
      <c r="I39" s="64">
        <v>275.37500000000006</v>
      </c>
      <c r="J39" s="64">
        <v>318.37499999999994</v>
      </c>
      <c r="K39" s="64">
        <v>351.875</v>
      </c>
      <c r="L39" s="64">
        <v>376.5</v>
      </c>
    </row>
    <row r="40" spans="1:12" ht="34.5" customHeight="1">
      <c r="A40" s="9" t="s">
        <v>24</v>
      </c>
      <c r="B40" s="64">
        <v>422.43900000000002</v>
      </c>
      <c r="C40" s="64">
        <v>447.84322787697442</v>
      </c>
      <c r="D40" s="64">
        <v>432.28554461245255</v>
      </c>
      <c r="E40" s="64">
        <v>408.44750188375758</v>
      </c>
      <c r="F40" s="64">
        <v>294.31012251751343</v>
      </c>
      <c r="G40" s="64">
        <v>276.77472185754863</v>
      </c>
      <c r="H40" s="64">
        <v>389.35575641206015</v>
      </c>
      <c r="I40" s="64">
        <v>409.78973271934314</v>
      </c>
      <c r="J40" s="64">
        <v>222.29035559842791</v>
      </c>
      <c r="K40" s="64">
        <v>178.27281428769558</v>
      </c>
      <c r="L40" s="64">
        <v>312.5115070137042</v>
      </c>
    </row>
    <row r="41" spans="1:12" ht="34.5" customHeight="1">
      <c r="A41" s="9" t="s">
        <v>25</v>
      </c>
      <c r="B41" s="64">
        <f t="shared" ref="B41:L41" si="6">B38+3.54</f>
        <v>396.52120602119891</v>
      </c>
      <c r="C41" s="64">
        <f t="shared" si="6"/>
        <v>402.20699132741345</v>
      </c>
      <c r="D41" s="64">
        <f t="shared" si="6"/>
        <v>460.5695660715549</v>
      </c>
      <c r="E41" s="64">
        <f t="shared" si="6"/>
        <v>309.7605362404243</v>
      </c>
      <c r="F41" s="64">
        <f t="shared" si="6"/>
        <v>295.77104003818846</v>
      </c>
      <c r="G41" s="64">
        <f t="shared" si="6"/>
        <v>378.04573388159713</v>
      </c>
      <c r="H41" s="64">
        <f t="shared" si="6"/>
        <v>426.83089276908879</v>
      </c>
      <c r="I41" s="64">
        <f t="shared" si="6"/>
        <v>366.14260517761511</v>
      </c>
      <c r="J41" s="64">
        <f t="shared" si="6"/>
        <v>244.67691679386164</v>
      </c>
      <c r="K41" s="64">
        <f t="shared" si="6"/>
        <v>343.522099628094</v>
      </c>
      <c r="L41" s="64">
        <f t="shared" si="6"/>
        <v>363.44728802289603</v>
      </c>
    </row>
    <row r="42" spans="1:12" ht="34.5" customHeight="1">
      <c r="A42" s="9" t="s">
        <v>26</v>
      </c>
      <c r="B42" s="64">
        <v>418.7346</v>
      </c>
      <c r="C42" s="64">
        <v>420.34300000000002</v>
      </c>
      <c r="D42" s="64">
        <v>467.88299999999998</v>
      </c>
      <c r="E42" s="64">
        <v>317.17</v>
      </c>
      <c r="F42" s="64">
        <v>311.75599999999997</v>
      </c>
      <c r="G42" s="64">
        <v>391.73462999999998</v>
      </c>
      <c r="H42" s="64">
        <v>437.84500000000003</v>
      </c>
      <c r="I42" s="64">
        <v>382.7346</v>
      </c>
      <c r="J42" s="64">
        <v>254.73560000000001</v>
      </c>
      <c r="K42" s="64">
        <v>367.43400000000003</v>
      </c>
      <c r="L42" s="64">
        <v>375.983</v>
      </c>
    </row>
    <row r="43" spans="1:12">
      <c r="A43" s="28" t="s">
        <v>44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1F1E-28BC-47B7-A382-80C35D24BF22}">
  <dimension ref="A1:E261"/>
  <sheetViews>
    <sheetView zoomScale="91" zoomScaleNormal="55" workbookViewId="0">
      <selection activeCell="G241" sqref="G241"/>
    </sheetView>
  </sheetViews>
  <sheetFormatPr defaultRowHeight="15"/>
  <sheetData>
    <row r="1" spans="1:5" ht="15.75" thickBot="1"/>
    <row r="2" spans="1:5" ht="15.75" thickBot="1">
      <c r="A2" s="46">
        <v>45139</v>
      </c>
      <c r="B2" s="54">
        <v>2.5819999999999999</v>
      </c>
      <c r="D2">
        <v>2023</v>
      </c>
      <c r="E2">
        <f>AVERAGE(B2:B6)</f>
        <v>2.8801999999999999</v>
      </c>
    </row>
    <row r="3" spans="1:5" ht="15.75" thickBot="1">
      <c r="A3" s="48">
        <v>45170</v>
      </c>
      <c r="B3" s="52">
        <v>2.57</v>
      </c>
    </row>
    <row r="4" spans="1:5" ht="15.75" thickBot="1">
      <c r="A4" s="46">
        <v>45200</v>
      </c>
      <c r="B4" s="53">
        <v>2.66</v>
      </c>
    </row>
    <row r="5" spans="1:5" ht="15.75" thickBot="1">
      <c r="A5" s="48">
        <v>45231</v>
      </c>
      <c r="B5" s="52">
        <v>3.073</v>
      </c>
    </row>
    <row r="6" spans="1:5" ht="15.75" thickBot="1">
      <c r="A6" s="46">
        <v>45261</v>
      </c>
      <c r="B6" s="53">
        <v>3.516</v>
      </c>
    </row>
    <row r="7" spans="1:5" ht="15.75" thickBot="1">
      <c r="A7" s="48">
        <v>45292</v>
      </c>
      <c r="B7" s="52">
        <v>3.7519999999999998</v>
      </c>
      <c r="D7">
        <v>2024</v>
      </c>
      <c r="E7">
        <f>AVERAGE(B7:B18)</f>
        <v>3.481583333333333</v>
      </c>
    </row>
    <row r="8" spans="1:5" ht="15.75" thickBot="1">
      <c r="A8" s="46">
        <v>45323</v>
      </c>
      <c r="B8" s="53">
        <v>3.6819999999999999</v>
      </c>
    </row>
    <row r="9" spans="1:5" ht="15.75" thickBot="1">
      <c r="A9" s="48">
        <v>45352</v>
      </c>
      <c r="B9" s="52">
        <v>3.4159999999999999</v>
      </c>
    </row>
    <row r="10" spans="1:5" ht="15.75" thickBot="1">
      <c r="A10" s="46">
        <v>45383</v>
      </c>
      <c r="B10" s="53">
        <v>3.1269999999999998</v>
      </c>
    </row>
    <row r="11" spans="1:5" ht="15.75" thickBot="1">
      <c r="A11" s="48">
        <v>45413</v>
      </c>
      <c r="B11" s="52">
        <v>3.1179999999999999</v>
      </c>
    </row>
    <row r="12" spans="1:5" ht="15.75" thickBot="1">
      <c r="A12" s="46">
        <v>45444</v>
      </c>
      <c r="B12" s="53">
        <v>3.2160000000000002</v>
      </c>
    </row>
    <row r="13" spans="1:5" ht="15.75" thickBot="1">
      <c r="A13" s="48">
        <v>45474</v>
      </c>
      <c r="B13" s="52">
        <v>3.3359999999999999</v>
      </c>
    </row>
    <row r="14" spans="1:5" ht="15.75" thickBot="1">
      <c r="A14" s="46">
        <v>45505</v>
      </c>
      <c r="B14" s="53">
        <v>3.383</v>
      </c>
    </row>
    <row r="15" spans="1:5" ht="15.75" thickBot="1">
      <c r="A15" s="48">
        <v>45536</v>
      </c>
      <c r="B15" s="52">
        <v>3.3580000000000001</v>
      </c>
    </row>
    <row r="16" spans="1:5" ht="15.75" thickBot="1">
      <c r="A16" s="46">
        <v>45566</v>
      </c>
      <c r="B16" s="53">
        <v>3.4329999999999998</v>
      </c>
    </row>
    <row r="17" spans="1:5" ht="15.75" thickBot="1">
      <c r="A17" s="48">
        <v>45597</v>
      </c>
      <c r="B17" s="52">
        <v>3.7679999999999998</v>
      </c>
    </row>
    <row r="18" spans="1:5" ht="15.75" thickBot="1">
      <c r="A18" s="46">
        <v>45627</v>
      </c>
      <c r="B18" s="53">
        <v>4.1900000000000004</v>
      </c>
    </row>
    <row r="19" spans="1:5" ht="15.75" thickBot="1">
      <c r="A19" s="48">
        <v>45658</v>
      </c>
      <c r="B19" s="52">
        <v>4.4630000000000001</v>
      </c>
      <c r="D19">
        <v>2025</v>
      </c>
      <c r="E19">
        <f>AVERAGE(B19:B30)</f>
        <v>3.9405833333333331</v>
      </c>
    </row>
    <row r="20" spans="1:5" ht="15.75" thickBot="1">
      <c r="A20" s="46">
        <v>45689</v>
      </c>
      <c r="B20" s="53">
        <v>4.3570000000000002</v>
      </c>
    </row>
    <row r="21" spans="1:5" ht="15.75" thickBot="1">
      <c r="A21" s="48">
        <v>45717</v>
      </c>
      <c r="B21" s="52">
        <v>3.9729999999999999</v>
      </c>
    </row>
    <row r="22" spans="1:5" ht="15.75" thickBot="1">
      <c r="A22" s="46">
        <v>45748</v>
      </c>
      <c r="B22" s="53">
        <v>3.5489999999999999</v>
      </c>
    </row>
    <row r="23" spans="1:5" ht="15.75" thickBot="1">
      <c r="A23" s="48">
        <v>45778</v>
      </c>
      <c r="B23" s="52">
        <v>3.524</v>
      </c>
    </row>
    <row r="24" spans="1:5" ht="15.75" thickBot="1">
      <c r="A24" s="46">
        <v>45809</v>
      </c>
      <c r="B24" s="53">
        <v>3.641</v>
      </c>
    </row>
    <row r="25" spans="1:5" ht="15.75" customHeight="1" thickBot="1">
      <c r="A25" s="48">
        <v>45839</v>
      </c>
      <c r="B25" s="52">
        <v>3.7570000000000001</v>
      </c>
    </row>
    <row r="26" spans="1:5" ht="15.75" thickBot="1">
      <c r="A26" s="46">
        <v>45870</v>
      </c>
      <c r="B26" s="53">
        <v>3.798</v>
      </c>
    </row>
    <row r="27" spans="1:5" ht="15.75" thickBot="1">
      <c r="A27" s="48">
        <v>45901</v>
      </c>
      <c r="B27" s="52">
        <v>3.75</v>
      </c>
    </row>
    <row r="28" spans="1:5" ht="15.75" thickBot="1">
      <c r="A28" s="46">
        <v>45931</v>
      </c>
      <c r="B28" s="53">
        <v>3.819</v>
      </c>
    </row>
    <row r="29" spans="1:5" ht="15.75" thickBot="1">
      <c r="A29" s="48">
        <v>45962</v>
      </c>
      <c r="B29" s="52">
        <v>4.1539999999999999</v>
      </c>
    </row>
    <row r="30" spans="1:5" ht="15.75" thickBot="1">
      <c r="A30" s="46">
        <v>45992</v>
      </c>
      <c r="B30" s="53">
        <v>4.5019999999999998</v>
      </c>
    </row>
    <row r="31" spans="1:5" ht="15.75" thickBot="1">
      <c r="A31" s="48">
        <v>46023</v>
      </c>
      <c r="B31" s="52">
        <v>4.7350000000000003</v>
      </c>
      <c r="D31">
        <v>2026</v>
      </c>
      <c r="E31">
        <f>AVERAGE(B31:B45)</f>
        <v>3.9113333333333338</v>
      </c>
    </row>
    <row r="32" spans="1:5" ht="15.75" thickBot="1">
      <c r="A32" s="46">
        <v>46054</v>
      </c>
      <c r="B32" s="53">
        <v>4.5110000000000001</v>
      </c>
    </row>
    <row r="33" spans="1:5" ht="15.75" thickBot="1">
      <c r="A33" s="48">
        <v>46082</v>
      </c>
      <c r="B33" s="52">
        <v>4.0439999999999996</v>
      </c>
    </row>
    <row r="34" spans="1:5" ht="15.75" thickBot="1">
      <c r="A34" s="46">
        <v>46113</v>
      </c>
      <c r="B34" s="53">
        <v>3.5049999999999999</v>
      </c>
    </row>
    <row r="35" spans="1:5" ht="15.75" thickBot="1">
      <c r="A35" s="48">
        <v>46143</v>
      </c>
      <c r="B35" s="52">
        <v>3.4569999999999999</v>
      </c>
    </row>
    <row r="36" spans="1:5" ht="15.75" thickBot="1">
      <c r="A36" s="46">
        <v>46174</v>
      </c>
      <c r="B36" s="53">
        <v>3.56</v>
      </c>
    </row>
    <row r="37" spans="1:5" ht="15.75" thickBot="1">
      <c r="A37" s="48">
        <v>46204</v>
      </c>
      <c r="B37" s="52">
        <v>3.6629999999999998</v>
      </c>
    </row>
    <row r="38" spans="1:5" ht="15.75" thickBot="1">
      <c r="A38" s="46">
        <v>46235</v>
      </c>
      <c r="B38" s="53">
        <v>3.7010000000000001</v>
      </c>
    </row>
    <row r="39" spans="1:5" ht="15.75" thickBot="1">
      <c r="A39" s="48">
        <v>46266</v>
      </c>
      <c r="B39" s="52">
        <v>3.641</v>
      </c>
    </row>
    <row r="40" spans="1:5">
      <c r="A40" s="46">
        <v>46296</v>
      </c>
      <c r="B40" s="116">
        <v>3.7250000000000001</v>
      </c>
    </row>
    <row r="41" spans="1:5">
      <c r="A41" s="47" t="s">
        <v>73</v>
      </c>
      <c r="B41" s="117"/>
    </row>
    <row r="42" spans="1:5">
      <c r="A42" s="48">
        <v>46327</v>
      </c>
      <c r="B42" s="118">
        <v>4.0170000000000003</v>
      </c>
    </row>
    <row r="43" spans="1:5">
      <c r="A43" s="49" t="s">
        <v>74</v>
      </c>
      <c r="B43" s="119"/>
    </row>
    <row r="44" spans="1:5">
      <c r="A44" s="46">
        <v>46357</v>
      </c>
      <c r="B44" s="116">
        <v>4.3769999999999998</v>
      </c>
    </row>
    <row r="45" spans="1:5">
      <c r="A45" s="47" t="s">
        <v>75</v>
      </c>
      <c r="B45" s="117"/>
    </row>
    <row r="46" spans="1:5">
      <c r="A46" s="48">
        <v>46388</v>
      </c>
      <c r="B46" s="118">
        <v>4.6100000000000003</v>
      </c>
      <c r="D46">
        <v>2027</v>
      </c>
      <c r="E46">
        <f>AVERAGE(B46:B69)</f>
        <v>3.8152499999999994</v>
      </c>
    </row>
    <row r="47" spans="1:5">
      <c r="A47" s="49" t="s">
        <v>76</v>
      </c>
      <c r="B47" s="119"/>
    </row>
    <row r="48" spans="1:5">
      <c r="A48" s="46">
        <v>46419</v>
      </c>
      <c r="B48" s="116">
        <v>4.3949999999999996</v>
      </c>
    </row>
    <row r="49" spans="1:2" ht="15.75" thickBot="1">
      <c r="A49" s="47" t="s">
        <v>77</v>
      </c>
      <c r="B49" s="117"/>
    </row>
    <row r="50" spans="1:2">
      <c r="A50" s="48">
        <v>46447</v>
      </c>
      <c r="B50" s="118">
        <v>3.9550000000000001</v>
      </c>
    </row>
    <row r="51" spans="1:2" ht="15.75" thickBot="1">
      <c r="A51" s="49" t="s">
        <v>78</v>
      </c>
      <c r="B51" s="119"/>
    </row>
    <row r="52" spans="1:2">
      <c r="A52" s="46">
        <v>46478</v>
      </c>
      <c r="B52" s="116">
        <v>3.4220000000000002</v>
      </c>
    </row>
    <row r="53" spans="1:2" ht="15.75" thickBot="1">
      <c r="A53" s="47" t="s">
        <v>79</v>
      </c>
      <c r="B53" s="117"/>
    </row>
    <row r="54" spans="1:2">
      <c r="A54" s="48">
        <v>46508</v>
      </c>
      <c r="B54" s="118">
        <v>3.3769999999999998</v>
      </c>
    </row>
    <row r="55" spans="1:2" ht="15.75" thickBot="1">
      <c r="A55" s="49" t="s">
        <v>80</v>
      </c>
      <c r="B55" s="119"/>
    </row>
    <row r="56" spans="1:2">
      <c r="A56" s="46">
        <v>46539</v>
      </c>
      <c r="B56" s="116">
        <v>3.4769999999999999</v>
      </c>
    </row>
    <row r="57" spans="1:2" ht="15.75" thickBot="1">
      <c r="A57" s="47" t="s">
        <v>81</v>
      </c>
      <c r="B57" s="117"/>
    </row>
    <row r="58" spans="1:2">
      <c r="A58" s="48">
        <v>46569</v>
      </c>
      <c r="B58" s="118">
        <v>3.5779999999999998</v>
      </c>
    </row>
    <row r="59" spans="1:2" ht="15.75" thickBot="1">
      <c r="A59" s="49" t="s">
        <v>82</v>
      </c>
      <c r="B59" s="119"/>
    </row>
    <row r="60" spans="1:2">
      <c r="A60" s="46">
        <v>46600</v>
      </c>
      <c r="B60" s="116">
        <v>3.6080000000000001</v>
      </c>
    </row>
    <row r="61" spans="1:2" ht="15.75" thickBot="1">
      <c r="A61" s="47" t="s">
        <v>83</v>
      </c>
      <c r="B61" s="117"/>
    </row>
    <row r="62" spans="1:2">
      <c r="A62" s="48">
        <v>46631</v>
      </c>
      <c r="B62" s="118">
        <v>3.5710000000000002</v>
      </c>
    </row>
    <row r="63" spans="1:2" ht="15.75" thickBot="1">
      <c r="A63" s="49" t="s">
        <v>84</v>
      </c>
      <c r="B63" s="119"/>
    </row>
    <row r="64" spans="1:2">
      <c r="A64" s="46">
        <v>46661</v>
      </c>
      <c r="B64" s="116">
        <v>3.6659999999999999</v>
      </c>
    </row>
    <row r="65" spans="1:5" ht="15.75" thickBot="1">
      <c r="A65" s="47" t="s">
        <v>85</v>
      </c>
      <c r="B65" s="117"/>
    </row>
    <row r="66" spans="1:5">
      <c r="A66" s="48">
        <v>46692</v>
      </c>
      <c r="B66" s="118">
        <v>3.883</v>
      </c>
    </row>
    <row r="67" spans="1:5" ht="15.75" thickBot="1">
      <c r="A67" s="49" t="s">
        <v>86</v>
      </c>
      <c r="B67" s="119"/>
    </row>
    <row r="68" spans="1:5">
      <c r="A68" s="46">
        <v>46722</v>
      </c>
      <c r="B68" s="116">
        <v>4.2409999999999997</v>
      </c>
    </row>
    <row r="69" spans="1:5" ht="15.75" thickBot="1">
      <c r="A69" s="47" t="s">
        <v>87</v>
      </c>
      <c r="B69" s="117"/>
    </row>
    <row r="70" spans="1:5">
      <c r="A70" s="48">
        <v>46753</v>
      </c>
      <c r="B70" s="118">
        <v>4.4859999999999998</v>
      </c>
      <c r="D70">
        <v>2028</v>
      </c>
      <c r="E70">
        <f>AVERAGE(B70:B93)</f>
        <v>3.706666666666667</v>
      </c>
    </row>
    <row r="71" spans="1:5" ht="15.75" thickBot="1">
      <c r="A71" s="49" t="s">
        <v>88</v>
      </c>
      <c r="B71" s="119"/>
    </row>
    <row r="72" spans="1:5">
      <c r="A72" s="46">
        <v>46784</v>
      </c>
      <c r="B72" s="116">
        <v>4.2530000000000001</v>
      </c>
    </row>
    <row r="73" spans="1:5" ht="15.75" thickBot="1">
      <c r="A73" s="47" t="s">
        <v>89</v>
      </c>
      <c r="B73" s="117"/>
    </row>
    <row r="74" spans="1:5">
      <c r="A74" s="48">
        <v>46813</v>
      </c>
      <c r="B74" s="118">
        <v>3.8010000000000002</v>
      </c>
    </row>
    <row r="75" spans="1:5" ht="15.75" thickBot="1">
      <c r="A75" s="49" t="s">
        <v>90</v>
      </c>
      <c r="B75" s="119"/>
    </row>
    <row r="76" spans="1:5">
      <c r="A76" s="46">
        <v>46844</v>
      </c>
      <c r="B76" s="116">
        <v>3.2679999999999998</v>
      </c>
    </row>
    <row r="77" spans="1:5" ht="15.75" thickBot="1">
      <c r="A77" s="47" t="s">
        <v>91</v>
      </c>
      <c r="B77" s="117"/>
    </row>
    <row r="78" spans="1:5">
      <c r="A78" s="48">
        <v>46874</v>
      </c>
      <c r="B78" s="118">
        <v>3.2280000000000002</v>
      </c>
    </row>
    <row r="79" spans="1:5" ht="15.75" thickBot="1">
      <c r="A79" s="49" t="s">
        <v>92</v>
      </c>
      <c r="B79" s="119"/>
    </row>
    <row r="80" spans="1:5">
      <c r="A80" s="46">
        <v>46905</v>
      </c>
      <c r="B80" s="116">
        <v>3.3330000000000002</v>
      </c>
    </row>
    <row r="81" spans="1:5" ht="15.75" thickBot="1">
      <c r="A81" s="47" t="s">
        <v>93</v>
      </c>
      <c r="B81" s="117"/>
    </row>
    <row r="82" spans="1:5">
      <c r="A82" s="48">
        <v>46935</v>
      </c>
      <c r="B82" s="118">
        <v>3.4380000000000002</v>
      </c>
    </row>
    <row r="83" spans="1:5" ht="15.75" thickBot="1">
      <c r="A83" s="49" t="s">
        <v>94</v>
      </c>
      <c r="B83" s="119"/>
    </row>
    <row r="84" spans="1:5">
      <c r="A84" s="46">
        <v>46966</v>
      </c>
      <c r="B84" s="116">
        <v>3.4780000000000002</v>
      </c>
    </row>
    <row r="85" spans="1:5" ht="15.75" thickBot="1">
      <c r="A85" s="47" t="s">
        <v>95</v>
      </c>
      <c r="B85" s="117"/>
    </row>
    <row r="86" spans="1:5">
      <c r="A86" s="48">
        <v>46997</v>
      </c>
      <c r="B86" s="118">
        <v>3.4769999999999999</v>
      </c>
    </row>
    <row r="87" spans="1:5" ht="15.75" thickBot="1">
      <c r="A87" s="49" t="s">
        <v>96</v>
      </c>
      <c r="B87" s="119"/>
    </row>
    <row r="88" spans="1:5">
      <c r="A88" s="46">
        <v>47027</v>
      </c>
      <c r="B88" s="116">
        <v>3.577</v>
      </c>
    </row>
    <row r="89" spans="1:5" ht="15.75" thickBot="1">
      <c r="A89" s="47" t="s">
        <v>97</v>
      </c>
      <c r="B89" s="117"/>
    </row>
    <row r="90" spans="1:5">
      <c r="A90" s="48">
        <v>47058</v>
      </c>
      <c r="B90" s="118">
        <v>3.8769999999999998</v>
      </c>
    </row>
    <row r="91" spans="1:5" ht="15.75" thickBot="1">
      <c r="A91" s="49" t="s">
        <v>98</v>
      </c>
      <c r="B91" s="119"/>
    </row>
    <row r="92" spans="1:5">
      <c r="A92" s="46">
        <v>47088</v>
      </c>
      <c r="B92" s="116">
        <v>4.2640000000000002</v>
      </c>
    </row>
    <row r="93" spans="1:5" ht="15.75" thickBot="1">
      <c r="A93" s="47" t="s">
        <v>99</v>
      </c>
      <c r="B93" s="117"/>
    </row>
    <row r="94" spans="1:5">
      <c r="A94" s="48">
        <v>47119</v>
      </c>
      <c r="B94" s="118">
        <v>4.4939999999999998</v>
      </c>
      <c r="D94">
        <v>2029</v>
      </c>
      <c r="E94">
        <f>AVERAGE(B94:B117)</f>
        <v>3.7184166666666663</v>
      </c>
    </row>
    <row r="95" spans="1:5" ht="15.75" thickBot="1">
      <c r="A95" s="49" t="s">
        <v>100</v>
      </c>
      <c r="B95" s="119"/>
    </row>
    <row r="96" spans="1:5">
      <c r="A96" s="46">
        <v>47150</v>
      </c>
      <c r="B96" s="116">
        <v>4.2670000000000003</v>
      </c>
    </row>
    <row r="97" spans="1:2" ht="15.75" thickBot="1">
      <c r="A97" s="47" t="s">
        <v>101</v>
      </c>
      <c r="B97" s="117"/>
    </row>
    <row r="98" spans="1:2">
      <c r="A98" s="48">
        <v>47178</v>
      </c>
      <c r="B98" s="118">
        <v>3.8170000000000002</v>
      </c>
    </row>
    <row r="99" spans="1:2" ht="15.75" thickBot="1">
      <c r="A99" s="49" t="s">
        <v>102</v>
      </c>
      <c r="B99" s="119"/>
    </row>
    <row r="100" spans="1:2">
      <c r="A100" s="46">
        <v>47209</v>
      </c>
      <c r="B100" s="116">
        <v>3.3069999999999999</v>
      </c>
    </row>
    <row r="101" spans="1:2" ht="15.75" thickBot="1">
      <c r="A101" s="47" t="s">
        <v>103</v>
      </c>
      <c r="B101" s="117"/>
    </row>
    <row r="102" spans="1:2">
      <c r="A102" s="48">
        <v>47239</v>
      </c>
      <c r="B102" s="118">
        <v>3.2770000000000001</v>
      </c>
    </row>
    <row r="103" spans="1:2" ht="15.75" thickBot="1">
      <c r="A103" s="49" t="s">
        <v>104</v>
      </c>
      <c r="B103" s="119"/>
    </row>
    <row r="104" spans="1:2">
      <c r="A104" s="46">
        <v>47270</v>
      </c>
      <c r="B104" s="116">
        <v>3.3769999999999998</v>
      </c>
    </row>
    <row r="105" spans="1:2" ht="15.75" thickBot="1">
      <c r="A105" s="47" t="s">
        <v>105</v>
      </c>
      <c r="B105" s="117"/>
    </row>
    <row r="106" spans="1:2">
      <c r="A106" s="48">
        <v>47300</v>
      </c>
      <c r="B106" s="118">
        <v>3.4769999999999999</v>
      </c>
    </row>
    <row r="107" spans="1:2" ht="15.75" thickBot="1">
      <c r="A107" s="49" t="s">
        <v>106</v>
      </c>
      <c r="B107" s="119"/>
    </row>
    <row r="108" spans="1:2">
      <c r="A108" s="46">
        <v>47331</v>
      </c>
      <c r="B108" s="116">
        <v>3.5169999999999999</v>
      </c>
    </row>
    <row r="109" spans="1:2" ht="15.75" thickBot="1">
      <c r="A109" s="47" t="s">
        <v>107</v>
      </c>
      <c r="B109" s="117"/>
    </row>
    <row r="110" spans="1:2">
      <c r="A110" s="48">
        <v>47362</v>
      </c>
      <c r="B110" s="118">
        <v>3.4769999999999999</v>
      </c>
    </row>
    <row r="111" spans="1:2" ht="15.75" thickBot="1">
      <c r="A111" s="49" t="s">
        <v>108</v>
      </c>
      <c r="B111" s="119"/>
    </row>
    <row r="112" spans="1:2">
      <c r="A112" s="46">
        <v>47392</v>
      </c>
      <c r="B112" s="116">
        <v>3.5569999999999999</v>
      </c>
    </row>
    <row r="113" spans="1:5" ht="15.75" thickBot="1">
      <c r="A113" s="47" t="s">
        <v>109</v>
      </c>
      <c r="B113" s="117"/>
    </row>
    <row r="114" spans="1:5">
      <c r="A114" s="48">
        <v>47423</v>
      </c>
      <c r="B114" s="118">
        <v>3.827</v>
      </c>
    </row>
    <row r="115" spans="1:5" ht="15.75" thickBot="1">
      <c r="A115" s="49" t="s">
        <v>110</v>
      </c>
      <c r="B115" s="119"/>
    </row>
    <row r="116" spans="1:5">
      <c r="A116" s="46">
        <v>47453</v>
      </c>
      <c r="B116" s="116">
        <v>4.2270000000000003</v>
      </c>
    </row>
    <row r="117" spans="1:5" ht="15.75" thickBot="1">
      <c r="A117" s="47" t="s">
        <v>111</v>
      </c>
      <c r="B117" s="117"/>
    </row>
    <row r="118" spans="1:5">
      <c r="A118" s="48">
        <v>47484</v>
      </c>
      <c r="B118" s="118">
        <v>4.4569999999999999</v>
      </c>
      <c r="D118">
        <v>2030</v>
      </c>
      <c r="E118">
        <f>AVERAGE(B118:B141)</f>
        <v>3.6355000000000004</v>
      </c>
    </row>
    <row r="119" spans="1:5" ht="15.75" thickBot="1">
      <c r="A119" s="49" t="s">
        <v>112</v>
      </c>
      <c r="B119" s="119"/>
    </row>
    <row r="120" spans="1:5">
      <c r="A120" s="46">
        <v>47515</v>
      </c>
      <c r="B120" s="116">
        <v>4.2370000000000001</v>
      </c>
    </row>
    <row r="121" spans="1:5" ht="15.75" thickBot="1">
      <c r="A121" s="47" t="s">
        <v>113</v>
      </c>
      <c r="B121" s="117"/>
    </row>
    <row r="122" spans="1:5">
      <c r="A122" s="48">
        <v>47543</v>
      </c>
      <c r="B122" s="118">
        <v>3.7770000000000001</v>
      </c>
    </row>
    <row r="123" spans="1:5" ht="15.75" thickBot="1">
      <c r="A123" s="49" t="s">
        <v>114</v>
      </c>
      <c r="B123" s="119"/>
    </row>
    <row r="124" spans="1:5">
      <c r="A124" s="46">
        <v>47574</v>
      </c>
      <c r="B124" s="116">
        <v>3.2269999999999999</v>
      </c>
    </row>
    <row r="125" spans="1:5" ht="15.75" thickBot="1">
      <c r="A125" s="47" t="s">
        <v>115</v>
      </c>
      <c r="B125" s="117"/>
    </row>
    <row r="126" spans="1:5">
      <c r="A126" s="48">
        <v>47604</v>
      </c>
      <c r="B126" s="118">
        <v>3.2050000000000001</v>
      </c>
    </row>
    <row r="127" spans="1:5" ht="15.75" thickBot="1">
      <c r="A127" s="49" t="s">
        <v>116</v>
      </c>
      <c r="B127" s="119"/>
    </row>
    <row r="128" spans="1:5">
      <c r="A128" s="46">
        <v>47635</v>
      </c>
      <c r="B128" s="116">
        <v>3.2650000000000001</v>
      </c>
    </row>
    <row r="129" spans="1:5" ht="15.75" thickBot="1">
      <c r="A129" s="47" t="s">
        <v>117</v>
      </c>
      <c r="B129" s="117"/>
    </row>
    <row r="130" spans="1:5">
      <c r="A130" s="48">
        <v>47665</v>
      </c>
      <c r="B130" s="118">
        <v>3.335</v>
      </c>
    </row>
    <row r="131" spans="1:5" ht="15.75" thickBot="1">
      <c r="A131" s="49" t="s">
        <v>118</v>
      </c>
      <c r="B131" s="119"/>
    </row>
    <row r="132" spans="1:5">
      <c r="A132" s="46">
        <v>47696</v>
      </c>
      <c r="B132" s="116">
        <v>3.375</v>
      </c>
    </row>
    <row r="133" spans="1:5" ht="15.75" thickBot="1">
      <c r="A133" s="47" t="s">
        <v>119</v>
      </c>
      <c r="B133" s="117"/>
    </row>
    <row r="134" spans="1:5">
      <c r="A134" s="48">
        <v>47727</v>
      </c>
      <c r="B134" s="118">
        <v>3.39</v>
      </c>
    </row>
    <row r="135" spans="1:5" ht="15.75" thickBot="1">
      <c r="A135" s="49" t="s">
        <v>120</v>
      </c>
      <c r="B135" s="119"/>
    </row>
    <row r="136" spans="1:5">
      <c r="A136" s="46">
        <v>47757</v>
      </c>
      <c r="B136" s="116">
        <v>3.4359999999999999</v>
      </c>
    </row>
    <row r="137" spans="1:5" ht="15.75" thickBot="1">
      <c r="A137" s="47" t="s">
        <v>121</v>
      </c>
      <c r="B137" s="117"/>
    </row>
    <row r="138" spans="1:5">
      <c r="A138" s="48">
        <v>47788</v>
      </c>
      <c r="B138" s="118">
        <v>3.7559999999999998</v>
      </c>
    </row>
    <row r="139" spans="1:5" ht="15.75" thickBot="1">
      <c r="A139" s="49" t="s">
        <v>122</v>
      </c>
      <c r="B139" s="119"/>
    </row>
    <row r="140" spans="1:5">
      <c r="A140" s="46">
        <v>47818</v>
      </c>
      <c r="B140" s="116">
        <v>4.1660000000000004</v>
      </c>
    </row>
    <row r="141" spans="1:5" ht="15.75" thickBot="1">
      <c r="A141" s="47" t="s">
        <v>123</v>
      </c>
      <c r="B141" s="117"/>
    </row>
    <row r="142" spans="1:5">
      <c r="A142" s="48">
        <v>47849</v>
      </c>
      <c r="B142" s="118">
        <v>4.3760000000000003</v>
      </c>
      <c r="D142">
        <v>2031</v>
      </c>
      <c r="E142">
        <f>AVERAGE(B142:B165)</f>
        <v>3.6625000000000001</v>
      </c>
    </row>
    <row r="143" spans="1:5" ht="15.75" thickBot="1">
      <c r="A143" s="49" t="s">
        <v>124</v>
      </c>
      <c r="B143" s="119"/>
    </row>
    <row r="144" spans="1:5">
      <c r="A144" s="46">
        <v>47880</v>
      </c>
      <c r="B144" s="116">
        <v>4.2060000000000004</v>
      </c>
    </row>
    <row r="145" spans="1:2" ht="15.75" thickBot="1">
      <c r="A145" s="47" t="s">
        <v>125</v>
      </c>
      <c r="B145" s="117"/>
    </row>
    <row r="146" spans="1:2">
      <c r="A146" s="48">
        <v>47908</v>
      </c>
      <c r="B146" s="118">
        <v>3.806</v>
      </c>
    </row>
    <row r="147" spans="1:2" ht="15.75" thickBot="1">
      <c r="A147" s="49" t="s">
        <v>126</v>
      </c>
      <c r="B147" s="119"/>
    </row>
    <row r="148" spans="1:2">
      <c r="A148" s="46">
        <v>47939</v>
      </c>
      <c r="B148" s="116">
        <v>3.3069999999999999</v>
      </c>
    </row>
    <row r="149" spans="1:2" ht="15.75" thickBot="1">
      <c r="A149" s="47" t="s">
        <v>127</v>
      </c>
      <c r="B149" s="117"/>
    </row>
    <row r="150" spans="1:2">
      <c r="A150" s="48">
        <v>47969</v>
      </c>
      <c r="B150" s="118">
        <v>3.2850000000000001</v>
      </c>
    </row>
    <row r="151" spans="1:2" ht="15.75" thickBot="1">
      <c r="A151" s="49" t="s">
        <v>128</v>
      </c>
      <c r="B151" s="119"/>
    </row>
    <row r="152" spans="1:2">
      <c r="A152" s="46">
        <v>48000</v>
      </c>
      <c r="B152" s="116">
        <v>3.32</v>
      </c>
    </row>
    <row r="153" spans="1:2" ht="15.75" thickBot="1">
      <c r="A153" s="47" t="s">
        <v>129</v>
      </c>
      <c r="B153" s="117"/>
    </row>
    <row r="154" spans="1:2">
      <c r="A154" s="48">
        <v>48030</v>
      </c>
      <c r="B154" s="118">
        <v>3.36</v>
      </c>
    </row>
    <row r="155" spans="1:2" ht="15.75" thickBot="1">
      <c r="A155" s="49" t="s">
        <v>130</v>
      </c>
      <c r="B155" s="119"/>
    </row>
    <row r="156" spans="1:2">
      <c r="A156" s="46">
        <v>48061</v>
      </c>
      <c r="B156" s="116">
        <v>3.4</v>
      </c>
    </row>
    <row r="157" spans="1:2" ht="15.75" thickBot="1">
      <c r="A157" s="47" t="s">
        <v>131</v>
      </c>
      <c r="B157" s="117"/>
    </row>
    <row r="158" spans="1:2">
      <c r="A158" s="48">
        <v>48092</v>
      </c>
      <c r="B158" s="118">
        <v>3.415</v>
      </c>
    </row>
    <row r="159" spans="1:2" ht="15.75" thickBot="1">
      <c r="A159" s="49" t="s">
        <v>132</v>
      </c>
      <c r="B159" s="119"/>
    </row>
    <row r="160" spans="1:2">
      <c r="A160" s="46">
        <v>48122</v>
      </c>
      <c r="B160" s="116">
        <v>3.4849999999999999</v>
      </c>
    </row>
    <row r="161" spans="1:5" ht="15.75" thickBot="1">
      <c r="A161" s="47" t="s">
        <v>133</v>
      </c>
      <c r="B161" s="117"/>
    </row>
    <row r="162" spans="1:5">
      <c r="A162" s="48">
        <v>48153</v>
      </c>
      <c r="B162" s="118">
        <v>3.8050000000000002</v>
      </c>
    </row>
    <row r="163" spans="1:5" ht="15.75" thickBot="1">
      <c r="A163" s="49" t="s">
        <v>134</v>
      </c>
      <c r="B163" s="119"/>
    </row>
    <row r="164" spans="1:5">
      <c r="A164" s="46">
        <v>48183</v>
      </c>
      <c r="B164" s="116">
        <v>4.1849999999999996</v>
      </c>
    </row>
    <row r="165" spans="1:5" ht="15.75" thickBot="1">
      <c r="A165" s="47" t="s">
        <v>135</v>
      </c>
      <c r="B165" s="117"/>
    </row>
    <row r="166" spans="1:5">
      <c r="A166" s="48">
        <v>48214</v>
      </c>
      <c r="B166" s="118">
        <v>4.4009999999999998</v>
      </c>
      <c r="D166">
        <v>2032</v>
      </c>
      <c r="E166">
        <f>AVERAGE(B166:B189)</f>
        <v>3.7044999999999995</v>
      </c>
    </row>
    <row r="167" spans="1:5" ht="15.75" thickBot="1">
      <c r="A167" s="49" t="s">
        <v>136</v>
      </c>
      <c r="B167" s="119"/>
    </row>
    <row r="168" spans="1:5">
      <c r="A168" s="46">
        <v>48245</v>
      </c>
      <c r="B168" s="116">
        <v>4.2309999999999999</v>
      </c>
    </row>
    <row r="169" spans="1:5" ht="15.75" thickBot="1">
      <c r="A169" s="47" t="s">
        <v>137</v>
      </c>
      <c r="B169" s="117"/>
    </row>
    <row r="170" spans="1:5">
      <c r="A170" s="48">
        <v>48274</v>
      </c>
      <c r="B170" s="118">
        <v>3.831</v>
      </c>
    </row>
    <row r="171" spans="1:5" ht="15.75" thickBot="1">
      <c r="A171" s="49" t="s">
        <v>138</v>
      </c>
      <c r="B171" s="119"/>
    </row>
    <row r="172" spans="1:5">
      <c r="A172" s="46">
        <v>48305</v>
      </c>
      <c r="B172" s="116">
        <v>3.3860000000000001</v>
      </c>
    </row>
    <row r="173" spans="1:5" ht="15.75" thickBot="1">
      <c r="A173" s="47" t="s">
        <v>139</v>
      </c>
      <c r="B173" s="117"/>
    </row>
    <row r="174" spans="1:5">
      <c r="A174" s="48">
        <v>48335</v>
      </c>
      <c r="B174" s="118">
        <v>3.3639999999999999</v>
      </c>
    </row>
    <row r="175" spans="1:5" ht="15.75" thickBot="1">
      <c r="A175" s="49" t="s">
        <v>140</v>
      </c>
      <c r="B175" s="119"/>
    </row>
    <row r="176" spans="1:5">
      <c r="A176" s="46">
        <v>48366</v>
      </c>
      <c r="B176" s="116">
        <v>3.399</v>
      </c>
    </row>
    <row r="177" spans="1:5" ht="15.75" thickBot="1">
      <c r="A177" s="47" t="s">
        <v>141</v>
      </c>
      <c r="B177" s="117"/>
    </row>
    <row r="178" spans="1:5">
      <c r="A178" s="48">
        <v>48396</v>
      </c>
      <c r="B178" s="118">
        <v>3.4390000000000001</v>
      </c>
    </row>
    <row r="179" spans="1:5" ht="15.75" thickBot="1">
      <c r="A179" s="49" t="s">
        <v>142</v>
      </c>
      <c r="B179" s="119"/>
    </row>
    <row r="180" spans="1:5">
      <c r="A180" s="46">
        <v>48427</v>
      </c>
      <c r="B180" s="116">
        <v>3.4790000000000001</v>
      </c>
    </row>
    <row r="181" spans="1:5" ht="15.75" thickBot="1">
      <c r="A181" s="47" t="s">
        <v>143</v>
      </c>
      <c r="B181" s="117"/>
    </row>
    <row r="182" spans="1:5">
      <c r="A182" s="48">
        <v>48458</v>
      </c>
      <c r="B182" s="118">
        <v>3.4940000000000002</v>
      </c>
    </row>
    <row r="183" spans="1:5" ht="15.75" thickBot="1">
      <c r="A183" s="49" t="s">
        <v>144</v>
      </c>
      <c r="B183" s="119"/>
    </row>
    <row r="184" spans="1:5">
      <c r="A184" s="46">
        <v>48488</v>
      </c>
      <c r="B184" s="116">
        <v>3.54</v>
      </c>
    </row>
    <row r="185" spans="1:5" ht="15.75" thickBot="1">
      <c r="A185" s="47" t="s">
        <v>145</v>
      </c>
      <c r="B185" s="117"/>
    </row>
    <row r="186" spans="1:5">
      <c r="A186" s="48">
        <v>48519</v>
      </c>
      <c r="B186" s="118">
        <v>3.7450000000000001</v>
      </c>
    </row>
    <row r="187" spans="1:5" ht="15.75" thickBot="1">
      <c r="A187" s="49" t="s">
        <v>146</v>
      </c>
      <c r="B187" s="119"/>
    </row>
    <row r="188" spans="1:5">
      <c r="A188" s="46">
        <v>48549</v>
      </c>
      <c r="B188" s="116">
        <v>4.1449999999999996</v>
      </c>
    </row>
    <row r="189" spans="1:5" ht="15.75" thickBot="1">
      <c r="A189" s="47" t="s">
        <v>147</v>
      </c>
      <c r="B189" s="117"/>
    </row>
    <row r="190" spans="1:5">
      <c r="A190" s="48">
        <v>48580</v>
      </c>
      <c r="B190" s="118">
        <v>4.38</v>
      </c>
      <c r="D190">
        <v>2033</v>
      </c>
      <c r="E190">
        <f>AVERAGE(B190:B213)</f>
        <v>3.8155833333333331</v>
      </c>
    </row>
    <row r="191" spans="1:5" ht="15.75" thickBot="1">
      <c r="A191" s="49" t="s">
        <v>148</v>
      </c>
      <c r="B191" s="119"/>
    </row>
    <row r="192" spans="1:5">
      <c r="A192" s="46">
        <v>48611</v>
      </c>
      <c r="B192" s="116">
        <v>4.22</v>
      </c>
    </row>
    <row r="193" spans="1:2" ht="15.75" thickBot="1">
      <c r="A193" s="47" t="s">
        <v>149</v>
      </c>
      <c r="B193" s="117"/>
    </row>
    <row r="194" spans="1:2">
      <c r="A194" s="48">
        <v>48639</v>
      </c>
      <c r="B194" s="118">
        <v>3.87</v>
      </c>
    </row>
    <row r="195" spans="1:2" ht="15.75" thickBot="1">
      <c r="A195" s="49" t="s">
        <v>150</v>
      </c>
      <c r="B195" s="119"/>
    </row>
    <row r="196" spans="1:2">
      <c r="A196" s="46">
        <v>48670</v>
      </c>
      <c r="B196" s="116">
        <v>3.54</v>
      </c>
    </row>
    <row r="197" spans="1:2" ht="15.75" thickBot="1">
      <c r="A197" s="47" t="s">
        <v>151</v>
      </c>
      <c r="B197" s="117"/>
    </row>
    <row r="198" spans="1:2">
      <c r="A198" s="48">
        <v>48700</v>
      </c>
      <c r="B198" s="118">
        <v>3.5179999999999998</v>
      </c>
    </row>
    <row r="199" spans="1:2" ht="15.75" thickBot="1">
      <c r="A199" s="49" t="s">
        <v>152</v>
      </c>
      <c r="B199" s="119"/>
    </row>
    <row r="200" spans="1:2">
      <c r="A200" s="46">
        <v>48731</v>
      </c>
      <c r="B200" s="116">
        <v>3.5529999999999999</v>
      </c>
    </row>
    <row r="201" spans="1:2" ht="15.75" thickBot="1">
      <c r="A201" s="47" t="s">
        <v>153</v>
      </c>
      <c r="B201" s="117"/>
    </row>
    <row r="202" spans="1:2">
      <c r="A202" s="48">
        <v>48761</v>
      </c>
      <c r="B202" s="118">
        <v>3.593</v>
      </c>
    </row>
    <row r="203" spans="1:2" ht="15.75" thickBot="1">
      <c r="A203" s="49" t="s">
        <v>154</v>
      </c>
      <c r="B203" s="119"/>
    </row>
    <row r="204" spans="1:2">
      <c r="A204" s="46">
        <v>48792</v>
      </c>
      <c r="B204" s="116">
        <v>3.633</v>
      </c>
    </row>
    <row r="205" spans="1:2" ht="15.75" thickBot="1">
      <c r="A205" s="47" t="s">
        <v>155</v>
      </c>
      <c r="B205" s="117"/>
    </row>
    <row r="206" spans="1:2">
      <c r="A206" s="48">
        <v>48823</v>
      </c>
      <c r="B206" s="118">
        <v>3.6480000000000001</v>
      </c>
    </row>
    <row r="207" spans="1:2" ht="15.75" thickBot="1">
      <c r="A207" s="49" t="s">
        <v>156</v>
      </c>
      <c r="B207" s="119"/>
    </row>
    <row r="208" spans="1:2">
      <c r="A208" s="46">
        <v>48853</v>
      </c>
      <c r="B208" s="116">
        <v>3.694</v>
      </c>
    </row>
    <row r="209" spans="1:5" ht="15.75" thickBot="1">
      <c r="A209" s="47" t="s">
        <v>157</v>
      </c>
      <c r="B209" s="117"/>
    </row>
    <row r="210" spans="1:5">
      <c r="A210" s="48">
        <v>48884</v>
      </c>
      <c r="B210" s="118">
        <v>3.8690000000000002</v>
      </c>
    </row>
    <row r="211" spans="1:5" ht="15.75" thickBot="1">
      <c r="A211" s="49" t="s">
        <v>158</v>
      </c>
      <c r="B211" s="119"/>
    </row>
    <row r="212" spans="1:5">
      <c r="A212" s="46">
        <v>48914</v>
      </c>
      <c r="B212" s="116">
        <v>4.2690000000000001</v>
      </c>
    </row>
    <row r="213" spans="1:5" ht="15.75" thickBot="1">
      <c r="A213" s="47" t="s">
        <v>159</v>
      </c>
      <c r="B213" s="117"/>
    </row>
    <row r="214" spans="1:5">
      <c r="A214" s="48">
        <v>48945</v>
      </c>
      <c r="B214" s="118">
        <v>4.4939999999999998</v>
      </c>
      <c r="D214">
        <v>2034</v>
      </c>
      <c r="E214">
        <f>AVERAGE(B214:B237)</f>
        <v>3.9754166666666673</v>
      </c>
    </row>
    <row r="215" spans="1:5" ht="15.75" thickBot="1">
      <c r="A215" s="49" t="s">
        <v>160</v>
      </c>
      <c r="B215" s="119"/>
    </row>
    <row r="216" spans="1:5">
      <c r="A216" s="46">
        <v>48976</v>
      </c>
      <c r="B216" s="116">
        <v>4.3339999999999996</v>
      </c>
    </row>
    <row r="217" spans="1:5" ht="15.75" thickBot="1">
      <c r="A217" s="47" t="s">
        <v>161</v>
      </c>
      <c r="B217" s="117"/>
    </row>
    <row r="218" spans="1:5">
      <c r="A218" s="48">
        <v>49004</v>
      </c>
      <c r="B218" s="118">
        <v>4.0590000000000002</v>
      </c>
    </row>
    <row r="219" spans="1:5" ht="15.75" thickBot="1">
      <c r="A219" s="49" t="s">
        <v>162</v>
      </c>
      <c r="B219" s="119"/>
    </row>
    <row r="220" spans="1:5">
      <c r="A220" s="46">
        <v>49035</v>
      </c>
      <c r="B220" s="116">
        <v>3.7290000000000001</v>
      </c>
    </row>
    <row r="221" spans="1:5" ht="15.75" thickBot="1">
      <c r="A221" s="47" t="s">
        <v>163</v>
      </c>
      <c r="B221" s="117"/>
    </row>
    <row r="222" spans="1:5">
      <c r="A222" s="48">
        <v>49065</v>
      </c>
      <c r="B222" s="118">
        <v>3.7069999999999999</v>
      </c>
    </row>
    <row r="223" spans="1:5" ht="15.75" thickBot="1">
      <c r="A223" s="49" t="s">
        <v>164</v>
      </c>
      <c r="B223" s="119"/>
    </row>
    <row r="224" spans="1:5">
      <c r="A224" s="46">
        <v>49096</v>
      </c>
      <c r="B224" s="116">
        <v>3.742</v>
      </c>
    </row>
    <row r="225" spans="1:5" ht="15.75" thickBot="1">
      <c r="A225" s="47" t="s">
        <v>165</v>
      </c>
      <c r="B225" s="117"/>
    </row>
    <row r="226" spans="1:5">
      <c r="A226" s="48">
        <v>49126</v>
      </c>
      <c r="B226" s="118">
        <v>3.782</v>
      </c>
    </row>
    <row r="227" spans="1:5" ht="15.75" thickBot="1">
      <c r="A227" s="49" t="s">
        <v>166</v>
      </c>
      <c r="B227" s="119"/>
    </row>
    <row r="228" spans="1:5">
      <c r="A228" s="46">
        <v>49157</v>
      </c>
      <c r="B228" s="116">
        <v>3.8220000000000001</v>
      </c>
    </row>
    <row r="229" spans="1:5" ht="15.75" thickBot="1">
      <c r="A229" s="47" t="s">
        <v>167</v>
      </c>
      <c r="B229" s="117"/>
    </row>
    <row r="230" spans="1:5">
      <c r="A230" s="48">
        <v>49188</v>
      </c>
      <c r="B230" s="118">
        <v>3.8370000000000002</v>
      </c>
    </row>
    <row r="231" spans="1:5" ht="15.75" thickBot="1">
      <c r="A231" s="49" t="s">
        <v>168</v>
      </c>
      <c r="B231" s="119"/>
    </row>
    <row r="232" spans="1:5">
      <c r="A232" s="46">
        <v>49218</v>
      </c>
      <c r="B232" s="116">
        <v>3.883</v>
      </c>
    </row>
    <row r="233" spans="1:5" ht="15.75" thickBot="1">
      <c r="A233" s="47" t="s">
        <v>169</v>
      </c>
      <c r="B233" s="117"/>
    </row>
    <row r="234" spans="1:5">
      <c r="A234" s="48">
        <v>49249</v>
      </c>
      <c r="B234" s="118">
        <v>4.0330000000000004</v>
      </c>
    </row>
    <row r="235" spans="1:5" ht="15.75" thickBot="1">
      <c r="A235" s="49" t="s">
        <v>170</v>
      </c>
      <c r="B235" s="119"/>
    </row>
    <row r="236" spans="1:5">
      <c r="A236" s="46">
        <v>49279</v>
      </c>
      <c r="B236" s="116">
        <v>4.2830000000000004</v>
      </c>
    </row>
    <row r="237" spans="1:5" ht="15.75" thickBot="1">
      <c r="A237" s="47" t="s">
        <v>171</v>
      </c>
      <c r="B237" s="117"/>
    </row>
    <row r="238" spans="1:5">
      <c r="A238" s="48">
        <v>49310</v>
      </c>
      <c r="B238" s="118">
        <v>4.4829999999999997</v>
      </c>
      <c r="D238">
        <v>2035</v>
      </c>
      <c r="E238">
        <f>AVERAGE(B238:B261)</f>
        <v>4.1764166666666673</v>
      </c>
    </row>
    <row r="239" spans="1:5" ht="15.75" thickBot="1">
      <c r="A239" s="49" t="s">
        <v>172</v>
      </c>
      <c r="B239" s="119"/>
    </row>
    <row r="240" spans="1:5">
      <c r="A240" s="46">
        <v>49341</v>
      </c>
      <c r="B240" s="116">
        <v>4.4180000000000001</v>
      </c>
    </row>
    <row r="241" spans="1:2" ht="15.75" thickBot="1">
      <c r="A241" s="47" t="s">
        <v>173</v>
      </c>
      <c r="B241" s="117"/>
    </row>
    <row r="242" spans="1:2">
      <c r="A242" s="48">
        <v>49369</v>
      </c>
      <c r="B242" s="118">
        <v>4.3179999999999996</v>
      </c>
    </row>
    <row r="243" spans="1:2" ht="15.75" thickBot="1">
      <c r="A243" s="49" t="s">
        <v>174</v>
      </c>
      <c r="B243" s="119"/>
    </row>
    <row r="244" spans="1:2">
      <c r="A244" s="46">
        <v>49400</v>
      </c>
      <c r="B244" s="116">
        <v>3.988</v>
      </c>
    </row>
    <row r="245" spans="1:2" ht="15.75" thickBot="1">
      <c r="A245" s="47" t="s">
        <v>175</v>
      </c>
      <c r="B245" s="117"/>
    </row>
    <row r="246" spans="1:2">
      <c r="A246" s="48">
        <v>49430</v>
      </c>
      <c r="B246" s="118">
        <v>3.9660000000000002</v>
      </c>
    </row>
    <row r="247" spans="1:2" ht="15.75" thickBot="1">
      <c r="A247" s="49" t="s">
        <v>176</v>
      </c>
      <c r="B247" s="119"/>
    </row>
    <row r="248" spans="1:2">
      <c r="A248" s="46">
        <v>49461</v>
      </c>
      <c r="B248" s="116">
        <v>4.0010000000000003</v>
      </c>
    </row>
    <row r="249" spans="1:2" ht="15.75" thickBot="1">
      <c r="A249" s="47" t="s">
        <v>177</v>
      </c>
      <c r="B249" s="117"/>
    </row>
    <row r="250" spans="1:2">
      <c r="A250" s="48">
        <v>49491</v>
      </c>
      <c r="B250" s="118">
        <v>4.0410000000000004</v>
      </c>
    </row>
    <row r="251" spans="1:2" ht="15.75" thickBot="1">
      <c r="A251" s="49" t="s">
        <v>178</v>
      </c>
      <c r="B251" s="119"/>
    </row>
    <row r="252" spans="1:2">
      <c r="A252" s="46">
        <v>49522</v>
      </c>
      <c r="B252" s="116">
        <v>4.0810000000000004</v>
      </c>
    </row>
    <row r="253" spans="1:2" ht="15.75" thickBot="1">
      <c r="A253" s="47" t="s">
        <v>179</v>
      </c>
      <c r="B253" s="117"/>
    </row>
    <row r="254" spans="1:2">
      <c r="A254" s="48">
        <v>49553</v>
      </c>
      <c r="B254" s="118">
        <v>4.0960000000000001</v>
      </c>
    </row>
    <row r="255" spans="1:2" ht="15.75" thickBot="1">
      <c r="A255" s="49" t="s">
        <v>180</v>
      </c>
      <c r="B255" s="119"/>
    </row>
    <row r="256" spans="1:2">
      <c r="A256" s="46">
        <v>49583</v>
      </c>
      <c r="B256" s="116">
        <v>4.1420000000000003</v>
      </c>
    </row>
    <row r="257" spans="1:2" ht="15.75" thickBot="1">
      <c r="A257" s="47" t="s">
        <v>181</v>
      </c>
      <c r="B257" s="117"/>
    </row>
    <row r="258" spans="1:2">
      <c r="A258" s="48">
        <v>49614</v>
      </c>
      <c r="B258" s="118">
        <v>4.2140000000000004</v>
      </c>
    </row>
    <row r="259" spans="1:2" ht="15.75" thickBot="1">
      <c r="A259" s="49" t="s">
        <v>182</v>
      </c>
      <c r="B259" s="119"/>
    </row>
    <row r="260" spans="1:2">
      <c r="A260" s="50">
        <v>49644</v>
      </c>
      <c r="B260" s="120">
        <v>4.3689999999999998</v>
      </c>
    </row>
    <row r="261" spans="1:2" ht="15.75" thickBot="1">
      <c r="A261" s="51" t="s">
        <v>183</v>
      </c>
      <c r="B261" s="121"/>
    </row>
  </sheetData>
  <mergeCells count="111">
    <mergeCell ref="B252:B253"/>
    <mergeCell ref="B254:B255"/>
    <mergeCell ref="B256:B257"/>
    <mergeCell ref="B258:B259"/>
    <mergeCell ref="B260:B261"/>
    <mergeCell ref="B240:B241"/>
    <mergeCell ref="B242:B243"/>
    <mergeCell ref="B244:B245"/>
    <mergeCell ref="B246:B247"/>
    <mergeCell ref="B248:B249"/>
    <mergeCell ref="B250:B251"/>
    <mergeCell ref="B228:B229"/>
    <mergeCell ref="B230:B231"/>
    <mergeCell ref="B232:B233"/>
    <mergeCell ref="B234:B235"/>
    <mergeCell ref="B236:B237"/>
    <mergeCell ref="B238:B239"/>
    <mergeCell ref="B216:B217"/>
    <mergeCell ref="B218:B219"/>
    <mergeCell ref="B220:B221"/>
    <mergeCell ref="B222:B223"/>
    <mergeCell ref="B224:B225"/>
    <mergeCell ref="B226:B227"/>
    <mergeCell ref="B204:B205"/>
    <mergeCell ref="B206:B207"/>
    <mergeCell ref="B208:B209"/>
    <mergeCell ref="B210:B211"/>
    <mergeCell ref="B212:B213"/>
    <mergeCell ref="B214:B215"/>
    <mergeCell ref="B192:B193"/>
    <mergeCell ref="B194:B195"/>
    <mergeCell ref="B196:B197"/>
    <mergeCell ref="B198:B199"/>
    <mergeCell ref="B200:B201"/>
    <mergeCell ref="B202:B203"/>
    <mergeCell ref="B180:B181"/>
    <mergeCell ref="B182:B183"/>
    <mergeCell ref="B184:B185"/>
    <mergeCell ref="B186:B187"/>
    <mergeCell ref="B188:B189"/>
    <mergeCell ref="B190:B191"/>
    <mergeCell ref="B168:B169"/>
    <mergeCell ref="B170:B171"/>
    <mergeCell ref="B172:B173"/>
    <mergeCell ref="B174:B175"/>
    <mergeCell ref="B176:B177"/>
    <mergeCell ref="B178:B179"/>
    <mergeCell ref="B156:B157"/>
    <mergeCell ref="B158:B159"/>
    <mergeCell ref="B160:B161"/>
    <mergeCell ref="B162:B163"/>
    <mergeCell ref="B164:B165"/>
    <mergeCell ref="B166:B167"/>
    <mergeCell ref="B144:B145"/>
    <mergeCell ref="B146:B147"/>
    <mergeCell ref="B148:B149"/>
    <mergeCell ref="B150:B151"/>
    <mergeCell ref="B152:B153"/>
    <mergeCell ref="B154:B155"/>
    <mergeCell ref="B132:B133"/>
    <mergeCell ref="B134:B135"/>
    <mergeCell ref="B136:B137"/>
    <mergeCell ref="B138:B139"/>
    <mergeCell ref="B140:B141"/>
    <mergeCell ref="B142:B143"/>
    <mergeCell ref="B120:B121"/>
    <mergeCell ref="B122:B123"/>
    <mergeCell ref="B124:B125"/>
    <mergeCell ref="B126:B127"/>
    <mergeCell ref="B128:B129"/>
    <mergeCell ref="B130:B131"/>
    <mergeCell ref="B108:B109"/>
    <mergeCell ref="B110:B111"/>
    <mergeCell ref="B112:B113"/>
    <mergeCell ref="B114:B115"/>
    <mergeCell ref="B116:B117"/>
    <mergeCell ref="B118:B119"/>
    <mergeCell ref="B96:B97"/>
    <mergeCell ref="B98:B99"/>
    <mergeCell ref="B100:B101"/>
    <mergeCell ref="B102:B103"/>
    <mergeCell ref="B104:B105"/>
    <mergeCell ref="B106:B107"/>
    <mergeCell ref="B88:B89"/>
    <mergeCell ref="B90:B91"/>
    <mergeCell ref="B92:B93"/>
    <mergeCell ref="B94:B95"/>
    <mergeCell ref="B72:B73"/>
    <mergeCell ref="B74:B75"/>
    <mergeCell ref="B76:B77"/>
    <mergeCell ref="B78:B79"/>
    <mergeCell ref="B80:B81"/>
    <mergeCell ref="B82:B83"/>
    <mergeCell ref="B70:B71"/>
    <mergeCell ref="B48:B49"/>
    <mergeCell ref="B50:B51"/>
    <mergeCell ref="B52:B53"/>
    <mergeCell ref="B54:B55"/>
    <mergeCell ref="B56:B57"/>
    <mergeCell ref="B58:B59"/>
    <mergeCell ref="B84:B85"/>
    <mergeCell ref="B86:B87"/>
    <mergeCell ref="B40:B41"/>
    <mergeCell ref="B42:B43"/>
    <mergeCell ref="B44:B45"/>
    <mergeCell ref="B46:B47"/>
    <mergeCell ref="B60:B61"/>
    <mergeCell ref="B62:B63"/>
    <mergeCell ref="B64:B65"/>
    <mergeCell ref="B66:B67"/>
    <mergeCell ref="B68:B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45F2-D886-433B-A0FF-E558D13BFF2B}">
  <dimension ref="A1:B3"/>
  <sheetViews>
    <sheetView workbookViewId="0">
      <selection activeCell="A4" sqref="A4"/>
    </sheetView>
  </sheetViews>
  <sheetFormatPr defaultRowHeight="15"/>
  <cols>
    <col min="1" max="1" width="27.140625" bestFit="1" customWidth="1"/>
    <col min="2" max="2" width="63" bestFit="1" customWidth="1"/>
  </cols>
  <sheetData>
    <row r="1" spans="1:2">
      <c r="A1" s="44" t="s">
        <v>71</v>
      </c>
      <c r="B1" s="44" t="s">
        <v>72</v>
      </c>
    </row>
    <row r="2" spans="1:2">
      <c r="A2" s="45" t="s">
        <v>70</v>
      </c>
      <c r="B2" s="45" t="s">
        <v>69</v>
      </c>
    </row>
    <row r="3" spans="1:2">
      <c r="A3" t="s">
        <v>329</v>
      </c>
      <c r="B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56ED-1982-445C-BB57-3C5ECB83FE22}">
  <dimension ref="A1:G149"/>
  <sheetViews>
    <sheetView workbookViewId="0">
      <selection activeCell="E34" sqref="E34"/>
    </sheetView>
  </sheetViews>
  <sheetFormatPr defaultColWidth="20.7109375" defaultRowHeight="15"/>
  <cols>
    <col min="1" max="1" width="27.28515625" style="31" customWidth="1"/>
    <col min="2" max="2" width="20.7109375" style="31" customWidth="1"/>
    <col min="3" max="3" width="9.140625"/>
    <col min="4" max="4" width="44.140625" style="31" customWidth="1"/>
    <col min="5" max="5" width="20.7109375" style="31" customWidth="1"/>
    <col min="6" max="16384" width="20.7109375" style="31"/>
  </cols>
  <sheetData>
    <row r="1" spans="1:7">
      <c r="A1" s="31" t="s">
        <v>49</v>
      </c>
      <c r="E1" t="s">
        <v>61</v>
      </c>
      <c r="F1"/>
    </row>
    <row r="2" spans="1:7">
      <c r="A2" s="31" t="s">
        <v>50</v>
      </c>
      <c r="E2" t="s">
        <v>62</v>
      </c>
      <c r="F2"/>
    </row>
    <row r="3" spans="1:7">
      <c r="A3" s="31" t="s">
        <v>51</v>
      </c>
      <c r="E3" t="s">
        <v>63</v>
      </c>
      <c r="F3"/>
    </row>
    <row r="4" spans="1:7">
      <c r="A4" s="31" t="s">
        <v>52</v>
      </c>
      <c r="E4" t="s">
        <v>64</v>
      </c>
      <c r="F4"/>
    </row>
    <row r="5" spans="1:7">
      <c r="A5" s="31" t="s">
        <v>53</v>
      </c>
      <c r="E5" t="s">
        <v>53</v>
      </c>
      <c r="F5"/>
    </row>
    <row r="6" spans="1:7">
      <c r="A6" s="31" t="s">
        <v>54</v>
      </c>
      <c r="E6" t="s">
        <v>54</v>
      </c>
      <c r="F6"/>
    </row>
    <row r="7" spans="1:7">
      <c r="E7"/>
      <c r="F7"/>
    </row>
    <row r="8" spans="1:7">
      <c r="A8" s="31" t="s">
        <v>55</v>
      </c>
      <c r="B8" s="31" t="s">
        <v>56</v>
      </c>
      <c r="E8" t="s">
        <v>65</v>
      </c>
      <c r="F8" t="s">
        <v>66</v>
      </c>
    </row>
    <row r="9" spans="1:7">
      <c r="A9" s="31" t="s">
        <v>57</v>
      </c>
      <c r="B9" s="31" t="s">
        <v>58</v>
      </c>
      <c r="E9"/>
      <c r="F9"/>
    </row>
    <row r="10" spans="1:7">
      <c r="E10" t="s">
        <v>59</v>
      </c>
      <c r="F10"/>
    </row>
    <row r="11" spans="1:7">
      <c r="A11" s="31" t="s">
        <v>59</v>
      </c>
      <c r="E11" t="s">
        <v>60</v>
      </c>
      <c r="F11" t="s">
        <v>65</v>
      </c>
    </row>
    <row r="12" spans="1:7">
      <c r="A12" s="31" t="s">
        <v>60</v>
      </c>
      <c r="B12" s="31" t="s">
        <v>55</v>
      </c>
      <c r="E12" s="34">
        <v>40909</v>
      </c>
      <c r="F12" s="6">
        <v>2.67</v>
      </c>
      <c r="G12" s="40">
        <f>AVERAGE(F12:F23)</f>
        <v>2.7524999999999999</v>
      </c>
    </row>
    <row r="13" spans="1:7">
      <c r="A13" s="32">
        <v>40909</v>
      </c>
      <c r="B13" s="33">
        <v>12.33</v>
      </c>
      <c r="D13" s="40">
        <f>AVERAGE(B13:B24)</f>
        <v>11.980833333333331</v>
      </c>
      <c r="E13" s="34">
        <v>40940</v>
      </c>
      <c r="F13" s="6">
        <v>2.5099999999999998</v>
      </c>
    </row>
    <row r="14" spans="1:7">
      <c r="A14" s="32">
        <v>40940</v>
      </c>
      <c r="B14" s="33">
        <v>12.22</v>
      </c>
      <c r="E14" s="34">
        <v>40969</v>
      </c>
      <c r="F14" s="6">
        <v>2.17</v>
      </c>
    </row>
    <row r="15" spans="1:7">
      <c r="A15" s="32">
        <v>40969</v>
      </c>
      <c r="B15" s="33">
        <v>12.51</v>
      </c>
      <c r="E15" s="34">
        <v>41000</v>
      </c>
      <c r="F15" s="6">
        <v>1.95</v>
      </c>
    </row>
    <row r="16" spans="1:7">
      <c r="A16" s="32">
        <v>41000</v>
      </c>
      <c r="B16" s="33">
        <v>12.57</v>
      </c>
      <c r="E16" s="34">
        <v>41030</v>
      </c>
      <c r="F16" s="6">
        <v>2.4300000000000002</v>
      </c>
    </row>
    <row r="17" spans="1:7">
      <c r="A17" s="32">
        <v>41030</v>
      </c>
      <c r="B17" s="33">
        <v>12.57</v>
      </c>
      <c r="E17" s="34">
        <v>41061</v>
      </c>
      <c r="F17" s="6">
        <v>2.46</v>
      </c>
    </row>
    <row r="18" spans="1:7">
      <c r="A18" s="32">
        <v>41061</v>
      </c>
      <c r="B18" s="33">
        <v>12.56</v>
      </c>
      <c r="E18" s="34">
        <v>41091</v>
      </c>
      <c r="F18" s="6">
        <v>2.95</v>
      </c>
    </row>
    <row r="19" spans="1:7">
      <c r="A19" s="32">
        <v>41091</v>
      </c>
      <c r="B19" s="33">
        <v>11.38</v>
      </c>
      <c r="E19" s="34">
        <v>41122</v>
      </c>
      <c r="F19" s="6">
        <v>2.84</v>
      </c>
    </row>
    <row r="20" spans="1:7">
      <c r="A20" s="32">
        <v>41122</v>
      </c>
      <c r="B20" s="33">
        <v>11.4</v>
      </c>
      <c r="E20" s="34">
        <v>41153</v>
      </c>
      <c r="F20" s="6">
        <v>2.85</v>
      </c>
    </row>
    <row r="21" spans="1:7">
      <c r="A21" s="32">
        <v>41153</v>
      </c>
      <c r="B21" s="33">
        <v>11.38</v>
      </c>
      <c r="E21" s="34">
        <v>41183</v>
      </c>
      <c r="F21" s="6">
        <v>3.32</v>
      </c>
    </row>
    <row r="22" spans="1:7">
      <c r="A22" s="32">
        <v>41183</v>
      </c>
      <c r="B22" s="33">
        <v>11.57</v>
      </c>
      <c r="E22" s="34">
        <v>41214</v>
      </c>
      <c r="F22" s="6">
        <v>3.54</v>
      </c>
    </row>
    <row r="23" spans="1:7">
      <c r="A23" s="32">
        <v>41214</v>
      </c>
      <c r="B23" s="33">
        <v>11.64</v>
      </c>
      <c r="E23" s="34">
        <v>41244</v>
      </c>
      <c r="F23" s="6">
        <v>3.34</v>
      </c>
    </row>
    <row r="24" spans="1:7">
      <c r="A24" s="32">
        <v>41244</v>
      </c>
      <c r="B24" s="33">
        <v>11.64</v>
      </c>
      <c r="E24" s="34">
        <v>41275</v>
      </c>
      <c r="F24" s="6">
        <v>3.33</v>
      </c>
      <c r="G24" s="40">
        <f>AVERAGE(F24:F35)</f>
        <v>3.7283333333333335</v>
      </c>
    </row>
    <row r="25" spans="1:7">
      <c r="A25" s="32">
        <v>41275</v>
      </c>
      <c r="B25" s="33">
        <v>11.39</v>
      </c>
      <c r="D25" s="40">
        <f>AVERAGE(B25:B36)</f>
        <v>11.189166666666667</v>
      </c>
      <c r="E25" s="34">
        <v>41306</v>
      </c>
      <c r="F25" s="6">
        <v>3.33</v>
      </c>
    </row>
    <row r="26" spans="1:7">
      <c r="A26" s="32">
        <v>41306</v>
      </c>
      <c r="B26" s="33">
        <v>11.36</v>
      </c>
      <c r="E26" s="34">
        <v>41334</v>
      </c>
      <c r="F26" s="6">
        <v>3.81</v>
      </c>
    </row>
    <row r="27" spans="1:7">
      <c r="A27" s="32">
        <v>41334</v>
      </c>
      <c r="B27" s="33">
        <v>11.36</v>
      </c>
      <c r="E27" s="34">
        <v>41365</v>
      </c>
      <c r="F27" s="6">
        <v>4.17</v>
      </c>
    </row>
    <row r="28" spans="1:7">
      <c r="A28" s="32">
        <v>41365</v>
      </c>
      <c r="B28" s="33">
        <v>11.64</v>
      </c>
      <c r="E28" s="34">
        <v>41395</v>
      </c>
      <c r="F28" s="6">
        <v>4.04</v>
      </c>
    </row>
    <row r="29" spans="1:7">
      <c r="A29" s="32">
        <v>41395</v>
      </c>
      <c r="B29" s="33">
        <v>11.41</v>
      </c>
      <c r="E29" s="34">
        <v>41426</v>
      </c>
      <c r="F29" s="6">
        <v>3.83</v>
      </c>
    </row>
    <row r="30" spans="1:7">
      <c r="A30" s="32">
        <v>41426</v>
      </c>
      <c r="B30" s="33">
        <v>11.32</v>
      </c>
      <c r="E30" s="34">
        <v>41456</v>
      </c>
      <c r="F30" s="6">
        <v>3.62</v>
      </c>
    </row>
    <row r="31" spans="1:7">
      <c r="A31" s="32">
        <v>41456</v>
      </c>
      <c r="B31" s="33">
        <v>10.98</v>
      </c>
      <c r="E31" s="34">
        <v>41487</v>
      </c>
      <c r="F31" s="6">
        <v>3.43</v>
      </c>
    </row>
    <row r="32" spans="1:7">
      <c r="A32" s="32">
        <v>41487</v>
      </c>
      <c r="B32" s="33">
        <v>10.97</v>
      </c>
      <c r="E32" s="34">
        <v>41518</v>
      </c>
      <c r="F32" s="6">
        <v>3.62</v>
      </c>
    </row>
    <row r="33" spans="1:7">
      <c r="A33" s="32">
        <v>41518</v>
      </c>
      <c r="B33" s="33">
        <v>10.96</v>
      </c>
      <c r="E33" s="34">
        <v>41548</v>
      </c>
      <c r="F33" s="6">
        <v>3.68</v>
      </c>
    </row>
    <row r="34" spans="1:7">
      <c r="A34" s="32">
        <v>41548</v>
      </c>
      <c r="B34" s="33">
        <v>10.93</v>
      </c>
      <c r="E34" s="34">
        <v>41579</v>
      </c>
      <c r="F34" s="6">
        <v>3.64</v>
      </c>
    </row>
    <row r="35" spans="1:7">
      <c r="A35" s="32">
        <v>41579</v>
      </c>
      <c r="B35" s="33">
        <v>10.96</v>
      </c>
      <c r="E35" s="34">
        <v>41609</v>
      </c>
      <c r="F35" s="6">
        <v>4.24</v>
      </c>
    </row>
    <row r="36" spans="1:7">
      <c r="A36" s="32">
        <v>41609</v>
      </c>
      <c r="B36" s="33">
        <v>10.99</v>
      </c>
      <c r="E36" s="34">
        <v>41640</v>
      </c>
      <c r="F36" s="6">
        <v>4.71</v>
      </c>
      <c r="G36" s="40">
        <f>AVERAGE(F36:F47)</f>
        <v>4.3916666666666666</v>
      </c>
    </row>
    <row r="37" spans="1:7">
      <c r="A37" s="32">
        <v>41640</v>
      </c>
      <c r="B37" s="33">
        <v>10.9</v>
      </c>
      <c r="D37" s="40">
        <f>AVERAGE(B37:B48)</f>
        <v>10.463333333333335</v>
      </c>
      <c r="E37" s="34">
        <v>41671</v>
      </c>
      <c r="F37" s="6">
        <v>6</v>
      </c>
    </row>
    <row r="38" spans="1:7">
      <c r="A38" s="32">
        <v>41671</v>
      </c>
      <c r="B38" s="33">
        <v>10.83</v>
      </c>
      <c r="E38" s="34">
        <v>41699</v>
      </c>
      <c r="F38" s="6">
        <v>4.9000000000000004</v>
      </c>
    </row>
    <row r="39" spans="1:7">
      <c r="A39" s="32">
        <v>41699</v>
      </c>
      <c r="B39" s="33">
        <v>10.69</v>
      </c>
      <c r="E39" s="34">
        <v>41730</v>
      </c>
      <c r="F39" s="6">
        <v>4.66</v>
      </c>
    </row>
    <row r="40" spans="1:7">
      <c r="A40" s="32">
        <v>41730</v>
      </c>
      <c r="B40" s="33">
        <v>10.79</v>
      </c>
      <c r="E40" s="34">
        <v>41760</v>
      </c>
      <c r="F40" s="6">
        <v>4.58</v>
      </c>
    </row>
    <row r="41" spans="1:7">
      <c r="A41" s="32">
        <v>41760</v>
      </c>
      <c r="B41" s="33">
        <v>10.64</v>
      </c>
      <c r="E41" s="34">
        <v>41791</v>
      </c>
      <c r="F41" s="6">
        <v>4.59</v>
      </c>
    </row>
    <row r="42" spans="1:7">
      <c r="A42" s="32">
        <v>41791</v>
      </c>
      <c r="B42" s="33">
        <v>10.52</v>
      </c>
      <c r="E42" s="34">
        <v>41821</v>
      </c>
      <c r="F42" s="6">
        <v>4.05</v>
      </c>
    </row>
    <row r="43" spans="1:7">
      <c r="A43" s="32">
        <v>41821</v>
      </c>
      <c r="B43" s="33">
        <v>9.4</v>
      </c>
      <c r="E43" s="34">
        <v>41852</v>
      </c>
      <c r="F43" s="6">
        <v>3.91</v>
      </c>
    </row>
    <row r="44" spans="1:7">
      <c r="A44" s="32">
        <v>41852</v>
      </c>
      <c r="B44" s="33">
        <v>10.38</v>
      </c>
      <c r="E44" s="34">
        <v>41883</v>
      </c>
      <c r="F44" s="6">
        <v>3.92</v>
      </c>
    </row>
    <row r="45" spans="1:7">
      <c r="A45" s="32">
        <v>41883</v>
      </c>
      <c r="B45" s="33">
        <v>10.4</v>
      </c>
      <c r="E45" s="34">
        <v>41913</v>
      </c>
      <c r="F45" s="6">
        <v>3.78</v>
      </c>
    </row>
    <row r="46" spans="1:7">
      <c r="A46" s="32">
        <v>41913</v>
      </c>
      <c r="B46" s="33">
        <v>10.4</v>
      </c>
      <c r="E46" s="34">
        <v>41944</v>
      </c>
      <c r="F46" s="6">
        <v>4.12</v>
      </c>
    </row>
    <row r="47" spans="1:7">
      <c r="A47" s="32">
        <v>41944</v>
      </c>
      <c r="B47" s="33">
        <v>10.16</v>
      </c>
      <c r="E47" s="34">
        <v>41974</v>
      </c>
      <c r="F47" s="6">
        <v>3.48</v>
      </c>
    </row>
    <row r="48" spans="1:7">
      <c r="A48" s="32">
        <v>41974</v>
      </c>
      <c r="B48" s="33">
        <v>10.45</v>
      </c>
      <c r="E48" s="34">
        <v>42005</v>
      </c>
      <c r="F48" s="6">
        <v>2.99</v>
      </c>
      <c r="G48" s="40">
        <f>AVERAGE(F48:F59)</f>
        <v>2.63</v>
      </c>
    </row>
    <row r="49" spans="1:7">
      <c r="A49" s="32">
        <v>42005</v>
      </c>
      <c r="B49" s="33">
        <v>9.5</v>
      </c>
      <c r="D49" s="40">
        <f>AVERAGE(B49:B60)</f>
        <v>7.3049999999999997</v>
      </c>
      <c r="E49" s="34">
        <v>42036</v>
      </c>
      <c r="F49" s="6">
        <v>2.87</v>
      </c>
    </row>
    <row r="50" spans="1:7">
      <c r="A50" s="32">
        <v>42036</v>
      </c>
      <c r="B50" s="33">
        <v>9.2899999999999991</v>
      </c>
      <c r="E50" s="34">
        <v>42064</v>
      </c>
      <c r="F50" s="6">
        <v>2.83</v>
      </c>
    </row>
    <row r="51" spans="1:7">
      <c r="A51" s="32">
        <v>42064</v>
      </c>
      <c r="B51" s="33">
        <v>9.2899999999999991</v>
      </c>
      <c r="E51" s="34">
        <v>42095</v>
      </c>
      <c r="F51" s="6">
        <v>2.61</v>
      </c>
    </row>
    <row r="52" spans="1:7">
      <c r="A52" s="32">
        <v>42095</v>
      </c>
      <c r="B52" s="33">
        <v>7.39</v>
      </c>
      <c r="E52" s="34">
        <v>42125</v>
      </c>
      <c r="F52" s="6">
        <v>2.85</v>
      </c>
    </row>
    <row r="53" spans="1:7">
      <c r="A53" s="32">
        <v>42125</v>
      </c>
      <c r="B53" s="33">
        <v>7.37</v>
      </c>
      <c r="E53" s="34">
        <v>42156</v>
      </c>
      <c r="F53" s="6">
        <v>2.78</v>
      </c>
    </row>
    <row r="54" spans="1:7">
      <c r="A54" s="32">
        <v>42156</v>
      </c>
      <c r="B54" s="33">
        <v>7.3</v>
      </c>
      <c r="E54" s="34">
        <v>42186</v>
      </c>
      <c r="F54" s="6">
        <v>2.84</v>
      </c>
    </row>
    <row r="55" spans="1:7">
      <c r="A55" s="32">
        <v>42186</v>
      </c>
      <c r="B55" s="33">
        <v>6.68</v>
      </c>
      <c r="E55" s="34">
        <v>42217</v>
      </c>
      <c r="F55" s="6">
        <v>2.77</v>
      </c>
    </row>
    <row r="56" spans="1:7">
      <c r="A56" s="32">
        <v>42217</v>
      </c>
      <c r="B56" s="33">
        <v>6.66</v>
      </c>
      <c r="E56" s="34">
        <v>42248</v>
      </c>
      <c r="F56" s="6">
        <v>2.66</v>
      </c>
    </row>
    <row r="57" spans="1:7">
      <c r="A57" s="32">
        <v>42248</v>
      </c>
      <c r="B57" s="33">
        <v>6.49</v>
      </c>
      <c r="E57" s="34">
        <v>42278</v>
      </c>
      <c r="F57" s="6">
        <v>2.34</v>
      </c>
    </row>
    <row r="58" spans="1:7">
      <c r="A58" s="32">
        <v>42278</v>
      </c>
      <c r="B58" s="33">
        <v>6.01</v>
      </c>
      <c r="E58" s="34">
        <v>42309</v>
      </c>
      <c r="F58" s="6">
        <v>2.09</v>
      </c>
    </row>
    <row r="59" spans="1:7">
      <c r="A59" s="32">
        <v>42309</v>
      </c>
      <c r="B59" s="33">
        <v>5.87</v>
      </c>
      <c r="E59" s="34">
        <v>42339</v>
      </c>
      <c r="F59" s="6">
        <v>1.93</v>
      </c>
    </row>
    <row r="60" spans="1:7">
      <c r="A60" s="32">
        <v>42339</v>
      </c>
      <c r="B60" s="33">
        <v>5.81</v>
      </c>
      <c r="E60" s="34">
        <v>42370</v>
      </c>
      <c r="F60" s="6">
        <v>2.2799999999999998</v>
      </c>
      <c r="G60" s="40">
        <f>AVERAGE(F60:F71)</f>
        <v>2.5150000000000001</v>
      </c>
    </row>
    <row r="61" spans="1:7">
      <c r="A61" s="32">
        <v>42370</v>
      </c>
      <c r="B61" s="33">
        <v>5.09</v>
      </c>
      <c r="D61" s="40">
        <f>AVERAGE(B61:B72)</f>
        <v>4.3533333333333326</v>
      </c>
      <c r="E61" s="34">
        <v>42401</v>
      </c>
      <c r="F61" s="6">
        <v>1.99</v>
      </c>
    </row>
    <row r="62" spans="1:7">
      <c r="A62" s="32">
        <v>42401</v>
      </c>
      <c r="B62" s="33">
        <v>4.79</v>
      </c>
      <c r="E62" s="34">
        <v>42430</v>
      </c>
      <c r="F62" s="6">
        <v>1.73</v>
      </c>
    </row>
    <row r="63" spans="1:7">
      <c r="A63" s="32">
        <v>42430</v>
      </c>
      <c r="B63" s="33">
        <v>4.09</v>
      </c>
      <c r="E63" s="34">
        <v>42461</v>
      </c>
      <c r="F63" s="6">
        <v>1.92</v>
      </c>
    </row>
    <row r="64" spans="1:7">
      <c r="A64" s="32">
        <v>42461</v>
      </c>
      <c r="B64" s="33">
        <v>4.0199999999999996</v>
      </c>
      <c r="E64" s="34">
        <v>42491</v>
      </c>
      <c r="F64" s="6">
        <v>1.92</v>
      </c>
    </row>
    <row r="65" spans="1:7">
      <c r="A65" s="32">
        <v>42491</v>
      </c>
      <c r="B65" s="33">
        <v>3.99</v>
      </c>
      <c r="E65" s="34">
        <v>42522</v>
      </c>
      <c r="F65" s="6">
        <v>2.59</v>
      </c>
    </row>
    <row r="66" spans="1:7">
      <c r="A66" s="32">
        <v>42522</v>
      </c>
      <c r="B66" s="33">
        <v>4.04</v>
      </c>
      <c r="E66" s="34">
        <v>42552</v>
      </c>
      <c r="F66" s="6">
        <v>2.82</v>
      </c>
    </row>
    <row r="67" spans="1:7">
      <c r="A67" s="32">
        <v>42552</v>
      </c>
      <c r="B67" s="33">
        <v>4.3</v>
      </c>
      <c r="E67" s="34">
        <v>42583</v>
      </c>
      <c r="F67" s="6">
        <v>2.82</v>
      </c>
    </row>
    <row r="68" spans="1:7">
      <c r="A68" s="32">
        <v>42583</v>
      </c>
      <c r="B68" s="33">
        <v>4.25</v>
      </c>
      <c r="E68" s="34">
        <v>42614</v>
      </c>
      <c r="F68" s="6">
        <v>2.99</v>
      </c>
    </row>
    <row r="69" spans="1:7">
      <c r="A69" s="32">
        <v>42614</v>
      </c>
      <c r="B69" s="33">
        <v>3.96</v>
      </c>
      <c r="E69" s="34">
        <v>42644</v>
      </c>
      <c r="F69" s="6">
        <v>2.98</v>
      </c>
    </row>
    <row r="70" spans="1:7">
      <c r="A70" s="32">
        <v>42644</v>
      </c>
      <c r="B70" s="33">
        <v>4.01</v>
      </c>
      <c r="E70" s="34">
        <v>42675</v>
      </c>
      <c r="F70" s="6">
        <v>2.5499999999999998</v>
      </c>
    </row>
    <row r="71" spans="1:7">
      <c r="A71" s="32">
        <v>42675</v>
      </c>
      <c r="B71" s="33">
        <v>4.54</v>
      </c>
      <c r="E71" s="34">
        <v>42705</v>
      </c>
      <c r="F71" s="6">
        <v>3.59</v>
      </c>
    </row>
    <row r="72" spans="1:7">
      <c r="A72" s="32">
        <v>42705</v>
      </c>
      <c r="B72" s="33">
        <v>5.16</v>
      </c>
      <c r="E72" s="34">
        <v>42736</v>
      </c>
      <c r="F72" s="6">
        <v>3.3</v>
      </c>
      <c r="G72" s="40">
        <f>AVERAGE(F72:F83)</f>
        <v>2.9858333333333333</v>
      </c>
    </row>
    <row r="73" spans="1:7">
      <c r="A73" s="32">
        <v>42736</v>
      </c>
      <c r="B73" s="33">
        <v>6.2781398585858597</v>
      </c>
      <c r="D73" s="40">
        <f>AVERAGE(B73:B84)</f>
        <v>5.7440513312667676</v>
      </c>
      <c r="E73" s="34">
        <v>42767</v>
      </c>
      <c r="F73" s="6">
        <v>2.85</v>
      </c>
    </row>
    <row r="74" spans="1:7">
      <c r="A74" s="32">
        <v>42767</v>
      </c>
      <c r="B74" s="33">
        <v>6.1002983055555502</v>
      </c>
      <c r="E74" s="34">
        <v>42795</v>
      </c>
      <c r="F74" s="6">
        <v>2.88</v>
      </c>
    </row>
    <row r="75" spans="1:7">
      <c r="A75" s="32">
        <v>42795</v>
      </c>
      <c r="B75" s="33">
        <v>4.9450203478260804</v>
      </c>
      <c r="E75" s="34">
        <v>42826</v>
      </c>
      <c r="F75" s="6">
        <v>3.1</v>
      </c>
    </row>
    <row r="76" spans="1:7">
      <c r="A76" s="32">
        <v>42826</v>
      </c>
      <c r="B76" s="33">
        <v>5.0351273138888901</v>
      </c>
      <c r="E76" s="34">
        <v>42856</v>
      </c>
      <c r="F76" s="6">
        <v>3.15</v>
      </c>
    </row>
    <row r="77" spans="1:7">
      <c r="A77" s="32">
        <v>42856</v>
      </c>
      <c r="B77" s="33">
        <v>5.07717077404447</v>
      </c>
      <c r="E77" s="34">
        <v>42887</v>
      </c>
      <c r="F77" s="6">
        <v>2.98</v>
      </c>
    </row>
    <row r="78" spans="1:7">
      <c r="A78" s="32">
        <v>42887</v>
      </c>
      <c r="B78" s="33">
        <v>4.9838182529784296</v>
      </c>
      <c r="E78" s="34">
        <v>42917</v>
      </c>
      <c r="F78" s="6">
        <v>2.98</v>
      </c>
    </row>
    <row r="79" spans="1:7">
      <c r="A79" s="32">
        <v>42917</v>
      </c>
      <c r="B79" s="33">
        <v>5.0960275829234698</v>
      </c>
      <c r="E79" s="34">
        <v>42948</v>
      </c>
      <c r="F79" s="6">
        <v>2.9</v>
      </c>
    </row>
    <row r="80" spans="1:7">
      <c r="A80" s="32">
        <v>42948</v>
      </c>
      <c r="B80" s="33">
        <v>5.5360586428866698</v>
      </c>
      <c r="E80" s="34">
        <v>42979</v>
      </c>
      <c r="F80" s="6">
        <v>2.98</v>
      </c>
    </row>
    <row r="81" spans="1:7">
      <c r="A81" s="32">
        <v>42979</v>
      </c>
      <c r="B81" s="33">
        <v>6.0406063932996403</v>
      </c>
      <c r="E81" s="34">
        <v>43009</v>
      </c>
      <c r="F81" s="6">
        <v>2.88</v>
      </c>
    </row>
    <row r="82" spans="1:7">
      <c r="A82" s="32">
        <v>43009</v>
      </c>
      <c r="B82" s="33">
        <v>5.8925193535705001</v>
      </c>
      <c r="E82" s="34">
        <v>43040</v>
      </c>
      <c r="F82" s="6">
        <v>3.01</v>
      </c>
    </row>
    <row r="83" spans="1:7">
      <c r="A83" s="32">
        <v>43040</v>
      </c>
      <c r="B83" s="33">
        <v>6.7340375240517902</v>
      </c>
      <c r="E83" s="34">
        <v>43070</v>
      </c>
      <c r="F83" s="6">
        <v>2.82</v>
      </c>
    </row>
    <row r="84" spans="1:7">
      <c r="A84" s="32">
        <v>43070</v>
      </c>
      <c r="B84" s="33">
        <v>7.20979162558986</v>
      </c>
      <c r="E84" s="34">
        <v>43101</v>
      </c>
      <c r="F84" s="6">
        <v>3.87</v>
      </c>
      <c r="G84" s="40">
        <f>AVERAGE(F84:F95)</f>
        <v>3.1666666666666674</v>
      </c>
    </row>
    <row r="85" spans="1:7">
      <c r="A85" s="32">
        <v>43101</v>
      </c>
      <c r="B85" s="33">
        <v>6.6483033104451996</v>
      </c>
      <c r="D85" s="40">
        <f>AVERAGE(B85:B96)</f>
        <v>7.9160938630772746</v>
      </c>
      <c r="E85" s="34">
        <v>43132</v>
      </c>
      <c r="F85" s="6">
        <v>2.67</v>
      </c>
    </row>
    <row r="86" spans="1:7">
      <c r="A86" s="32">
        <v>43132</v>
      </c>
      <c r="B86" s="33">
        <v>7.8410355620278596</v>
      </c>
      <c r="E86" s="34">
        <v>43160</v>
      </c>
      <c r="F86" s="6">
        <v>2.69</v>
      </c>
    </row>
    <row r="87" spans="1:7">
      <c r="A87" s="32">
        <v>43160</v>
      </c>
      <c r="B87" s="33">
        <v>8.5363613005136099</v>
      </c>
      <c r="E87" s="34">
        <v>43191</v>
      </c>
      <c r="F87" s="6">
        <v>2.8</v>
      </c>
    </row>
    <row r="88" spans="1:7">
      <c r="A88" s="32">
        <v>43191</v>
      </c>
      <c r="B88" s="33">
        <v>7.0647325670968204</v>
      </c>
      <c r="E88" s="34">
        <v>43221</v>
      </c>
      <c r="F88" s="6">
        <v>2.8</v>
      </c>
    </row>
    <row r="89" spans="1:7">
      <c r="A89" s="32">
        <v>43221</v>
      </c>
      <c r="B89" s="33">
        <v>7.4608630739245498</v>
      </c>
      <c r="E89" s="34">
        <v>43252</v>
      </c>
      <c r="F89" s="6">
        <v>2.97</v>
      </c>
    </row>
    <row r="90" spans="1:7">
      <c r="A90" s="32">
        <v>43252</v>
      </c>
      <c r="B90" s="33">
        <v>7.5044230100528804</v>
      </c>
      <c r="E90" s="34">
        <v>43282</v>
      </c>
      <c r="F90" s="6">
        <v>2.83</v>
      </c>
    </row>
    <row r="91" spans="1:7">
      <c r="A91" s="32">
        <v>43282</v>
      </c>
      <c r="B91" s="33">
        <v>7.6210626828232799</v>
      </c>
      <c r="E91" s="34">
        <v>43313</v>
      </c>
      <c r="F91" s="6">
        <v>2.96</v>
      </c>
    </row>
    <row r="92" spans="1:7">
      <c r="A92" s="32">
        <v>43313</v>
      </c>
      <c r="B92" s="33">
        <v>8.1041140792583892</v>
      </c>
      <c r="E92" s="34">
        <v>43344</v>
      </c>
      <c r="F92" s="6">
        <v>3</v>
      </c>
    </row>
    <row r="93" spans="1:7">
      <c r="A93" s="32">
        <v>43344</v>
      </c>
      <c r="B93" s="33">
        <v>9.5188801834177301</v>
      </c>
      <c r="E93" s="34">
        <v>43374</v>
      </c>
      <c r="F93" s="6">
        <v>3.28</v>
      </c>
    </row>
    <row r="94" spans="1:7">
      <c r="A94" s="32">
        <v>43374</v>
      </c>
      <c r="B94" s="33">
        <v>8.5959145992116799</v>
      </c>
      <c r="E94" s="34">
        <v>43405</v>
      </c>
      <c r="F94" s="6">
        <v>4.09</v>
      </c>
    </row>
    <row r="95" spans="1:7">
      <c r="A95" s="32">
        <v>43405</v>
      </c>
      <c r="B95" s="33">
        <v>8.2044901667392693</v>
      </c>
      <c r="E95" s="34">
        <v>43435</v>
      </c>
      <c r="F95" s="6">
        <v>4.04</v>
      </c>
    </row>
    <row r="96" spans="1:7">
      <c r="A96" s="32">
        <v>43435</v>
      </c>
      <c r="B96" s="33">
        <v>7.8929458214160197</v>
      </c>
      <c r="E96" s="34">
        <v>43466</v>
      </c>
      <c r="F96" s="6">
        <v>3.11</v>
      </c>
      <c r="G96" s="40">
        <f>AVERAGE(F96:F107)</f>
        <v>2.5658333333333334</v>
      </c>
    </row>
    <row r="97" spans="1:7">
      <c r="A97" s="32">
        <v>43466</v>
      </c>
      <c r="B97" s="33">
        <v>7.1610649527949404</v>
      </c>
      <c r="D97" s="40">
        <f>AVERAGE(B97:B108)</f>
        <v>4.4548575006963178</v>
      </c>
      <c r="E97" s="34">
        <v>43497</v>
      </c>
      <c r="F97" s="6">
        <v>2.69</v>
      </c>
    </row>
    <row r="98" spans="1:7">
      <c r="A98" s="32">
        <v>43497</v>
      </c>
      <c r="B98" s="33">
        <v>5.9863385600447803</v>
      </c>
      <c r="E98" s="34">
        <v>43525</v>
      </c>
      <c r="F98" s="6">
        <v>2.95</v>
      </c>
    </row>
    <row r="99" spans="1:7">
      <c r="A99" s="32">
        <v>43525</v>
      </c>
      <c r="B99" s="33">
        <v>5.1971800732523503</v>
      </c>
      <c r="E99" s="34">
        <v>43556</v>
      </c>
      <c r="F99" s="6">
        <v>2.65</v>
      </c>
    </row>
    <row r="100" spans="1:7">
      <c r="A100" s="32">
        <v>43556</v>
      </c>
      <c r="B100" s="33">
        <v>4.9532498501872704</v>
      </c>
      <c r="E100" s="34">
        <v>43586</v>
      </c>
      <c r="F100" s="6">
        <v>2.64</v>
      </c>
    </row>
    <row r="101" spans="1:7">
      <c r="A101" s="32">
        <v>43586</v>
      </c>
      <c r="B101" s="33">
        <v>4.3601828877204696</v>
      </c>
      <c r="E101" s="34">
        <v>43617</v>
      </c>
      <c r="F101" s="6">
        <v>2.4</v>
      </c>
    </row>
    <row r="102" spans="1:7">
      <c r="A102" s="32">
        <v>43617</v>
      </c>
      <c r="B102" s="33">
        <v>3.4830359995732998</v>
      </c>
      <c r="E102" s="34">
        <v>43647</v>
      </c>
      <c r="F102" s="6">
        <v>2.37</v>
      </c>
    </row>
    <row r="103" spans="1:7">
      <c r="A103" s="32">
        <v>43647</v>
      </c>
      <c r="B103" s="33">
        <v>3.59594390863893</v>
      </c>
      <c r="E103" s="34">
        <v>43678</v>
      </c>
      <c r="F103" s="6">
        <v>2.2200000000000002</v>
      </c>
    </row>
    <row r="104" spans="1:7">
      <c r="A104" s="32">
        <v>43678</v>
      </c>
      <c r="B104" s="33">
        <v>3.27019667685218</v>
      </c>
      <c r="E104" s="34">
        <v>43709</v>
      </c>
      <c r="F104" s="6">
        <v>2.56</v>
      </c>
    </row>
    <row r="105" spans="1:7">
      <c r="A105" s="32">
        <v>43709</v>
      </c>
      <c r="B105" s="33">
        <v>3.0868045862290798</v>
      </c>
      <c r="E105" s="34">
        <v>43739</v>
      </c>
      <c r="F105" s="6">
        <v>2.33</v>
      </c>
    </row>
    <row r="106" spans="1:7">
      <c r="A106" s="32">
        <v>43739</v>
      </c>
      <c r="B106" s="33">
        <v>3.3397242457181102</v>
      </c>
      <c r="E106" s="34">
        <v>43770</v>
      </c>
      <c r="F106" s="6">
        <v>2.65</v>
      </c>
    </row>
    <row r="107" spans="1:7">
      <c r="A107" s="32">
        <v>43770</v>
      </c>
      <c r="B107" s="33">
        <v>4.78101952320268</v>
      </c>
      <c r="E107" s="34">
        <v>43800</v>
      </c>
      <c r="F107" s="6">
        <v>2.2200000000000002</v>
      </c>
    </row>
    <row r="108" spans="1:7">
      <c r="A108" s="32">
        <v>43800</v>
      </c>
      <c r="B108" s="33">
        <v>4.2435487441417203</v>
      </c>
      <c r="E108" s="34">
        <v>43831</v>
      </c>
      <c r="F108" s="6">
        <v>2.02</v>
      </c>
      <c r="G108" s="40">
        <f>AVERAGE(F108:F119)</f>
        <v>2.0349999999999997</v>
      </c>
    </row>
    <row r="109" spans="1:7">
      <c r="A109" s="32">
        <v>43831</v>
      </c>
      <c r="B109" s="33">
        <v>3.62626971086415</v>
      </c>
      <c r="D109" s="40">
        <f>AVERAGE(B109:B120)</f>
        <v>3.1782298161867373</v>
      </c>
      <c r="E109" s="34">
        <v>43862</v>
      </c>
      <c r="F109" s="6">
        <v>1.91</v>
      </c>
    </row>
    <row r="110" spans="1:7">
      <c r="A110" s="32">
        <v>43862</v>
      </c>
      <c r="B110" s="33">
        <v>2.99547720316124</v>
      </c>
      <c r="E110" s="34">
        <v>43891</v>
      </c>
      <c r="F110" s="6">
        <v>1.79</v>
      </c>
    </row>
    <row r="111" spans="1:7">
      <c r="A111" s="32">
        <v>43891</v>
      </c>
      <c r="B111" s="33">
        <v>2.7898236708309598</v>
      </c>
      <c r="E111" s="34">
        <v>43922</v>
      </c>
      <c r="F111" s="6">
        <v>1.74</v>
      </c>
    </row>
    <row r="112" spans="1:7">
      <c r="A112" s="32">
        <v>43922</v>
      </c>
      <c r="B112" s="33">
        <v>2.0838822024346699</v>
      </c>
      <c r="E112" s="34">
        <v>43952</v>
      </c>
      <c r="F112" s="6">
        <v>1.75</v>
      </c>
    </row>
    <row r="113" spans="1:7">
      <c r="A113" s="32">
        <v>43952</v>
      </c>
      <c r="B113" s="33">
        <v>1.4626123204738599</v>
      </c>
      <c r="E113" s="34">
        <v>43983</v>
      </c>
      <c r="F113" s="6">
        <v>1.63</v>
      </c>
    </row>
    <row r="114" spans="1:7">
      <c r="A114" s="32">
        <v>43983</v>
      </c>
      <c r="B114" s="33">
        <v>1.6472999823599399</v>
      </c>
      <c r="E114" s="34">
        <v>44013</v>
      </c>
      <c r="F114" s="6">
        <v>1.77</v>
      </c>
    </row>
    <row r="115" spans="1:7">
      <c r="A115" s="32">
        <v>44013</v>
      </c>
      <c r="B115" s="33">
        <v>1.6408628221847401</v>
      </c>
      <c r="E115" s="34">
        <v>44044</v>
      </c>
      <c r="F115" s="6">
        <v>2.2999999999999998</v>
      </c>
    </row>
    <row r="116" spans="1:7">
      <c r="A116" s="32">
        <v>44044</v>
      </c>
      <c r="B116" s="33">
        <v>2.6115655460395599</v>
      </c>
      <c r="E116" s="34">
        <v>44075</v>
      </c>
      <c r="F116" s="6">
        <v>1.92</v>
      </c>
    </row>
    <row r="117" spans="1:7">
      <c r="A117" s="32">
        <v>44075</v>
      </c>
      <c r="B117" s="33">
        <v>3.8549955743058302</v>
      </c>
      <c r="E117" s="34">
        <v>44105</v>
      </c>
      <c r="F117" s="6">
        <v>2.39</v>
      </c>
    </row>
    <row r="118" spans="1:7">
      <c r="A118" s="32">
        <v>44105</v>
      </c>
      <c r="B118" s="33">
        <v>4.8138216350177796</v>
      </c>
      <c r="E118" s="34">
        <v>44136</v>
      </c>
      <c r="F118" s="6">
        <v>2.61</v>
      </c>
    </row>
    <row r="119" spans="1:7">
      <c r="A119" s="32">
        <v>44136</v>
      </c>
      <c r="B119" s="33">
        <v>4.7835079436450796</v>
      </c>
      <c r="E119" s="34">
        <v>44166</v>
      </c>
      <c r="F119" s="6">
        <v>2.59</v>
      </c>
    </row>
    <row r="120" spans="1:7">
      <c r="A120" s="32">
        <v>44166</v>
      </c>
      <c r="B120" s="33">
        <v>5.8286391829230402</v>
      </c>
      <c r="E120" s="34">
        <v>44197</v>
      </c>
      <c r="F120" s="6">
        <v>2.71</v>
      </c>
      <c r="G120" s="40">
        <f>AVERAGE(F120:F131)</f>
        <v>3.9083333333333328</v>
      </c>
    </row>
    <row r="121" spans="1:7">
      <c r="A121" s="32">
        <v>44197</v>
      </c>
      <c r="B121" s="33">
        <v>7.3028206615581999</v>
      </c>
      <c r="D121" s="40">
        <f>AVERAGE(B121:B132)</f>
        <v>15.907363385618714</v>
      </c>
      <c r="E121" s="34">
        <v>44228</v>
      </c>
      <c r="F121" s="6">
        <v>5.35</v>
      </c>
    </row>
    <row r="122" spans="1:7">
      <c r="A122" s="32">
        <v>44228</v>
      </c>
      <c r="B122" s="33">
        <v>6.1713408286361702</v>
      </c>
      <c r="E122" s="34">
        <v>44256</v>
      </c>
      <c r="F122" s="6">
        <v>2.62</v>
      </c>
    </row>
    <row r="123" spans="1:7">
      <c r="A123" s="32">
        <v>44256</v>
      </c>
      <c r="B123" s="33">
        <v>6.2051973852942997</v>
      </c>
      <c r="E123" s="34">
        <v>44287</v>
      </c>
      <c r="F123" s="6">
        <v>2.66</v>
      </c>
    </row>
    <row r="124" spans="1:7">
      <c r="A124" s="32">
        <v>44287</v>
      </c>
      <c r="B124" s="33">
        <v>7.2827236064096601</v>
      </c>
      <c r="E124" s="34">
        <v>44317</v>
      </c>
      <c r="F124" s="6">
        <v>2.91</v>
      </c>
    </row>
    <row r="125" spans="1:7">
      <c r="A125" s="32">
        <v>44317</v>
      </c>
      <c r="B125" s="33">
        <v>9.0047040353961307</v>
      </c>
      <c r="E125" s="34">
        <v>44348</v>
      </c>
      <c r="F125" s="6">
        <v>3.26</v>
      </c>
    </row>
    <row r="126" spans="1:7">
      <c r="A126" s="32">
        <v>44348</v>
      </c>
      <c r="B126" s="33">
        <v>10.3241391134511</v>
      </c>
      <c r="E126" s="34">
        <v>44378</v>
      </c>
      <c r="F126" s="6">
        <v>3.84</v>
      </c>
    </row>
    <row r="127" spans="1:7">
      <c r="A127" s="32">
        <v>44378</v>
      </c>
      <c r="B127" s="33">
        <v>12.524246604679099</v>
      </c>
      <c r="E127" s="34">
        <v>44409</v>
      </c>
      <c r="F127" s="6">
        <v>4.07</v>
      </c>
    </row>
    <row r="128" spans="1:7">
      <c r="A128" s="32">
        <v>44409</v>
      </c>
      <c r="B128" s="33">
        <v>15.2790291163123</v>
      </c>
      <c r="E128" s="34">
        <v>44440</v>
      </c>
      <c r="F128" s="6">
        <v>5.16</v>
      </c>
    </row>
    <row r="129" spans="1:7">
      <c r="A129" s="32">
        <v>44440</v>
      </c>
      <c r="B129" s="33">
        <v>22.2328272437545</v>
      </c>
      <c r="E129" s="34">
        <v>44470</v>
      </c>
      <c r="F129" s="6">
        <v>5.51</v>
      </c>
    </row>
    <row r="130" spans="1:7">
      <c r="A130" s="32">
        <v>44470</v>
      </c>
      <c r="B130" s="33">
        <v>29.814142888262399</v>
      </c>
      <c r="E130" s="34">
        <v>44501</v>
      </c>
      <c r="F130" s="6">
        <v>5.05</v>
      </c>
    </row>
    <row r="131" spans="1:7">
      <c r="A131" s="32">
        <v>44501</v>
      </c>
      <c r="B131" s="33">
        <v>27.383826081171001</v>
      </c>
      <c r="E131" s="34">
        <v>44531</v>
      </c>
      <c r="F131" s="6">
        <v>3.76</v>
      </c>
    </row>
    <row r="132" spans="1:7">
      <c r="A132" s="32">
        <v>44531</v>
      </c>
      <c r="B132" s="33">
        <v>37.363363062499701</v>
      </c>
      <c r="E132" s="34">
        <v>44562</v>
      </c>
      <c r="F132" s="6">
        <v>4.38</v>
      </c>
      <c r="G132" s="40">
        <f>AVERAGE(F132:F143)</f>
        <v>6.4183333333333339</v>
      </c>
    </row>
    <row r="133" spans="1:7">
      <c r="A133" s="32">
        <v>44562</v>
      </c>
      <c r="B133" s="33">
        <v>27.890944794736399</v>
      </c>
      <c r="D133" s="40">
        <f>AVERAGE(B133:B144)</f>
        <v>37.519834528539441</v>
      </c>
      <c r="E133" s="34">
        <v>44593</v>
      </c>
      <c r="F133" s="6">
        <v>4.6900000000000004</v>
      </c>
    </row>
    <row r="134" spans="1:7">
      <c r="A134" s="32">
        <v>44593</v>
      </c>
      <c r="B134" s="33">
        <v>26.984281340477601</v>
      </c>
      <c r="E134" s="34">
        <v>44621</v>
      </c>
      <c r="F134" s="6">
        <v>4.9000000000000004</v>
      </c>
    </row>
    <row r="135" spans="1:7">
      <c r="A135" s="32">
        <v>44621</v>
      </c>
      <c r="B135" s="33">
        <v>41.727688313072001</v>
      </c>
      <c r="E135" s="34">
        <v>44652</v>
      </c>
      <c r="F135" s="6">
        <v>6.6</v>
      </c>
    </row>
    <row r="136" spans="1:7">
      <c r="A136" s="32">
        <v>44652</v>
      </c>
      <c r="B136" s="33">
        <v>31.989874304408001</v>
      </c>
      <c r="E136" s="34">
        <v>44682</v>
      </c>
      <c r="F136" s="6">
        <v>8.14</v>
      </c>
    </row>
    <row r="137" spans="1:7">
      <c r="A137" s="32">
        <v>44682</v>
      </c>
      <c r="B137" s="33">
        <v>27.464166431595501</v>
      </c>
      <c r="E137" s="34">
        <v>44713</v>
      </c>
      <c r="F137" s="6">
        <v>7.7</v>
      </c>
    </row>
    <row r="138" spans="1:7">
      <c r="A138" s="32">
        <v>44713</v>
      </c>
      <c r="B138" s="33">
        <v>32.912607221382899</v>
      </c>
      <c r="E138" s="34">
        <v>44743</v>
      </c>
      <c r="F138" s="6">
        <v>7.28</v>
      </c>
    </row>
    <row r="139" spans="1:7">
      <c r="A139" s="32">
        <v>44743</v>
      </c>
      <c r="B139" s="33">
        <v>51.145912523076497</v>
      </c>
      <c r="E139" s="34">
        <v>44774</v>
      </c>
      <c r="F139" s="6">
        <v>8.81</v>
      </c>
    </row>
    <row r="140" spans="1:7">
      <c r="A140" s="32">
        <v>44774</v>
      </c>
      <c r="B140" s="33">
        <v>69.977239326716699</v>
      </c>
      <c r="E140" s="34">
        <v>44805</v>
      </c>
      <c r="F140" s="6">
        <v>7.88</v>
      </c>
    </row>
    <row r="141" spans="1:7">
      <c r="A141" s="32">
        <v>44805</v>
      </c>
      <c r="B141" s="33">
        <v>55.179127401205399</v>
      </c>
      <c r="E141" s="34">
        <v>44835</v>
      </c>
      <c r="F141" s="6">
        <v>5.66</v>
      </c>
    </row>
    <row r="142" spans="1:7">
      <c r="A142" s="32">
        <v>44835</v>
      </c>
      <c r="B142" s="33">
        <v>20.8066368517553</v>
      </c>
      <c r="E142" s="34">
        <v>44866</v>
      </c>
      <c r="F142" s="6">
        <v>5.45</v>
      </c>
    </row>
    <row r="143" spans="1:7">
      <c r="A143" s="32">
        <v>44866</v>
      </c>
      <c r="B143" s="33">
        <v>28.790804619983899</v>
      </c>
      <c r="E143" s="34">
        <v>44896</v>
      </c>
      <c r="F143" s="6">
        <v>5.53</v>
      </c>
    </row>
    <row r="144" spans="1:7">
      <c r="A144" s="32">
        <v>44896</v>
      </c>
      <c r="B144" s="33">
        <v>35.368731214063203</v>
      </c>
      <c r="E144" s="34">
        <v>44927</v>
      </c>
      <c r="F144" s="6">
        <v>3.27</v>
      </c>
      <c r="G144" s="40">
        <f>AVERAGE(F144:F155)</f>
        <v>2.4083333333333337</v>
      </c>
    </row>
    <row r="145" spans="1:6">
      <c r="A145" s="32">
        <v>44927</v>
      </c>
      <c r="B145" s="33">
        <v>19.886186930695001</v>
      </c>
      <c r="D145" s="40">
        <f>AVERAGE(B145:B156)</f>
        <v>16.044468436164777</v>
      </c>
      <c r="E145" s="34">
        <v>44958</v>
      </c>
      <c r="F145" s="6">
        <v>2.38</v>
      </c>
    </row>
    <row r="146" spans="1:6">
      <c r="A146" s="32">
        <v>44958</v>
      </c>
      <c r="B146" s="33">
        <v>16.737259181158802</v>
      </c>
      <c r="E146" s="34">
        <v>44986</v>
      </c>
      <c r="F146" s="6">
        <v>2.31</v>
      </c>
    </row>
    <row r="147" spans="1:6">
      <c r="A147" s="32">
        <v>44986</v>
      </c>
      <c r="B147" s="33">
        <v>13.8704403696801</v>
      </c>
      <c r="E147" s="34">
        <v>45017</v>
      </c>
      <c r="F147" s="6">
        <v>2.16</v>
      </c>
    </row>
    <row r="148" spans="1:6">
      <c r="A148" s="32">
        <v>45017</v>
      </c>
      <c r="B148" s="33">
        <v>13.6839872631252</v>
      </c>
      <c r="E148" s="34">
        <v>45047</v>
      </c>
      <c r="F148" s="6">
        <v>2.15</v>
      </c>
    </row>
    <row r="149" spans="1:6">
      <c r="A149" s="32">
        <v>45047</v>
      </c>
      <c r="E149" s="34">
        <v>45078</v>
      </c>
      <c r="F149" s="6">
        <v>2.1800000000000002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52E7-4475-46F6-BB24-47FE2BEA04F4}">
  <dimension ref="A1:C13"/>
  <sheetViews>
    <sheetView showGridLines="0" workbookViewId="0">
      <selection activeCell="B12" sqref="B12"/>
    </sheetView>
  </sheetViews>
  <sheetFormatPr defaultRowHeight="15"/>
  <cols>
    <col min="1" max="1" width="14" customWidth="1"/>
    <col min="2" max="2" width="29.85546875" bestFit="1" customWidth="1"/>
    <col min="3" max="3" width="28.42578125" bestFit="1" customWidth="1"/>
  </cols>
  <sheetData>
    <row r="1" spans="1:3">
      <c r="A1" s="8" t="s">
        <v>35</v>
      </c>
      <c r="B1" s="21" t="s">
        <v>41</v>
      </c>
      <c r="C1" s="21" t="s">
        <v>42</v>
      </c>
    </row>
    <row r="2" spans="1:3">
      <c r="A2" s="2">
        <v>2012</v>
      </c>
      <c r="B2" s="62">
        <v>1</v>
      </c>
      <c r="C2" s="63">
        <v>99.19083333333333</v>
      </c>
    </row>
    <row r="3" spans="1:3">
      <c r="A3" s="2">
        <v>2013</v>
      </c>
      <c r="B3" s="63">
        <v>108.6375</v>
      </c>
      <c r="C3" s="63">
        <v>101.81333333333333</v>
      </c>
    </row>
    <row r="4" spans="1:3">
      <c r="A4" s="2">
        <v>2014</v>
      </c>
      <c r="B4" s="63">
        <v>99.023333333333355</v>
      </c>
      <c r="C4" s="63">
        <v>97.446666666666673</v>
      </c>
    </row>
    <row r="5" spans="1:3">
      <c r="A5" s="2">
        <v>2015</v>
      </c>
      <c r="B5" s="63">
        <v>52.353333333333332</v>
      </c>
      <c r="C5" s="63">
        <v>53.730833333333329</v>
      </c>
    </row>
    <row r="6" spans="1:3">
      <c r="A6" s="2">
        <v>2016</v>
      </c>
      <c r="B6" s="63">
        <v>43.548333333333339</v>
      </c>
      <c r="C6" s="63">
        <v>47.199999999999996</v>
      </c>
    </row>
    <row r="7" spans="1:3">
      <c r="A7" s="2">
        <v>2017</v>
      </c>
      <c r="B7" s="63">
        <v>54.247500000000002</v>
      </c>
      <c r="C7" s="63">
        <v>53.971666666666671</v>
      </c>
    </row>
    <row r="8" spans="1:3">
      <c r="A8" s="2">
        <v>2018</v>
      </c>
      <c r="B8" s="63">
        <v>71.060833333333321</v>
      </c>
      <c r="C8" s="63">
        <v>69.391666666666666</v>
      </c>
    </row>
    <row r="9" spans="1:3">
      <c r="A9" s="2">
        <v>2019</v>
      </c>
      <c r="B9" s="63">
        <v>64.358333333333334</v>
      </c>
      <c r="C9" s="63">
        <v>60.389999999999993</v>
      </c>
    </row>
    <row r="10" spans="1:3">
      <c r="A10" s="2">
        <v>2020</v>
      </c>
      <c r="B10" s="63">
        <v>41.759166666666658</v>
      </c>
      <c r="C10" s="63">
        <v>45.182499999999997</v>
      </c>
    </row>
    <row r="11" spans="1:3">
      <c r="A11" s="2">
        <v>2021</v>
      </c>
      <c r="B11" s="63">
        <v>70.677499999999995</v>
      </c>
      <c r="C11" s="63">
        <v>72.381666666666675</v>
      </c>
    </row>
    <row r="12" spans="1:3">
      <c r="A12" s="2">
        <v>2022</v>
      </c>
      <c r="B12" s="62">
        <v>100.77750000000002</v>
      </c>
      <c r="C12" s="63">
        <v>103.71249999999999</v>
      </c>
    </row>
    <row r="13" spans="1:3">
      <c r="A13" s="29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3C18-64F9-429B-A9AC-081A5C90F6EE}">
  <dimension ref="A1:C13"/>
  <sheetViews>
    <sheetView showGridLines="0" zoomScaleNormal="100" workbookViewId="0">
      <selection activeCell="B12" sqref="B12"/>
    </sheetView>
  </sheetViews>
  <sheetFormatPr defaultRowHeight="15"/>
  <cols>
    <col min="1" max="1" width="17.5703125" bestFit="1" customWidth="1"/>
    <col min="2" max="2" width="15.28515625" customWidth="1"/>
  </cols>
  <sheetData>
    <row r="1" spans="1:3">
      <c r="A1" s="8" t="s">
        <v>35</v>
      </c>
      <c r="B1" s="8" t="s">
        <v>0</v>
      </c>
      <c r="C1" s="24" t="s">
        <v>30</v>
      </c>
    </row>
    <row r="2" spans="1:3">
      <c r="A2" s="26">
        <v>2012</v>
      </c>
      <c r="B2" s="25">
        <v>2.5119150679255862</v>
      </c>
      <c r="C2" s="27">
        <v>9.9460374844893114</v>
      </c>
    </row>
    <row r="3" spans="1:3">
      <c r="A3" s="26">
        <v>2013</v>
      </c>
      <c r="B3" s="25">
        <v>3.3166524216308293</v>
      </c>
      <c r="C3" s="27">
        <v>10.372953044117365</v>
      </c>
    </row>
    <row r="4" spans="1:3">
      <c r="A4" s="26">
        <v>2014</v>
      </c>
      <c r="B4" s="25">
        <v>4.1080568710296124</v>
      </c>
      <c r="C4" s="27">
        <v>8.5039291293465862</v>
      </c>
    </row>
    <row r="5" spans="1:3">
      <c r="A5" s="26">
        <v>2015</v>
      </c>
      <c r="B5" s="25">
        <v>2.3054944674525828</v>
      </c>
      <c r="C5" s="27">
        <v>6.5607179497379802</v>
      </c>
    </row>
    <row r="6" spans="1:3">
      <c r="A6" s="26">
        <v>2016</v>
      </c>
      <c r="B6" s="25">
        <v>2.0061468664605395</v>
      </c>
      <c r="C6" s="27">
        <v>4.7203990437197962</v>
      </c>
    </row>
    <row r="7" spans="1:3">
      <c r="A7" s="26">
        <v>2017</v>
      </c>
      <c r="B7" s="25">
        <v>2.2701337082191779</v>
      </c>
      <c r="C7" s="27">
        <v>5.7168419464580227</v>
      </c>
    </row>
    <row r="8" spans="1:3">
      <c r="A8" s="26">
        <v>2018</v>
      </c>
      <c r="B8" s="25">
        <v>2.1494239162087911</v>
      </c>
      <c r="C8" s="27">
        <v>7.5344929105687077</v>
      </c>
    </row>
    <row r="9" spans="1:3">
      <c r="A9" s="26">
        <v>2019</v>
      </c>
      <c r="B9" s="25">
        <v>1.8897885985226881</v>
      </c>
      <c r="C9" s="27">
        <v>4.6482075987550742</v>
      </c>
    </row>
    <row r="10" spans="1:3">
      <c r="A10" s="26">
        <v>2020</v>
      </c>
      <c r="B10" s="25">
        <v>1.7850756807689403</v>
      </c>
      <c r="C10" s="27">
        <v>3.5176106778420073</v>
      </c>
    </row>
    <row r="11" spans="1:3">
      <c r="A11" s="26">
        <v>2021</v>
      </c>
      <c r="B11" s="25">
        <v>3.2964433658857226</v>
      </c>
      <c r="C11" s="27">
        <v>13.585011555881929</v>
      </c>
    </row>
    <row r="12" spans="1:3">
      <c r="A12" s="30" t="s">
        <v>46</v>
      </c>
    </row>
    <row r="13" spans="1:3">
      <c r="A13" s="7" t="s">
        <v>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1508-A989-479F-9B29-D2EC68F01E98}">
  <dimension ref="A1:N14"/>
  <sheetViews>
    <sheetView showGridLines="0" topLeftCell="C1" workbookViewId="0">
      <selection activeCell="F13" sqref="F13"/>
    </sheetView>
  </sheetViews>
  <sheetFormatPr defaultRowHeight="15"/>
  <cols>
    <col min="1" max="1" width="7.7109375" customWidth="1"/>
    <col min="2" max="14" width="18.85546875" customWidth="1"/>
  </cols>
  <sheetData>
    <row r="1" spans="1:14" s="1" customFormat="1">
      <c r="A1" s="8" t="s">
        <v>35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9</v>
      </c>
      <c r="G1" s="8" t="s">
        <v>12</v>
      </c>
      <c r="H1" s="8" t="s">
        <v>15</v>
      </c>
      <c r="I1" s="8" t="s">
        <v>18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</row>
    <row r="2" spans="1:14" s="1" customFormat="1">
      <c r="A2" s="8">
        <v>2012</v>
      </c>
      <c r="B2" s="22">
        <v>106.73830705790763</v>
      </c>
      <c r="C2" s="23">
        <v>123.30930373010561</v>
      </c>
      <c r="D2" s="23">
        <v>101.26058415986245</v>
      </c>
      <c r="E2" s="23">
        <v>109.59547402576165</v>
      </c>
      <c r="F2" s="23">
        <v>113.47139358196341</v>
      </c>
      <c r="G2" s="23">
        <v>91.410833333333315</v>
      </c>
      <c r="H2" s="23">
        <v>118.97100230810983</v>
      </c>
      <c r="I2" s="23">
        <v>113.01081069002504</v>
      </c>
      <c r="J2" s="23">
        <v>103.34333333333335</v>
      </c>
      <c r="K2" s="23">
        <v>105.37499999999999</v>
      </c>
      <c r="L2" s="23">
        <v>116.26241736267446</v>
      </c>
      <c r="M2" s="23">
        <v>103.89365115025825</v>
      </c>
      <c r="N2" s="23">
        <v>110.65497624552199</v>
      </c>
    </row>
    <row r="3" spans="1:14" s="1" customFormat="1">
      <c r="A3" s="8">
        <v>2013</v>
      </c>
      <c r="B3" s="23">
        <v>107.65762751306367</v>
      </c>
      <c r="C3" s="23">
        <v>127.97296791959641</v>
      </c>
      <c r="D3" s="23">
        <v>105.83614803450862</v>
      </c>
      <c r="E3" s="23">
        <v>109.02977572644421</v>
      </c>
      <c r="F3" s="23">
        <v>113.73016439329729</v>
      </c>
      <c r="G3" s="23">
        <v>96.578333333333333</v>
      </c>
      <c r="H3" s="23">
        <v>120.91069071045439</v>
      </c>
      <c r="I3" s="23">
        <v>113.86376176856152</v>
      </c>
      <c r="J3" s="23">
        <v>101.33166666666666</v>
      </c>
      <c r="K3" s="23">
        <v>111.08333333333333</v>
      </c>
      <c r="L3" s="23">
        <v>114.96711328337247</v>
      </c>
      <c r="M3" s="23">
        <v>99.237836047678073</v>
      </c>
      <c r="N3" s="23">
        <v>109.05347729734237</v>
      </c>
    </row>
    <row r="4" spans="1:14" s="1" customFormat="1">
      <c r="A4" s="8">
        <v>2014</v>
      </c>
      <c r="B4" s="23">
        <v>109.60449357994267</v>
      </c>
      <c r="C4" s="23">
        <v>131.95544416711277</v>
      </c>
      <c r="D4" s="23">
        <v>112.46999055444422</v>
      </c>
      <c r="E4" s="23">
        <v>107.54914721944273</v>
      </c>
      <c r="F4" s="23">
        <v>112.94902107168505</v>
      </c>
      <c r="G4" s="23">
        <v>101.85291666666666</v>
      </c>
      <c r="H4" s="23">
        <v>122.92390712538275</v>
      </c>
      <c r="I4" s="23">
        <v>110.07562567036109</v>
      </c>
      <c r="J4" s="23">
        <v>99.409999999999982</v>
      </c>
      <c r="K4" s="23">
        <v>114.80833333333332</v>
      </c>
      <c r="L4" s="23">
        <v>113.207946762071</v>
      </c>
      <c r="M4" s="23">
        <v>98.530054453493022</v>
      </c>
      <c r="N4" s="23">
        <v>107.23125021869529</v>
      </c>
    </row>
    <row r="5" spans="1:14" s="1" customFormat="1">
      <c r="A5" s="8">
        <v>2015</v>
      </c>
      <c r="B5" s="23">
        <v>108.73175793667622</v>
      </c>
      <c r="C5" s="23">
        <v>135.09709544373231</v>
      </c>
      <c r="D5" s="23">
        <v>118.03634242409761</v>
      </c>
      <c r="E5" s="23">
        <v>104.00589178438351</v>
      </c>
      <c r="F5" s="23">
        <v>110.57365173288295</v>
      </c>
      <c r="G5" s="23">
        <v>104.65541666666667</v>
      </c>
      <c r="H5" s="23">
        <v>129.737337335218</v>
      </c>
      <c r="I5" s="23">
        <v>103.63305476105354</v>
      </c>
      <c r="J5" s="23">
        <v>94.240833333333342</v>
      </c>
      <c r="K5" s="23">
        <v>110.34166666666668</v>
      </c>
      <c r="L5" s="23">
        <v>104.22938475801718</v>
      </c>
      <c r="M5" s="23">
        <v>93.333663234539472</v>
      </c>
      <c r="N5" s="23">
        <v>100.10763341456305</v>
      </c>
    </row>
    <row r="6" spans="1:14" s="1" customFormat="1">
      <c r="A6" s="8">
        <v>2016</v>
      </c>
      <c r="B6" s="23">
        <v>109.11065782421537</v>
      </c>
      <c r="C6" s="23">
        <v>133.47541974436587</v>
      </c>
      <c r="D6" s="23">
        <v>120.70357026653269</v>
      </c>
      <c r="E6" s="23">
        <v>100.73675649959688</v>
      </c>
      <c r="F6" s="23">
        <v>107.87746256214899</v>
      </c>
      <c r="G6" s="23">
        <v>122.56958333333333</v>
      </c>
      <c r="H6" s="23">
        <v>132.3734722659963</v>
      </c>
      <c r="I6" s="23">
        <v>101.05318347038492</v>
      </c>
      <c r="J6" s="23">
        <v>92.907500000000013</v>
      </c>
      <c r="K6" s="23">
        <v>110.28333333333336</v>
      </c>
      <c r="L6" s="23">
        <v>97.78919132783102</v>
      </c>
      <c r="M6" s="23">
        <v>90.373512908456888</v>
      </c>
      <c r="N6" s="23">
        <v>96.817367751812029</v>
      </c>
    </row>
    <row r="7" spans="1:14" s="1" customFormat="1">
      <c r="A7" s="8">
        <v>2017</v>
      </c>
      <c r="B7" s="23">
        <v>112.2000365033475</v>
      </c>
      <c r="C7" s="23">
        <v>137.00700366794212</v>
      </c>
      <c r="D7" s="23">
        <v>123.92097000541263</v>
      </c>
      <c r="E7" s="23">
        <v>104.2897484555231</v>
      </c>
      <c r="F7" s="23">
        <v>112.41563581840617</v>
      </c>
      <c r="G7" s="23">
        <v>156.77041666666668</v>
      </c>
      <c r="H7" s="23">
        <v>142.80080736289739</v>
      </c>
      <c r="I7" s="23">
        <v>105.42041621975923</v>
      </c>
      <c r="J7" s="23">
        <v>98.834999999999994</v>
      </c>
      <c r="K7" s="23">
        <v>114.075</v>
      </c>
      <c r="L7" s="23">
        <v>100.46519634848707</v>
      </c>
      <c r="M7" s="23">
        <v>91.705560575552241</v>
      </c>
      <c r="N7" s="23">
        <v>98.936154232275243</v>
      </c>
    </row>
    <row r="8" spans="1:14" s="1" customFormat="1">
      <c r="A8" s="8">
        <v>2018</v>
      </c>
      <c r="B8" s="23">
        <v>115.8777700813215</v>
      </c>
      <c r="C8" s="23">
        <v>141.2198298201678</v>
      </c>
      <c r="D8" s="23">
        <v>134.31958686357547</v>
      </c>
      <c r="E8" s="23">
        <v>107.50255017060051</v>
      </c>
      <c r="F8" s="23">
        <v>117.47152386567987</v>
      </c>
      <c r="G8" s="23">
        <v>188.23458333333332</v>
      </c>
      <c r="H8" s="23">
        <v>156.45444841165281</v>
      </c>
      <c r="I8" s="23">
        <v>109.69400101299013</v>
      </c>
      <c r="J8" s="23">
        <v>102.35000000000001</v>
      </c>
      <c r="K8" s="23">
        <v>118.94166666666666</v>
      </c>
      <c r="L8" s="23">
        <v>105.38315995031962</v>
      </c>
      <c r="M8" s="23">
        <v>82.643855276629679</v>
      </c>
      <c r="N8" s="23">
        <v>101.2413563275847</v>
      </c>
    </row>
    <row r="9" spans="1:14" s="1" customFormat="1">
      <c r="A9" s="8">
        <v>2019</v>
      </c>
      <c r="B9" s="23">
        <v>116.20991189872142</v>
      </c>
      <c r="C9" s="23">
        <v>141.87529341887739</v>
      </c>
      <c r="D9" s="23">
        <v>158.1262726821362</v>
      </c>
      <c r="E9" s="23">
        <v>107.69314826938501</v>
      </c>
      <c r="F9" s="23">
        <v>121.60930261387961</v>
      </c>
      <c r="G9" s="23">
        <v>209.07583333333332</v>
      </c>
      <c r="H9" s="23">
        <v>159.01188600580244</v>
      </c>
      <c r="I9" s="23">
        <v>109.53674323680139</v>
      </c>
      <c r="J9" s="23">
        <v>101.86750000000001</v>
      </c>
      <c r="K9" s="23">
        <v>121.18333333333334</v>
      </c>
      <c r="L9" s="23">
        <v>104.72390745500797</v>
      </c>
      <c r="M9" s="23">
        <v>81.952458844412149</v>
      </c>
      <c r="N9" s="23">
        <v>99.089687546863388</v>
      </c>
    </row>
    <row r="10" spans="1:14" s="1" customFormat="1">
      <c r="A10" s="8">
        <v>2020</v>
      </c>
      <c r="B10" s="23">
        <v>116.25243664717361</v>
      </c>
      <c r="C10" s="23">
        <v>119.3527589813505</v>
      </c>
      <c r="D10" s="23">
        <v>177.98423875414835</v>
      </c>
      <c r="E10" s="23">
        <v>103.3731412441042</v>
      </c>
      <c r="F10" s="23">
        <v>120.47312470520001</v>
      </c>
      <c r="G10" s="23">
        <v>226.63166666666666</v>
      </c>
      <c r="H10" s="23">
        <v>177.49624053751</v>
      </c>
      <c r="I10" s="23">
        <v>103.44299696102968</v>
      </c>
      <c r="J10" s="23">
        <v>99.999999999999986</v>
      </c>
      <c r="K10" s="23">
        <v>121.83333333333333</v>
      </c>
      <c r="L10" s="23">
        <v>99.496143958864153</v>
      </c>
      <c r="M10" s="23">
        <v>80.33845203921004</v>
      </c>
      <c r="N10" s="23">
        <v>94.833186849121091</v>
      </c>
    </row>
    <row r="11" spans="1:14" s="1" customFormat="1">
      <c r="A11" s="8">
        <v>2021</v>
      </c>
      <c r="B11" s="23">
        <v>126.66260558804414</v>
      </c>
      <c r="C11" s="23">
        <v>123.54326270747792</v>
      </c>
      <c r="D11" s="23">
        <v>227.86119003400114</v>
      </c>
      <c r="E11" s="23">
        <v>113.59176351406914</v>
      </c>
      <c r="F11" s="23">
        <v>138.65113723474491</v>
      </c>
      <c r="G11" s="23">
        <v>282.36874999999998</v>
      </c>
      <c r="H11" s="23">
        <v>211.03957181595948</v>
      </c>
      <c r="I11" s="23">
        <v>114.89559945179363</v>
      </c>
      <c r="J11" s="23">
        <v>108.1225</v>
      </c>
      <c r="K11" s="23">
        <v>134.95000000000002</v>
      </c>
      <c r="L11" s="23">
        <v>115.47923450442164</v>
      </c>
      <c r="M11" s="23">
        <v>83.150508682917263</v>
      </c>
      <c r="N11" s="23">
        <v>99.583258352078687</v>
      </c>
    </row>
    <row r="12" spans="1:14" s="1" customFormat="1">
      <c r="A12" s="8">
        <v>2022</v>
      </c>
      <c r="B12" s="23">
        <v>134.49147173489263</v>
      </c>
      <c r="C12" s="23">
        <v>129.02400445657898</v>
      </c>
      <c r="D12" s="23">
        <v>253.509381344091</v>
      </c>
      <c r="E12" s="23">
        <v>111.11882700033088</v>
      </c>
      <c r="F12" s="23">
        <v>188.63832341358818</v>
      </c>
      <c r="G12" s="23">
        <v>353.26909090909089</v>
      </c>
      <c r="H12" s="23">
        <v>241.20685342189967</v>
      </c>
      <c r="I12" s="23">
        <v>143.8072837780739</v>
      </c>
      <c r="J12" s="23">
        <v>112.52636363636363</v>
      </c>
      <c r="K12" s="23">
        <v>151.30909090909088</v>
      </c>
      <c r="L12" s="23">
        <v>122.84569999999999</v>
      </c>
      <c r="M12" s="23">
        <v>87.884016491572851</v>
      </c>
      <c r="N12" s="23">
        <v>113.69163636363636</v>
      </c>
    </row>
    <row r="13" spans="1:14">
      <c r="A13" s="7" t="s">
        <v>48</v>
      </c>
    </row>
    <row r="14" spans="1:14">
      <c r="A14" s="29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FC4E-C214-4EA5-8A8D-D1D401D587FE}">
  <dimension ref="A1:AH44"/>
  <sheetViews>
    <sheetView workbookViewId="0">
      <pane ySplit="1" topLeftCell="A2" activePane="bottomLeft" state="frozen"/>
      <selection activeCell="J1" sqref="J1"/>
      <selection pane="bottomLeft" activeCell="B2" sqref="B2:S2"/>
    </sheetView>
  </sheetViews>
  <sheetFormatPr defaultRowHeight="15"/>
  <cols>
    <col min="1" max="1" width="21.28515625" customWidth="1"/>
  </cols>
  <sheetData>
    <row r="1" spans="1:34">
      <c r="A1" s="8"/>
      <c r="B1" s="8">
        <v>2012</v>
      </c>
      <c r="C1" s="8">
        <v>2013</v>
      </c>
      <c r="D1" s="8">
        <v>2014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  <c r="J1" s="8">
        <v>2020</v>
      </c>
      <c r="K1" s="8">
        <v>2021</v>
      </c>
      <c r="L1" s="8">
        <v>2022</v>
      </c>
      <c r="M1" s="8">
        <v>2023</v>
      </c>
      <c r="N1" s="8">
        <v>2024</v>
      </c>
      <c r="O1" s="8">
        <v>2025</v>
      </c>
      <c r="P1" s="95">
        <v>2030</v>
      </c>
      <c r="Q1" s="95">
        <v>2035</v>
      </c>
      <c r="R1" s="95">
        <v>2040</v>
      </c>
      <c r="S1" s="95">
        <v>2045</v>
      </c>
      <c r="U1" s="8">
        <v>2023</v>
      </c>
      <c r="V1" s="8">
        <v>2024</v>
      </c>
      <c r="W1" s="8">
        <v>2025</v>
      </c>
      <c r="X1" s="99">
        <v>2030</v>
      </c>
      <c r="Y1" s="95">
        <v>2035</v>
      </c>
      <c r="Z1" s="95">
        <v>2040</v>
      </c>
      <c r="AA1" s="95">
        <v>2045</v>
      </c>
      <c r="AH1" t="s">
        <v>357</v>
      </c>
    </row>
    <row r="2" spans="1:34">
      <c r="A2" s="9" t="s">
        <v>0</v>
      </c>
      <c r="B2" s="64">
        <f>(B3*55%)+(B4*30%)+(B5*15%)</f>
        <v>381.0875177065767</v>
      </c>
      <c r="C2" s="64">
        <f t="shared" ref="C2:L2" si="0">(C3*55%)+(C4*30%)+(C5*15%)</f>
        <v>363.39719426751594</v>
      </c>
      <c r="D2" s="64">
        <f t="shared" si="0"/>
        <v>356.89872448979594</v>
      </c>
      <c r="E2" s="64">
        <f t="shared" si="0"/>
        <v>310.55540983606556</v>
      </c>
      <c r="F2" s="64">
        <f t="shared" si="0"/>
        <v>309.58647670250002</v>
      </c>
      <c r="G2" s="64">
        <f t="shared" si="0"/>
        <v>361.78258010118043</v>
      </c>
      <c r="H2" s="64">
        <f t="shared" si="0"/>
        <v>302.87756147540989</v>
      </c>
      <c r="I2" s="64">
        <f t="shared" si="0"/>
        <v>284.30842105263162</v>
      </c>
      <c r="J2" s="64">
        <f t="shared" si="0"/>
        <v>350.93271287128709</v>
      </c>
      <c r="K2" s="64">
        <f t="shared" si="0"/>
        <v>447.7486554621849</v>
      </c>
      <c r="L2" s="64">
        <f t="shared" si="0"/>
        <v>479.45270270270271</v>
      </c>
      <c r="M2" s="64">
        <f t="shared" ref="M2" si="1">(M3*55%)+(M4*30%)+(M5*15%)</f>
        <v>475.76177703742212</v>
      </c>
      <c r="N2" s="64">
        <f t="shared" ref="N2" si="2">(N3*55%)+(N4*30%)+(N5*15%)</f>
        <v>474.40064782239608</v>
      </c>
      <c r="O2" s="64">
        <f t="shared" ref="O2" si="3">(O3*55%)+(O4*30%)+(O5*15%)</f>
        <v>473.55120986574457</v>
      </c>
      <c r="P2" s="64">
        <f t="shared" ref="P2" si="4">(P3*55%)+(P4*30%)+(P5*15%)</f>
        <v>437.77446712346341</v>
      </c>
      <c r="Q2" s="64">
        <f t="shared" ref="Q2" si="5">(Q3*55%)+(Q4*30%)+(Q5*15%)</f>
        <v>448.29684244700803</v>
      </c>
      <c r="R2" s="64">
        <f t="shared" ref="R2" si="6">(R3*55%)+(R4*30%)+(R5*15%)</f>
        <v>458.56340291587139</v>
      </c>
      <c r="S2" s="64">
        <f t="shared" ref="S2" si="7">(S3*55%)+(S4*30%)+(S5*15%)</f>
        <v>468.72841086484976</v>
      </c>
      <c r="U2" s="100">
        <f>M2/L2-1</f>
        <v>-7.698205984604134E-3</v>
      </c>
      <c r="V2" s="100">
        <f t="shared" ref="V2" si="8">N2/M2-1</f>
        <v>-2.8609469711959878E-3</v>
      </c>
      <c r="W2" s="100">
        <f t="shared" ref="W2" si="9">O2/N2-1</f>
        <v>-1.7905497400786397E-3</v>
      </c>
      <c r="AC2" s="101">
        <f>AVERAGE(G2:K2)</f>
        <v>349.52998619253879</v>
      </c>
      <c r="AH2" t="s">
        <v>358</v>
      </c>
    </row>
    <row r="3" spans="1:34">
      <c r="A3" s="105" t="s">
        <v>27</v>
      </c>
      <c r="B3" s="97">
        <v>414.32</v>
      </c>
      <c r="C3" s="97">
        <v>424.77</v>
      </c>
      <c r="D3" s="97">
        <v>446.47</v>
      </c>
      <c r="E3" s="97">
        <v>365</v>
      </c>
      <c r="F3" s="97">
        <v>323</v>
      </c>
      <c r="G3" s="97">
        <v>421</v>
      </c>
      <c r="H3" s="97">
        <v>362</v>
      </c>
      <c r="I3" s="97">
        <v>267</v>
      </c>
      <c r="J3" s="97">
        <v>226</v>
      </c>
      <c r="K3" s="97">
        <v>436</v>
      </c>
      <c r="L3" s="97">
        <v>561</v>
      </c>
      <c r="M3" s="97">
        <f>L3-(L3*0.83%)</f>
        <v>556.34370000000001</v>
      </c>
      <c r="N3" s="97">
        <f>M3-(M3*0.25%)</f>
        <v>554.95284075000006</v>
      </c>
      <c r="O3" s="97">
        <f>N3-(N3*0.16%)</f>
        <v>554.06491620480006</v>
      </c>
      <c r="P3" s="97">
        <f t="shared" ref="P3:S5" si="10">(X3+1)^(5)*O3</f>
        <v>509.32013673317533</v>
      </c>
      <c r="Q3" s="97">
        <f t="shared" si="10"/>
        <v>522.70089846198164</v>
      </c>
      <c r="R3" s="97">
        <f t="shared" si="10"/>
        <v>534.83413258412986</v>
      </c>
      <c r="S3" s="97">
        <f t="shared" si="10"/>
        <v>546.43238341140921</v>
      </c>
      <c r="U3" s="100">
        <f>M3/L3-1</f>
        <v>-8.2999999999999741E-3</v>
      </c>
      <c r="V3" s="100">
        <f t="shared" ref="V3:W3" si="11">N3/M3-1</f>
        <v>-2.4999999999999467E-3</v>
      </c>
      <c r="W3" s="100">
        <f t="shared" si="11"/>
        <v>-1.6000000000000458E-3</v>
      </c>
      <c r="X3" s="94">
        <v>-1.67E-2</v>
      </c>
      <c r="Y3" s="94">
        <v>5.1999999999999998E-3</v>
      </c>
      <c r="Z3" s="93">
        <v>4.5999999999999999E-3</v>
      </c>
      <c r="AA3" s="93">
        <v>4.3E-3</v>
      </c>
      <c r="AC3" s="6">
        <f t="shared" ref="AC3:AC42" si="12">AVERAGE(G3:K3)</f>
        <v>342.4</v>
      </c>
      <c r="AH3" t="s">
        <v>359</v>
      </c>
    </row>
    <row r="4" spans="1:34">
      <c r="A4" s="4" t="s">
        <v>29</v>
      </c>
      <c r="B4" s="23">
        <v>332.20910623946037</v>
      </c>
      <c r="C4" s="23">
        <v>281.84713375796179</v>
      </c>
      <c r="D4" s="23">
        <v>240.81632653061226</v>
      </c>
      <c r="E4" s="23">
        <v>237.70491803278688</v>
      </c>
      <c r="F4" s="23">
        <v>285.73450000000003</v>
      </c>
      <c r="G4" s="23">
        <v>283.30522765598653</v>
      </c>
      <c r="H4" s="23">
        <v>225.40983606557376</v>
      </c>
      <c r="I4" s="23">
        <v>298.24561403508773</v>
      </c>
      <c r="J4" s="23">
        <v>491.08910891089107</v>
      </c>
      <c r="K4" s="23">
        <v>449.57983193277312</v>
      </c>
      <c r="L4" s="23">
        <v>374.2203742203742</v>
      </c>
      <c r="M4" s="22">
        <f>L4-(L4*0.62%)</f>
        <v>371.90020790020787</v>
      </c>
      <c r="N4" s="22">
        <f>M4-(M4*0.43%)</f>
        <v>370.30103700623698</v>
      </c>
      <c r="O4" s="22">
        <f>N4-(N4*0.21%)</f>
        <v>369.52340482852389</v>
      </c>
      <c r="P4" s="22">
        <f t="shared" si="10"/>
        <v>345.67965381947971</v>
      </c>
      <c r="Q4" s="22">
        <f t="shared" si="10"/>
        <v>353.15565362831546</v>
      </c>
      <c r="R4" s="22">
        <f t="shared" si="10"/>
        <v>361.3533059370082</v>
      </c>
      <c r="S4" s="22">
        <f t="shared" si="10"/>
        <v>369.92530762212533</v>
      </c>
      <c r="U4" s="100">
        <f t="shared" ref="U4:U5" si="13">M4/L4-1</f>
        <v>-6.1999999999999833E-3</v>
      </c>
      <c r="V4" s="100">
        <f t="shared" ref="V4:V7" si="14">N4/M4-1</f>
        <v>-4.2999999999999705E-3</v>
      </c>
      <c r="W4" s="100">
        <f t="shared" ref="W4:W7" si="15">O4/N4-1</f>
        <v>-2.0999999999999908E-3</v>
      </c>
      <c r="X4" s="94">
        <v>-1.3251730343854001E-2</v>
      </c>
      <c r="Y4" s="94">
        <v>4.2884521443824798E-3</v>
      </c>
      <c r="Z4" s="93">
        <v>4.5999999999999999E-3</v>
      </c>
      <c r="AA4" s="93">
        <v>4.7000000000000002E-3</v>
      </c>
      <c r="AC4" s="6">
        <f t="shared" si="12"/>
        <v>349.52592372006245</v>
      </c>
    </row>
    <row r="5" spans="1:34">
      <c r="A5" s="4" t="s">
        <v>2</v>
      </c>
      <c r="B5" s="23">
        <f>B4+(7.46%*B4)</f>
        <v>356.99190556492408</v>
      </c>
      <c r="C5" s="23">
        <f>C4+(6.96%*C4)</f>
        <v>301.4636942675159</v>
      </c>
      <c r="D5" s="23">
        <f>D4+(8.23%*D4)</f>
        <v>260.63551020408164</v>
      </c>
      <c r="E5" s="23">
        <f>E4+(7.96%*E4)</f>
        <v>256.62622950819673</v>
      </c>
      <c r="F5" s="23">
        <f>F4+(7.83%*F4)</f>
        <v>308.10751135000004</v>
      </c>
      <c r="G5" s="23">
        <f>G4+(6.46%*G4)</f>
        <v>301.60674536256329</v>
      </c>
      <c r="H5" s="23">
        <f>H4+(6.93%*H4)</f>
        <v>241.03073770491801</v>
      </c>
      <c r="I5" s="23">
        <f>I4+(7.26%*I4)</f>
        <v>319.89824561403509</v>
      </c>
      <c r="J5" s="23">
        <f>J4+(7.66%*J4)</f>
        <v>528.70653465346527</v>
      </c>
      <c r="K5" s="23">
        <f>K4+(8.36%*K4)</f>
        <v>487.16470588235296</v>
      </c>
      <c r="L5" s="23">
        <f>L4+(4.46%*L4)</f>
        <v>390.9106029106029</v>
      </c>
      <c r="M5" s="22">
        <f>L5-(L5*0.74%)</f>
        <v>388.01786444906446</v>
      </c>
      <c r="N5" s="22">
        <f>M5-(M5*0.2%)</f>
        <v>387.24182872016632</v>
      </c>
      <c r="O5" s="22">
        <f>N5-(N5*0.22%)</f>
        <v>386.38989669698196</v>
      </c>
      <c r="P5" s="22">
        <f t="shared" si="10"/>
        <v>359.62997182915382</v>
      </c>
      <c r="Q5" s="22">
        <f t="shared" si="10"/>
        <v>365.76434802949029</v>
      </c>
      <c r="R5" s="22">
        <f t="shared" si="10"/>
        <v>373.32425475664996</v>
      </c>
      <c r="S5" s="22">
        <f t="shared" si="10"/>
        <v>381.42005134624713</v>
      </c>
      <c r="U5" s="100">
        <f t="shared" si="13"/>
        <v>-7.3999999999999622E-3</v>
      </c>
      <c r="V5" s="100">
        <f t="shared" si="14"/>
        <v>-2.0000000000000018E-3</v>
      </c>
      <c r="W5" s="100">
        <f t="shared" si="15"/>
        <v>-2.1999999999999797E-3</v>
      </c>
      <c r="X5" s="94">
        <v>-1.4251730343854E-2</v>
      </c>
      <c r="Y5" s="94">
        <v>3.3884521443824801E-3</v>
      </c>
      <c r="Z5" s="93">
        <v>4.1000000000000003E-3</v>
      </c>
      <c r="AA5" s="93">
        <v>4.3E-3</v>
      </c>
      <c r="AC5" s="6">
        <f t="shared" si="12"/>
        <v>375.68139384346694</v>
      </c>
    </row>
    <row r="6" spans="1:34">
      <c r="A6" s="9" t="s">
        <v>1</v>
      </c>
      <c r="B6" s="64">
        <f>(B7*40%)+(B8*40%)+(B9*20%)</f>
        <v>795.34645594017422</v>
      </c>
      <c r="C6" s="64">
        <f t="shared" ref="C6:L6" si="16">(C7*40%)+(C8*40%)+(C9*20%)</f>
        <v>853.96686389836702</v>
      </c>
      <c r="D6" s="64">
        <f t="shared" si="16"/>
        <v>818.07317032470974</v>
      </c>
      <c r="E6" s="64">
        <f t="shared" si="16"/>
        <v>711.7735928638881</v>
      </c>
      <c r="F6" s="64">
        <f t="shared" si="16"/>
        <v>560.14553613801399</v>
      </c>
      <c r="G6" s="64">
        <f t="shared" si="16"/>
        <v>696.37801440495537</v>
      </c>
      <c r="H6" s="64">
        <f t="shared" si="16"/>
        <v>696.5980986031044</v>
      </c>
      <c r="I6" s="64">
        <f t="shared" si="16"/>
        <v>630.68480302684372</v>
      </c>
      <c r="J6" s="64">
        <f t="shared" si="16"/>
        <v>531.32106913339828</v>
      </c>
      <c r="K6" s="64">
        <f t="shared" si="16"/>
        <v>690.53664807008852</v>
      </c>
      <c r="L6" s="64">
        <f t="shared" si="16"/>
        <v>749.48414911976852</v>
      </c>
      <c r="M6" s="64">
        <f t="shared" ref="M6" si="17">(M7*40%)+(M8*40%)+(M9*20%)</f>
        <v>722.92729296882248</v>
      </c>
      <c r="N6" s="64">
        <f t="shared" ref="N6" si="18">(N7*40%)+(N8*40%)+(N9*20%)</f>
        <v>719.17749107424254</v>
      </c>
      <c r="O6" s="64">
        <f t="shared" ref="O6" si="19">(O7*40%)+(O8*40%)+(O9*20%)</f>
        <v>708.47886654226136</v>
      </c>
      <c r="P6" s="64">
        <f t="shared" ref="P6" si="20">(P7*40%)+(P8*40%)+(P9*20%)</f>
        <v>663.8343874423249</v>
      </c>
      <c r="Q6" s="64">
        <f t="shared" ref="Q6" si="21">(Q7*40%)+(Q8*40%)+(Q9*20%)</f>
        <v>669.6654898030115</v>
      </c>
      <c r="R6" s="64">
        <f t="shared" ref="R6" si="22">(R7*40%)+(R8*40%)+(R9*20%)</f>
        <v>674.75822410740716</v>
      </c>
      <c r="S6" s="64">
        <f t="shared" ref="S6" si="23">(S7*40%)+(S8*40%)+(S9*20%)</f>
        <v>678.56885790757383</v>
      </c>
      <c r="U6" s="100">
        <f>M6/L6-1</f>
        <v>-3.5433512746247842E-2</v>
      </c>
      <c r="V6" s="100">
        <f t="shared" si="14"/>
        <v>-5.1869696040672819E-3</v>
      </c>
      <c r="W6" s="100">
        <f t="shared" si="15"/>
        <v>-1.48761949098275E-2</v>
      </c>
      <c r="AC6" s="107">
        <f t="shared" si="12"/>
        <v>649.10372664767806</v>
      </c>
    </row>
    <row r="7" spans="1:34">
      <c r="A7" s="4" t="s">
        <v>33</v>
      </c>
      <c r="B7" s="22">
        <v>594.11764705882354</v>
      </c>
      <c r="C7" s="22">
        <v>701.52707080055529</v>
      </c>
      <c r="D7" s="22">
        <v>640.22757697456495</v>
      </c>
      <c r="E7" s="22">
        <v>529.31640097271008</v>
      </c>
      <c r="F7" s="22">
        <v>403.75586854460096</v>
      </c>
      <c r="G7" s="22">
        <v>532.59141494435607</v>
      </c>
      <c r="H7" s="22">
        <v>559.95055624227439</v>
      </c>
      <c r="I7" s="22">
        <v>471.52875175315569</v>
      </c>
      <c r="J7" s="22">
        <v>441.34615384615387</v>
      </c>
      <c r="K7" s="22">
        <v>596.90366972477068</v>
      </c>
      <c r="L7" s="22">
        <v>625.76285963382736</v>
      </c>
      <c r="M7" s="22">
        <f>L7-(L7*3.78%)</f>
        <v>602.10902353966867</v>
      </c>
      <c r="N7" s="22">
        <f>M7-(M7*0.74%)</f>
        <v>597.65341676547507</v>
      </c>
      <c r="O7" s="22">
        <f>N7-(N7*1.23%)</f>
        <v>590.30227973925969</v>
      </c>
      <c r="P7" s="22">
        <f>(X7+1)^(5)*O7</f>
        <v>555.44285893298968</v>
      </c>
      <c r="Q7" s="22">
        <f t="shared" ref="Q7:S7" si="24">(Y7+1)^(5)*P7</f>
        <v>561.2995554754624</v>
      </c>
      <c r="R7" s="22">
        <f t="shared" si="24"/>
        <v>566.93504796132243</v>
      </c>
      <c r="S7" s="22">
        <f t="shared" si="24"/>
        <v>571.19983600802448</v>
      </c>
      <c r="U7" s="100">
        <f>M7/L7-1</f>
        <v>-3.7800000000000056E-2</v>
      </c>
      <c r="V7" s="100">
        <f t="shared" si="14"/>
        <v>-7.4000000000000732E-3</v>
      </c>
      <c r="W7" s="100">
        <f t="shared" si="15"/>
        <v>-1.2300000000000089E-2</v>
      </c>
      <c r="X7" s="94">
        <v>-1.21E-2</v>
      </c>
      <c r="Y7" s="94">
        <v>2.0999999999999999E-3</v>
      </c>
      <c r="Z7" s="93">
        <v>2E-3</v>
      </c>
      <c r="AA7" s="93">
        <v>1.5E-3</v>
      </c>
      <c r="AC7" s="6">
        <f t="shared" si="12"/>
        <v>520.46410930214211</v>
      </c>
      <c r="AE7" t="s">
        <v>361</v>
      </c>
    </row>
    <row r="8" spans="1:34">
      <c r="A8" s="4" t="s">
        <v>34</v>
      </c>
      <c r="B8" s="23">
        <v>906.94626474442987</v>
      </c>
      <c r="C8" s="22">
        <v>933.92630241423126</v>
      </c>
      <c r="D8" s="22">
        <v>911.62790697674416</v>
      </c>
      <c r="E8" s="22">
        <v>811.87010078387459</v>
      </c>
      <c r="F8" s="22">
        <v>647.5054229934924</v>
      </c>
      <c r="G8" s="22">
        <v>788.5881492318947</v>
      </c>
      <c r="H8" s="22">
        <v>769.91150442477874</v>
      </c>
      <c r="I8" s="22">
        <v>719.37984496124034</v>
      </c>
      <c r="J8" s="22">
        <v>576.58227848101262</v>
      </c>
      <c r="K8" s="22">
        <v>732.54504504504507</v>
      </c>
      <c r="L8" s="22">
        <v>819.77764774722061</v>
      </c>
      <c r="M8" s="22">
        <f>L8-(L8*3.26%)</f>
        <v>793.05289643066124</v>
      </c>
      <c r="N8" s="22">
        <f>M8-(M8*0.35%)</f>
        <v>790.27721129315387</v>
      </c>
      <c r="O8" s="22">
        <f>N8-(N8*1.51%)</f>
        <v>778.34402540262727</v>
      </c>
      <c r="P8" s="22">
        <f>(X8+1)^(5)*O8</f>
        <v>725.36428923988365</v>
      </c>
      <c r="Q8" s="22">
        <f t="shared" ref="Q8:S8" si="25">(Y8+1)^(5)*P8</f>
        <v>730.09143172304596</v>
      </c>
      <c r="R8" s="22">
        <f t="shared" si="25"/>
        <v>734.11577842670965</v>
      </c>
      <c r="S8" s="22">
        <f t="shared" si="25"/>
        <v>737.05694364157478</v>
      </c>
      <c r="U8" s="100">
        <f t="shared" ref="U8:U9" si="26">M8/L8-1</f>
        <v>-3.2599999999999962E-2</v>
      </c>
      <c r="V8" s="100">
        <f t="shared" ref="V8:V11" si="27">N8/M8-1</f>
        <v>-3.5000000000000586E-3</v>
      </c>
      <c r="W8" s="100">
        <f t="shared" ref="W8:W11" si="28">O8/N8-1</f>
        <v>-1.5100000000000002E-2</v>
      </c>
      <c r="X8" s="94">
        <v>-1.4E-2</v>
      </c>
      <c r="Y8" s="94">
        <v>1.2999999999999999E-3</v>
      </c>
      <c r="Z8" s="93">
        <v>1.1000000000000001E-3</v>
      </c>
      <c r="AA8" s="93">
        <v>8.0000000000000004E-4</v>
      </c>
      <c r="AC8" s="6">
        <f t="shared" si="12"/>
        <v>717.4013644287943</v>
      </c>
    </row>
    <row r="9" spans="1:34">
      <c r="A9" s="4" t="s">
        <v>2</v>
      </c>
      <c r="B9" s="23">
        <f>B8+(7.46%*B8)</f>
        <v>974.60445609436431</v>
      </c>
      <c r="C9" s="23">
        <f>C8+(6.96%*C8)</f>
        <v>998.92757306226179</v>
      </c>
      <c r="D9" s="23">
        <f>D8+(8.23%*D8)</f>
        <v>986.65488372093023</v>
      </c>
      <c r="E9" s="23">
        <f>E8+(7.96%*E8)</f>
        <v>876.49496080627102</v>
      </c>
      <c r="F9" s="23">
        <f>F8+(7.83%*F8)</f>
        <v>698.2050976138828</v>
      </c>
      <c r="G9" s="23">
        <f>G8+(6.46%*G8)</f>
        <v>839.53094367227516</v>
      </c>
      <c r="H9" s="23">
        <f>H8+(6.93%*H8)</f>
        <v>823.26637168141588</v>
      </c>
      <c r="I9" s="23">
        <f>I8+(7.26%*I8)</f>
        <v>771.60682170542634</v>
      </c>
      <c r="J9" s="23">
        <f>J8+(7.66%*J8)</f>
        <v>620.7484810126582</v>
      </c>
      <c r="K9" s="23">
        <f>K8+(8.36%*K8)</f>
        <v>793.78581081081086</v>
      </c>
      <c r="L9" s="23">
        <f>L8+(4.46%*L8)</f>
        <v>856.33973083674664</v>
      </c>
      <c r="M9" s="22">
        <f>L9-(L9*3.74%)</f>
        <v>824.31262490345227</v>
      </c>
      <c r="N9" s="22">
        <f>M9-(M9*0.52%)</f>
        <v>820.02619925395436</v>
      </c>
      <c r="O9" s="22">
        <f>N9-(N9*1.82%)</f>
        <v>805.10172242753242</v>
      </c>
      <c r="P9" s="22">
        <f>(X9+1)^(5)*O9</f>
        <v>757.5576408658776</v>
      </c>
      <c r="Q9" s="22">
        <f t="shared" ref="Q9:S9" si="29">(Y9+1)^(5)*P9</f>
        <v>765.54547461804088</v>
      </c>
      <c r="R9" s="22">
        <f t="shared" si="29"/>
        <v>771.68946776097152</v>
      </c>
      <c r="S9" s="22">
        <f t="shared" si="29"/>
        <v>776.33073023867007</v>
      </c>
      <c r="U9" s="100">
        <f t="shared" si="26"/>
        <v>-3.74000000000001E-2</v>
      </c>
      <c r="V9" s="100">
        <f t="shared" si="27"/>
        <v>-5.1999999999999824E-3</v>
      </c>
      <c r="W9" s="100">
        <f t="shared" si="28"/>
        <v>-1.8199999999999994E-2</v>
      </c>
      <c r="X9" s="94">
        <v>-1.21E-2</v>
      </c>
      <c r="Y9" s="94">
        <v>2.0999999999999999E-3</v>
      </c>
      <c r="Z9" s="93">
        <v>1.6000000000000001E-3</v>
      </c>
      <c r="AA9" s="93">
        <v>1.1999999999999999E-3</v>
      </c>
      <c r="AC9" s="6">
        <f t="shared" si="12"/>
        <v>769.78768577651726</v>
      </c>
    </row>
    <row r="10" spans="1:34">
      <c r="A10" s="9" t="s">
        <v>3</v>
      </c>
      <c r="B10" s="64">
        <f>(B11*75%)+(B12*20%)+(B13*5%)</f>
        <v>220.43907142857142</v>
      </c>
      <c r="C10" s="64">
        <f t="shared" ref="C10:L10" si="30">(C11*75%)+(C12*20%)+(C13*5%)</f>
        <v>314.43449178532319</v>
      </c>
      <c r="D10" s="64">
        <f t="shared" si="30"/>
        <v>365.39233525345622</v>
      </c>
      <c r="E10" s="64">
        <f t="shared" si="30"/>
        <v>235.84438636363637</v>
      </c>
      <c r="F10" s="64">
        <f t="shared" si="30"/>
        <v>166.200765375</v>
      </c>
      <c r="G10" s="64">
        <f t="shared" si="30"/>
        <v>208.54018400549955</v>
      </c>
      <c r="H10" s="64">
        <f t="shared" si="30"/>
        <v>258.16107724719103</v>
      </c>
      <c r="I10" s="64">
        <f t="shared" si="30"/>
        <v>199.10690225563911</v>
      </c>
      <c r="J10" s="64">
        <f t="shared" si="30"/>
        <v>216.40757633587788</v>
      </c>
      <c r="K10" s="64">
        <f t="shared" si="30"/>
        <v>327.30952134146344</v>
      </c>
      <c r="L10" s="64">
        <f t="shared" si="30"/>
        <v>360.23727207062598</v>
      </c>
      <c r="M10" s="64">
        <f t="shared" ref="M10" si="31">(M11*75%)+(M12*20%)+(M13*5%)</f>
        <v>346.81485037319425</v>
      </c>
      <c r="N10" s="64">
        <f t="shared" ref="N10" si="32">(N11*75%)+(N12*20%)+(N13*5%)</f>
        <v>345.16516356161077</v>
      </c>
      <c r="O10" s="64">
        <f t="shared" ref="O10" si="33">(O11*75%)+(O12*20%)+(O13*5%)</f>
        <v>341.07453845118198</v>
      </c>
      <c r="P10" s="64">
        <f t="shared" ref="P10" si="34">(P11*75%)+(P12*20%)+(P13*5%)</f>
        <v>321.6872259559031</v>
      </c>
      <c r="Q10" s="64">
        <f t="shared" ref="Q10" si="35">(Q11*75%)+(Q12*20%)+(Q13*5%)</f>
        <v>327.25723164977262</v>
      </c>
      <c r="R10" s="64">
        <f t="shared" ref="R10" si="36">(R11*75%)+(R12*20%)+(R13*5%)</f>
        <v>332.20668998441135</v>
      </c>
      <c r="S10" s="64">
        <f t="shared" ref="S10" si="37">(S11*75%)+(S12*20%)+(S13*5%)</f>
        <v>336.14484577956227</v>
      </c>
      <c r="U10" s="100">
        <f>M10/L10-1</f>
        <v>-3.7259947090650281E-2</v>
      </c>
      <c r="V10" s="100">
        <f t="shared" si="27"/>
        <v>-4.7566786999123645E-3</v>
      </c>
      <c r="W10" s="100">
        <f t="shared" si="28"/>
        <v>-1.1851210789117217E-2</v>
      </c>
      <c r="AC10" s="107">
        <f t="shared" si="12"/>
        <v>241.90505223713416</v>
      </c>
    </row>
    <row r="11" spans="1:34">
      <c r="A11" s="3" t="s">
        <v>28</v>
      </c>
      <c r="B11" s="23">
        <v>185.71428571428572</v>
      </c>
      <c r="C11" s="23">
        <v>275.52026286966048</v>
      </c>
      <c r="D11" s="23">
        <v>305.5299539170507</v>
      </c>
      <c r="E11" s="23">
        <v>187.12121212121212</v>
      </c>
      <c r="F11" s="23">
        <v>116.35000000000001</v>
      </c>
      <c r="G11" s="23">
        <v>166.22364802933089</v>
      </c>
      <c r="H11" s="23">
        <v>198.31460674157304</v>
      </c>
      <c r="I11" s="23">
        <v>143.35839598997495</v>
      </c>
      <c r="J11" s="23">
        <v>191.38495092693569</v>
      </c>
      <c r="K11" s="23">
        <v>289.32926829268291</v>
      </c>
      <c r="L11" s="23">
        <v>319.26163723916534</v>
      </c>
      <c r="M11" s="22">
        <f>L11-(L11*3.8%)</f>
        <v>307.12969502407708</v>
      </c>
      <c r="N11" s="22">
        <f>M11-(M11*0.51%)</f>
        <v>305.56333357945431</v>
      </c>
      <c r="O11" s="22">
        <f>N11-(N11*1.2%)</f>
        <v>301.89657357650088</v>
      </c>
      <c r="P11" s="22">
        <f>(X11+1)^(5)*O11</f>
        <v>285.65356069214454</v>
      </c>
      <c r="Q11" s="22">
        <f t="shared" ref="Q11:Q13" si="38">(Y11+1)^(5)*P11</f>
        <v>290.54280523979691</v>
      </c>
      <c r="R11" s="22">
        <f t="shared" ref="R11:R13" si="39">(Z11+1)^(5)*Q11</f>
        <v>295.07422657444891</v>
      </c>
      <c r="S11" s="22">
        <f t="shared" ref="S11:S13" si="40">(AA11+1)^(5)*R11</f>
        <v>298.63215440882681</v>
      </c>
      <c r="U11" s="100">
        <f>M11/L11-1</f>
        <v>-3.7999999999999923E-2</v>
      </c>
      <c r="V11" s="100">
        <f t="shared" si="27"/>
        <v>-5.0999999999998824E-3</v>
      </c>
      <c r="W11" s="100">
        <f t="shared" si="28"/>
        <v>-1.19999999999999E-2</v>
      </c>
      <c r="X11" s="94">
        <v>-1.0999999999999999E-2</v>
      </c>
      <c r="Y11" s="94">
        <v>3.3999999999999998E-3</v>
      </c>
      <c r="Z11" s="93">
        <v>3.0999999999999999E-3</v>
      </c>
      <c r="AA11" s="93">
        <v>2.3999999999999998E-3</v>
      </c>
      <c r="AC11" s="6">
        <f t="shared" si="12"/>
        <v>197.72217399609949</v>
      </c>
    </row>
    <row r="12" spans="1:34">
      <c r="A12" s="4" t="s">
        <v>31</v>
      </c>
      <c r="B12" s="23">
        <f>B11*1.5</f>
        <v>278.57142857142856</v>
      </c>
      <c r="C12" s="23">
        <f t="shared" ref="C12:L12" si="41">C11*1.5</f>
        <v>413.28039430449076</v>
      </c>
      <c r="D12" s="23">
        <f t="shared" si="41"/>
        <v>458.29493087557603</v>
      </c>
      <c r="E12" s="23">
        <f t="shared" si="41"/>
        <v>280.68181818181819</v>
      </c>
      <c r="F12" s="23">
        <f t="shared" si="41"/>
        <v>174.52500000000001</v>
      </c>
      <c r="G12" s="23">
        <f t="shared" si="41"/>
        <v>249.33547204399633</v>
      </c>
      <c r="H12" s="23">
        <f t="shared" si="41"/>
        <v>297.47191011235958</v>
      </c>
      <c r="I12" s="23">
        <f t="shared" si="41"/>
        <v>215.03759398496243</v>
      </c>
      <c r="J12" s="23">
        <f t="shared" si="41"/>
        <v>287.0774263904035</v>
      </c>
      <c r="K12" s="23">
        <f t="shared" si="41"/>
        <v>433.9939024390244</v>
      </c>
      <c r="L12" s="23">
        <f t="shared" si="41"/>
        <v>478.89245585874801</v>
      </c>
      <c r="M12" s="22">
        <f>L12-(L12*3.6%)</f>
        <v>461.6523274478331</v>
      </c>
      <c r="N12" s="22">
        <f>M12-(M12*0.3%)</f>
        <v>460.26737046548959</v>
      </c>
      <c r="O12" s="22">
        <f>N12-(N12*1.1%)</f>
        <v>455.20442939036923</v>
      </c>
      <c r="P12" s="22">
        <f>(X12+1)^(5)*O12</f>
        <v>426.37550096080554</v>
      </c>
      <c r="Q12" s="22">
        <f t="shared" si="38"/>
        <v>434.10571753110992</v>
      </c>
      <c r="R12" s="22">
        <f t="shared" si="39"/>
        <v>440.21732689317446</v>
      </c>
      <c r="S12" s="22">
        <f t="shared" si="40"/>
        <v>445.30316727190456</v>
      </c>
      <c r="U12" s="100">
        <f t="shared" ref="U12:U13" si="42">M12/L12-1</f>
        <v>-3.5999999999999921E-2</v>
      </c>
      <c r="V12" s="100">
        <f t="shared" ref="V12:V14" si="43">N12/M12-1</f>
        <v>-3.0000000000000027E-3</v>
      </c>
      <c r="W12" s="100">
        <f t="shared" ref="W12:W14" si="44">O12/N12-1</f>
        <v>-1.0999999999999899E-2</v>
      </c>
      <c r="X12" s="94">
        <v>-1.2999999999999999E-2</v>
      </c>
      <c r="Y12" s="94">
        <v>3.5999999999999999E-3</v>
      </c>
      <c r="Z12" s="93">
        <v>2.8E-3</v>
      </c>
      <c r="AA12" s="93">
        <v>2.3E-3</v>
      </c>
      <c r="AC12" s="6">
        <f t="shared" si="12"/>
        <v>296.58326099414927</v>
      </c>
    </row>
    <row r="13" spans="1:34">
      <c r="A13" s="4" t="s">
        <v>2</v>
      </c>
      <c r="B13" s="23">
        <f>488+(7.46%*B12)</f>
        <v>508.78142857142859</v>
      </c>
      <c r="C13" s="23">
        <f>474+(6.96%*C12)</f>
        <v>502.76431544359258</v>
      </c>
      <c r="D13" s="23">
        <f>854+(8.23%*D12)</f>
        <v>891.71767281105986</v>
      </c>
      <c r="E13" s="23">
        <f>765+(7.96%*E12)</f>
        <v>787.34227272727276</v>
      </c>
      <c r="F13" s="23">
        <f>867+(7.83%*F12)</f>
        <v>880.66530750000004</v>
      </c>
      <c r="G13" s="23">
        <f>664+(6.46%*G12)</f>
        <v>680.1070714940422</v>
      </c>
      <c r="H13" s="23">
        <f>978+(6.93%*H12)</f>
        <v>998.61480337078649</v>
      </c>
      <c r="I13" s="23">
        <f>956+(7.26%*I12)</f>
        <v>971.61172932330828</v>
      </c>
      <c r="J13" s="23">
        <f>J12+(7.66%*J12)</f>
        <v>309.0675572519084</v>
      </c>
      <c r="K13" s="23">
        <f>K12+(8.36%*K12)</f>
        <v>470.27579268292686</v>
      </c>
      <c r="L13" s="23">
        <f>L12+(4.46%*L12)</f>
        <v>500.25105939004817</v>
      </c>
      <c r="M13" s="22">
        <f>L13-(L13*3.5%)</f>
        <v>482.7422723113965</v>
      </c>
      <c r="N13" s="22">
        <f>M13-(M13*0.82%)</f>
        <v>478.78378567844305</v>
      </c>
      <c r="O13" s="22">
        <f>N13-(N13*1.37%)</f>
        <v>472.22444781464839</v>
      </c>
      <c r="P13" s="22">
        <f>(X13+1)^(5)*O13</f>
        <v>443.43910489267142</v>
      </c>
      <c r="Q13" s="22">
        <f t="shared" si="38"/>
        <v>450.57968427405979</v>
      </c>
      <c r="R13" s="22">
        <f t="shared" si="39"/>
        <v>457.15109349879572</v>
      </c>
      <c r="S13" s="22">
        <f t="shared" si="40"/>
        <v>462.20193037122488</v>
      </c>
      <c r="U13" s="100">
        <f t="shared" si="42"/>
        <v>-3.499999999999992E-2</v>
      </c>
      <c r="V13" s="100">
        <f t="shared" si="43"/>
        <v>-8.1999999999999851E-3</v>
      </c>
      <c r="W13" s="100">
        <f t="shared" si="44"/>
        <v>-1.3700000000000045E-2</v>
      </c>
      <c r="X13" s="94">
        <v>-1.2500000000000001E-2</v>
      </c>
      <c r="Y13" s="94">
        <v>3.2000000000000002E-3</v>
      </c>
      <c r="Z13" s="93">
        <v>2.8999999999999998E-3</v>
      </c>
      <c r="AA13" s="93">
        <v>2.2000000000000001E-3</v>
      </c>
      <c r="AC13" s="6">
        <f t="shared" si="12"/>
        <v>685.93539082459449</v>
      </c>
    </row>
    <row r="14" spans="1:34">
      <c r="A14" s="9" t="s">
        <v>4</v>
      </c>
      <c r="B14" s="64">
        <f>(B18*30%)+(B17*30%)+(B16*15%)+(B15*15%)+(B19*10%)</f>
        <v>371.39135516282397</v>
      </c>
      <c r="C14" s="64">
        <f t="shared" ref="C14:S14" si="45">(C18*30%)+(C17*30%)+(C16*15%)+(C15*15%)+(C19*10%)</f>
        <v>438.18859129218401</v>
      </c>
      <c r="D14" s="64">
        <f t="shared" si="45"/>
        <v>442.21617237985902</v>
      </c>
      <c r="E14" s="64">
        <f t="shared" si="45"/>
        <v>333.653284812724</v>
      </c>
      <c r="F14" s="64">
        <f t="shared" si="45"/>
        <v>229.90147826575298</v>
      </c>
      <c r="G14" s="64">
        <f t="shared" si="45"/>
        <v>329.44373334464598</v>
      </c>
      <c r="H14" s="64">
        <f t="shared" si="45"/>
        <v>394.67492430017899</v>
      </c>
      <c r="I14" s="64">
        <f t="shared" si="45"/>
        <v>297.37271566599793</v>
      </c>
      <c r="J14" s="64">
        <f t="shared" si="45"/>
        <v>252.74777498613403</v>
      </c>
      <c r="K14" s="64">
        <f t="shared" si="45"/>
        <v>407.39522101938002</v>
      </c>
      <c r="L14" s="64">
        <f t="shared" si="45"/>
        <v>462.16855128551401</v>
      </c>
      <c r="M14" s="64">
        <f t="shared" si="45"/>
        <v>376.79309504032949</v>
      </c>
      <c r="N14" s="64">
        <f t="shared" si="45"/>
        <v>365.43540769572331</v>
      </c>
      <c r="O14" s="64">
        <f t="shared" si="45"/>
        <v>358.19287790126128</v>
      </c>
      <c r="P14" s="64">
        <f t="shared" si="45"/>
        <v>300.583013407777</v>
      </c>
      <c r="Q14" s="64">
        <f t="shared" si="45"/>
        <v>281.47356386815898</v>
      </c>
      <c r="R14" s="64">
        <f t="shared" si="45"/>
        <v>265.60333330229412</v>
      </c>
      <c r="S14" s="64">
        <f t="shared" si="45"/>
        <v>254.02789117558078</v>
      </c>
      <c r="U14" s="100">
        <f>M14/L14-1</f>
        <v>-0.18472796560413762</v>
      </c>
      <c r="V14" s="100">
        <f t="shared" si="43"/>
        <v>-3.0143034716149764E-2</v>
      </c>
      <c r="W14" s="100">
        <f t="shared" si="44"/>
        <v>-1.9818905453443225E-2</v>
      </c>
      <c r="AC14" s="107">
        <f t="shared" si="12"/>
        <v>336.32687386326739</v>
      </c>
    </row>
    <row r="15" spans="1:34">
      <c r="A15" s="2" t="s">
        <v>5</v>
      </c>
      <c r="B15" s="23">
        <v>418.03423500000002</v>
      </c>
      <c r="C15" s="23">
        <v>489.0307555</v>
      </c>
      <c r="D15" s="23">
        <v>477.16743209999998</v>
      </c>
      <c r="E15" s="23">
        <v>336.2551603</v>
      </c>
      <c r="F15" s="23">
        <v>227.07664500000001</v>
      </c>
      <c r="G15" s="23">
        <v>346.02350639999997</v>
      </c>
      <c r="H15" s="23">
        <v>415.7606609</v>
      </c>
      <c r="I15" s="23">
        <v>306.45397709999997</v>
      </c>
      <c r="J15" s="23">
        <v>245.040998</v>
      </c>
      <c r="K15" s="23">
        <v>442.78196259999999</v>
      </c>
      <c r="L15" s="23">
        <v>545.04149749999999</v>
      </c>
      <c r="M15" s="22">
        <f>L15-(L15*20.31%)</f>
        <v>434.34356935775003</v>
      </c>
      <c r="N15" s="22">
        <f>M15-(M15*3.31%)</f>
        <v>419.96679721200849</v>
      </c>
      <c r="O15" s="22">
        <f>N15-(N15*2.31%)</f>
        <v>410.26556419641111</v>
      </c>
      <c r="P15" s="22">
        <f>(X15+1)^(5)*O15</f>
        <v>335.35541483615128</v>
      </c>
      <c r="Q15" s="22">
        <f t="shared" ref="Q15:S19" si="46">(Y15+1)^(5)*P15</f>
        <v>307.34179937974608</v>
      </c>
      <c r="R15" s="22">
        <f t="shared" si="46"/>
        <v>285.26181783192908</v>
      </c>
      <c r="S15" s="22">
        <f t="shared" si="46"/>
        <v>269.23220847386273</v>
      </c>
      <c r="U15" s="100">
        <f>M15/L15-1</f>
        <v>-0.20309999999999995</v>
      </c>
      <c r="V15" s="100">
        <f t="shared" ref="V15:V17" si="47">N15/M15-1</f>
        <v>-3.3100000000000018E-2</v>
      </c>
      <c r="W15" s="100">
        <f t="shared" ref="W15:W17" si="48">O15/N15-1</f>
        <v>-2.3100000000000009E-2</v>
      </c>
      <c r="X15" s="94">
        <v>-3.952060720441037E-2</v>
      </c>
      <c r="Y15" s="94">
        <v>-1.7294783788801511E-2</v>
      </c>
      <c r="Z15" s="93">
        <v>-1.4799999999999997E-2</v>
      </c>
      <c r="AA15" s="93">
        <v>-1.15E-2</v>
      </c>
      <c r="AB15" s="93">
        <v>3.3999999999999998E-3</v>
      </c>
      <c r="AC15" s="6">
        <f t="shared" si="12"/>
        <v>351.212221</v>
      </c>
      <c r="AD15" s="93"/>
      <c r="AE15" s="93"/>
      <c r="AF15" s="93"/>
      <c r="AG15" s="93"/>
    </row>
    <row r="16" spans="1:34">
      <c r="A16" s="2" t="s">
        <v>7</v>
      </c>
      <c r="B16" s="23">
        <v>369.23950059999999</v>
      </c>
      <c r="C16" s="23">
        <v>430.83352550000001</v>
      </c>
      <c r="D16" s="23">
        <v>436.0485175</v>
      </c>
      <c r="E16" s="23">
        <v>328.16145610000001</v>
      </c>
      <c r="F16" s="23">
        <v>219.93989070000001</v>
      </c>
      <c r="G16" s="23">
        <v>331.34853889999999</v>
      </c>
      <c r="H16" s="23">
        <v>387.81093270000002</v>
      </c>
      <c r="I16" s="23">
        <v>292.19256180000002</v>
      </c>
      <c r="J16" s="23">
        <v>226.56223439999999</v>
      </c>
      <c r="K16" s="23">
        <v>378.39097390000001</v>
      </c>
      <c r="L16" s="23">
        <v>399.14487680000002</v>
      </c>
      <c r="M16" s="22">
        <f>L16-(L16*18.1%)</f>
        <v>326.89965409920001</v>
      </c>
      <c r="N16" s="22">
        <f>M16-(M16*3.11%)</f>
        <v>316.73307485671489</v>
      </c>
      <c r="O16" s="22">
        <f>N16-(N16*2.17%)</f>
        <v>309.85996713232419</v>
      </c>
      <c r="P16" s="22">
        <f t="shared" ref="P16:P19" si="49">(X16+1)^(5)*O16</f>
        <v>256.35741192897882</v>
      </c>
      <c r="Q16" s="22">
        <f t="shared" si="46"/>
        <v>237.09613851254517</v>
      </c>
      <c r="R16" s="22">
        <f t="shared" si="46"/>
        <v>221.51846269077021</v>
      </c>
      <c r="S16" s="22">
        <f t="shared" si="46"/>
        <v>210.13041658609947</v>
      </c>
      <c r="U16" s="100">
        <f t="shared" ref="U16:U17" si="50">M16/L16-1</f>
        <v>-0.18100000000000005</v>
      </c>
      <c r="V16" s="100">
        <f t="shared" si="47"/>
        <v>-3.1100000000000017E-2</v>
      </c>
      <c r="W16" s="100">
        <f t="shared" si="48"/>
        <v>-2.1699999999999942E-2</v>
      </c>
      <c r="X16" s="93">
        <v>-3.7199999999999997E-2</v>
      </c>
      <c r="Y16" s="93">
        <v>-1.55E-2</v>
      </c>
      <c r="Z16" s="93">
        <v>-1.3499999999999998E-2</v>
      </c>
      <c r="AA16" s="93">
        <v>-1.0499999999999999E-2</v>
      </c>
      <c r="AB16" s="93"/>
      <c r="AC16" s="6">
        <f t="shared" si="12"/>
        <v>323.26104834</v>
      </c>
      <c r="AD16" s="93"/>
      <c r="AE16" s="93"/>
      <c r="AF16" s="93"/>
      <c r="AG16" s="93"/>
    </row>
    <row r="17" spans="1:33">
      <c r="A17" s="2" t="s">
        <v>6</v>
      </c>
      <c r="B17" s="65">
        <v>350.41401450000001</v>
      </c>
      <c r="C17" s="65">
        <v>411.08494339999999</v>
      </c>
      <c r="D17" s="65">
        <v>432.51562790000003</v>
      </c>
      <c r="E17" s="65">
        <v>333.8523849</v>
      </c>
      <c r="F17" s="65">
        <v>226.22523029999999</v>
      </c>
      <c r="G17" s="65">
        <v>325.90899280000002</v>
      </c>
      <c r="H17" s="65">
        <v>394.92467950000002</v>
      </c>
      <c r="I17" s="65">
        <v>297.62042719999999</v>
      </c>
      <c r="J17" s="65">
        <v>230.64131090000001</v>
      </c>
      <c r="K17" s="65">
        <v>377.67762499999998</v>
      </c>
      <c r="L17" s="65">
        <v>388.89930520000001</v>
      </c>
      <c r="M17" s="22">
        <f>L17-(L17*18.58%)</f>
        <v>316.64181429384001</v>
      </c>
      <c r="N17" s="22">
        <f>M17-(M17*3.01%)</f>
        <v>307.11089568359546</v>
      </c>
      <c r="O17" s="22">
        <f>N17-(N17*2.01%)</f>
        <v>300.9379666803552</v>
      </c>
      <c r="P17" s="22">
        <f t="shared" si="49"/>
        <v>251.83352761926812</v>
      </c>
      <c r="Q17" s="22">
        <f t="shared" si="46"/>
        <v>235.64555557124797</v>
      </c>
      <c r="R17" s="22">
        <f t="shared" si="46"/>
        <v>221.84210425489047</v>
      </c>
      <c r="S17" s="22">
        <f t="shared" si="46"/>
        <v>211.82341509004695</v>
      </c>
      <c r="U17" s="100">
        <f t="shared" si="50"/>
        <v>-0.18579999999999997</v>
      </c>
      <c r="V17" s="100">
        <f t="shared" si="47"/>
        <v>-3.0099999999999905E-2</v>
      </c>
      <c r="W17" s="100">
        <f t="shared" si="48"/>
        <v>-2.0100000000000007E-2</v>
      </c>
      <c r="X17" s="90">
        <v>-3.4999999999999996E-2</v>
      </c>
      <c r="Y17" s="93">
        <v>-1.32E-2</v>
      </c>
      <c r="Z17" s="93">
        <v>-1.1999999999999997E-2</v>
      </c>
      <c r="AA17" s="93">
        <v>-9.1999999999999998E-3</v>
      </c>
      <c r="AC17" s="6">
        <f t="shared" si="12"/>
        <v>325.35460707999999</v>
      </c>
    </row>
    <row r="18" spans="1:33">
      <c r="A18" s="2" t="s">
        <v>8</v>
      </c>
      <c r="B18" s="23">
        <v>363.65800439999998</v>
      </c>
      <c r="C18" s="23">
        <v>434.64582789999997</v>
      </c>
      <c r="D18" s="23">
        <v>429.85349330000003</v>
      </c>
      <c r="E18" s="23">
        <v>328.05931190000001</v>
      </c>
      <c r="F18" s="23">
        <v>232.89465910000001</v>
      </c>
      <c r="G18" s="23">
        <v>319.99515009999999</v>
      </c>
      <c r="H18" s="23">
        <v>382.52717030000002</v>
      </c>
      <c r="I18" s="23">
        <v>290.45230729999997</v>
      </c>
      <c r="J18" s="23">
        <v>276.73771490000001</v>
      </c>
      <c r="K18" s="23">
        <v>418.54244549999999</v>
      </c>
      <c r="L18" s="23">
        <v>504.05677589999999</v>
      </c>
      <c r="M18" s="22">
        <f>L18-(L18*17.81%)</f>
        <v>414.28426411221</v>
      </c>
      <c r="N18" s="22">
        <f>M18-(M18*2.91%)</f>
        <v>402.22859202654467</v>
      </c>
      <c r="O18" s="22">
        <f>N18-(N18*1.81%)</f>
        <v>394.94825451086422</v>
      </c>
      <c r="P18" s="22">
        <f t="shared" si="49"/>
        <v>335.84686555611876</v>
      </c>
      <c r="Q18" s="22">
        <f t="shared" si="46"/>
        <v>317.7772170676559</v>
      </c>
      <c r="R18" s="22">
        <f t="shared" si="46"/>
        <v>302.05037458363836</v>
      </c>
      <c r="S18" s="22">
        <f t="shared" si="46"/>
        <v>289.86774930544902</v>
      </c>
      <c r="U18" s="100">
        <f>M18/L18-1</f>
        <v>-0.17810000000000004</v>
      </c>
      <c r="V18" s="100">
        <f t="shared" ref="V18:V20" si="51">N18/M18-1</f>
        <v>-2.9100000000000015E-2</v>
      </c>
      <c r="W18" s="100">
        <f t="shared" ref="W18:W20" si="52">O18/N18-1</f>
        <v>-1.8100000000000005E-2</v>
      </c>
      <c r="X18" s="93">
        <v>-3.1899999999999998E-2</v>
      </c>
      <c r="Y18" s="93">
        <v>-1.0999999999999999E-2</v>
      </c>
      <c r="Z18" s="93">
        <v>-1.0099999999999998E-2</v>
      </c>
      <c r="AA18" s="93">
        <v>-8.199999999999999E-3</v>
      </c>
      <c r="AC18" s="6">
        <f t="shared" si="12"/>
        <v>337.65095761999999</v>
      </c>
    </row>
    <row r="19" spans="1:33">
      <c r="A19" s="4" t="s">
        <v>2</v>
      </c>
      <c r="B19" s="23">
        <f>B18+(7.46%*B18)</f>
        <v>390.78689152824001</v>
      </c>
      <c r="C19" s="23">
        <f>C18+(6.96%*C18)</f>
        <v>464.89717752183998</v>
      </c>
      <c r="D19" s="23">
        <f>D18+(8.23%*D18)</f>
        <v>465.23043579859001</v>
      </c>
      <c r="E19" s="23">
        <f>E18+(7.96%*E18)</f>
        <v>354.17283312724004</v>
      </c>
      <c r="F19" s="23">
        <f>F18+(7.83%*F18)</f>
        <v>251.13031090753</v>
      </c>
      <c r="G19" s="23">
        <f>G18+(6.46%*G18)</f>
        <v>340.66683679645996</v>
      </c>
      <c r="H19" s="23">
        <f>H18+(6.93%*H18)</f>
        <v>409.03630320179002</v>
      </c>
      <c r="I19" s="23">
        <f>I18+(7.26%*I18)</f>
        <v>311.53914480997997</v>
      </c>
      <c r="J19" s="23">
        <f>J18+(7.66%*J18)</f>
        <v>297.93582386134</v>
      </c>
      <c r="K19" s="23">
        <f>K18+(8.36%*K18)</f>
        <v>453.53259394379995</v>
      </c>
      <c r="L19" s="23">
        <f>L18+(4.46%*L18)</f>
        <v>526.53770810514004</v>
      </c>
      <c r="M19" s="22">
        <f>L19-(L19*17.71%)</f>
        <v>433.28787999971973</v>
      </c>
      <c r="N19" s="22">
        <f>M19-(M19*2.77%)</f>
        <v>421.28580572372749</v>
      </c>
      <c r="O19" s="22">
        <f>N19-(N19*1.71%)</f>
        <v>414.08181844585175</v>
      </c>
      <c r="P19" s="22">
        <f t="shared" si="49"/>
        <v>355.2197144039136</v>
      </c>
      <c r="Q19" s="22">
        <f t="shared" si="46"/>
        <v>337.81041392644153</v>
      </c>
      <c r="R19" s="22">
        <f t="shared" si="46"/>
        <v>324.18547572330647</v>
      </c>
      <c r="S19" s="22">
        <f t="shared" si="46"/>
        <v>316.16148097937656</v>
      </c>
      <c r="U19" s="100">
        <f t="shared" ref="U19" si="53">M19/L19-1</f>
        <v>-0.17710000000000004</v>
      </c>
      <c r="V19" s="100">
        <f t="shared" si="51"/>
        <v>-2.7700000000000058E-2</v>
      </c>
      <c r="W19" s="100">
        <f t="shared" si="52"/>
        <v>-1.7100000000000004E-2</v>
      </c>
      <c r="X19" s="93">
        <v>-3.0199999999999998E-2</v>
      </c>
      <c r="Y19" s="93">
        <v>-9.9999999999999985E-3</v>
      </c>
      <c r="Z19" s="93">
        <v>-8.199999999999999E-3</v>
      </c>
      <c r="AA19" s="93">
        <v>-5.000000000000001E-3</v>
      </c>
      <c r="AC19" s="6">
        <f t="shared" si="12"/>
        <v>362.542140522674</v>
      </c>
    </row>
    <row r="20" spans="1:33">
      <c r="A20" s="9" t="s">
        <v>9</v>
      </c>
      <c r="B20" s="64">
        <f>(B23*60%)+('Hist_Weighted Average Price '!B21*25%)+('Hist_Weighted Average Price '!B22*15%)</f>
        <v>459.85356436951656</v>
      </c>
      <c r="C20" s="64">
        <f>(C23*60%)+('Hist_Weighted Average Price '!C21*25%)+('Hist_Weighted Average Price '!C22*15%)</f>
        <v>546.49284565219614</v>
      </c>
      <c r="D20" s="64">
        <f>(D23*60%)+('Hist_Weighted Average Price '!D21*25%)+('Hist_Weighted Average Price '!D22*15%)</f>
        <v>518.71886662155566</v>
      </c>
      <c r="E20" s="64">
        <f>(E23*60%)+('Hist_Weighted Average Price '!E21*25%)+('Hist_Weighted Average Price '!E22*15%)</f>
        <v>390.25174994658084</v>
      </c>
      <c r="F20" s="64">
        <f>(F23*60%)+('Hist_Weighted Average Price '!F21*25%)+('Hist_Weighted Average Price '!F22*15%)</f>
        <v>280.74646836670939</v>
      </c>
      <c r="G20" s="64">
        <f>(G23*60%)+('Hist_Weighted Average Price '!G21*25%)+('Hist_Weighted Average Price '!G22*15%)</f>
        <v>407.27414546592331</v>
      </c>
      <c r="H20" s="64">
        <f>(H23*60%)+('Hist_Weighted Average Price '!H21*25%)+('Hist_Weighted Average Price '!H22*15%)</f>
        <v>472.63969958977998</v>
      </c>
      <c r="I20" s="64">
        <f>(I23*60%)+('Hist_Weighted Average Price '!I21*25%)+('Hist_Weighted Average Price '!I22*15%)</f>
        <v>354.23430442955834</v>
      </c>
      <c r="J20" s="64">
        <f>(J23*60%)+('Hist_Weighted Average Price '!J21*25%)+('Hist_Weighted Average Price '!J22*15%)</f>
        <v>288.12066616709387</v>
      </c>
      <c r="K20" s="64">
        <f>(K23*60%)+('Hist_Weighted Average Price '!K21*25%)+('Hist_Weighted Average Price '!K22*15%)</f>
        <v>468.67350583750465</v>
      </c>
      <c r="L20" s="64">
        <f>(L23*60%)+('Hist_Weighted Average Price '!L21*25%)+('Hist_Weighted Average Price '!L22*15%)</f>
        <v>492.50808114687283</v>
      </c>
      <c r="M20" s="64">
        <f>(M23*60%)+('Hist_Weighted Average Price '!M21*25%)+('Hist_Weighted Average Price '!M22*15%)</f>
        <v>396.76004756883913</v>
      </c>
      <c r="N20" s="64">
        <f>(N23*60%)+('Hist_Weighted Average Price '!N21*25%)+('Hist_Weighted Average Price '!N22*15%)</f>
        <v>384.6538101803169</v>
      </c>
      <c r="O20" s="64">
        <f>(O23*60%)+('Hist_Weighted Average Price '!O21*25%)+('Hist_Weighted Average Price '!O22*15%)</f>
        <v>376.39391746090899</v>
      </c>
      <c r="P20" s="64">
        <f>(P23*60%)+('Hist_Weighted Average Price '!P21*25%)+('Hist_Weighted Average Price '!P22*15%)</f>
        <v>316.25870671290369</v>
      </c>
      <c r="Q20" s="64">
        <f>(Q23*60%)+('Hist_Weighted Average Price '!Q21*25%)+('Hist_Weighted Average Price '!Q22*15%)</f>
        <v>293.85143106894293</v>
      </c>
      <c r="R20" s="64">
        <f>(R23*60%)+('Hist_Weighted Average Price '!R21*25%)+('Hist_Weighted Average Price '!R22*15%)</f>
        <v>279.97190289370337</v>
      </c>
      <c r="S20" s="64">
        <f>(S23*60%)+('Hist_Weighted Average Price '!S21*25%)+('Hist_Weighted Average Price '!S22*15%)</f>
        <v>268.6788864056258</v>
      </c>
      <c r="U20" s="100">
        <f>M20/L20-1</f>
        <v>-0.19440906097433208</v>
      </c>
      <c r="V20" s="100">
        <f t="shared" si="51"/>
        <v>-3.0512743061464009E-2</v>
      </c>
      <c r="W20" s="100">
        <f t="shared" si="52"/>
        <v>-2.1473575721337235E-2</v>
      </c>
      <c r="AC20" s="107">
        <f t="shared" si="12"/>
        <v>398.18846429797202</v>
      </c>
    </row>
    <row r="21" spans="1:33">
      <c r="A21" s="2" t="s">
        <v>10</v>
      </c>
      <c r="B21" s="23">
        <v>400.80606635581302</v>
      </c>
      <c r="C21" s="23">
        <v>486.49142764280492</v>
      </c>
      <c r="D21" s="23">
        <v>445.2542800455447</v>
      </c>
      <c r="E21" s="23">
        <v>339.0359829497508</v>
      </c>
      <c r="F21" s="23">
        <v>224.37241858490202</v>
      </c>
      <c r="G21" s="66">
        <v>340.642</v>
      </c>
      <c r="H21" s="23">
        <v>409.49362043911981</v>
      </c>
      <c r="I21" s="23">
        <v>304.84246032760075</v>
      </c>
      <c r="J21" s="23">
        <v>224.20227426837539</v>
      </c>
      <c r="K21" s="23">
        <v>398.30042554296773</v>
      </c>
      <c r="L21" s="23">
        <v>423.06329588795563</v>
      </c>
      <c r="M21" s="22">
        <f>L21-(L21*18.78%)</f>
        <v>343.61200892019758</v>
      </c>
      <c r="N21" s="22">
        <f>M21-(M21*3.11%)</f>
        <v>332.92567544277944</v>
      </c>
      <c r="O21" s="22">
        <f>N21-(N21*2.17%)</f>
        <v>325.70118828567115</v>
      </c>
      <c r="P21" s="22">
        <f>(X21+1)^(5)*O21</f>
        <v>272.83866083314012</v>
      </c>
      <c r="Q21" s="22">
        <f t="shared" ref="Q21:S23" si="54">(Y21+1)^(5)*P21</f>
        <v>251.95484420023675</v>
      </c>
      <c r="R21" s="22">
        <f t="shared" si="54"/>
        <v>238.39885801550651</v>
      </c>
      <c r="S21" s="22">
        <f t="shared" si="54"/>
        <v>227.28803294734121</v>
      </c>
      <c r="U21" s="100">
        <f>M21/L21-1</f>
        <v>-0.18779999999999997</v>
      </c>
      <c r="V21" s="100">
        <f t="shared" ref="V21:V23" si="55">N21/M21-1</f>
        <v>-3.1100000000000017E-2</v>
      </c>
      <c r="W21" s="100">
        <f t="shared" ref="W21:W23" si="56">O21/N21-1</f>
        <v>-2.1699999999999942E-2</v>
      </c>
      <c r="X21" s="93">
        <v>-3.4799999999999998E-2</v>
      </c>
      <c r="Y21" s="93">
        <v>-1.5800000000000002E-2</v>
      </c>
      <c r="Z21" s="93">
        <v>-1.0999999999999999E-2</v>
      </c>
      <c r="AA21" s="93">
        <v>-9.5000000000000015E-3</v>
      </c>
      <c r="AC21" s="6">
        <f t="shared" si="12"/>
        <v>335.49615611561273</v>
      </c>
    </row>
    <row r="22" spans="1:33">
      <c r="A22" s="2" t="s">
        <v>11</v>
      </c>
      <c r="B22" s="23">
        <v>452.52912549771418</v>
      </c>
      <c r="C22" s="23">
        <v>536.61461647657745</v>
      </c>
      <c r="D22" s="23">
        <v>509.65160075329567</v>
      </c>
      <c r="E22" s="23">
        <v>382.93816963641092</v>
      </c>
      <c r="F22" s="23">
        <v>281.88080468830321</v>
      </c>
      <c r="G22" s="23">
        <v>408.37979292297189</v>
      </c>
      <c r="H22" s="66">
        <v>467.75599999999997</v>
      </c>
      <c r="I22" s="23">
        <v>350.34992860988228</v>
      </c>
      <c r="J22" s="66">
        <v>291.56</v>
      </c>
      <c r="K22" s="23">
        <v>461.28074316607018</v>
      </c>
      <c r="L22" s="23">
        <v>497.89157162429052</v>
      </c>
      <c r="M22" s="22">
        <f>L22-(L22*18.96%)</f>
        <v>403.49132964432505</v>
      </c>
      <c r="N22" s="22">
        <f>M22-(M22*3.18%)</f>
        <v>390.66030536163549</v>
      </c>
      <c r="O22" s="22">
        <f>N22-(N22*2.27%)</f>
        <v>381.79231642992636</v>
      </c>
      <c r="P22" s="22">
        <f t="shared" ref="P22:P23" si="57">(X22+1)^(5)*O22</f>
        <v>319.99170092787875</v>
      </c>
      <c r="Q22" s="22">
        <f t="shared" si="54"/>
        <v>297.45540033597558</v>
      </c>
      <c r="R22" s="22">
        <f t="shared" si="54"/>
        <v>283.59218410152897</v>
      </c>
      <c r="S22" s="22">
        <f t="shared" si="54"/>
        <v>271.19497492182199</v>
      </c>
      <c r="U22" s="100">
        <f t="shared" ref="U22:U23" si="58">M22/L22-1</f>
        <v>-0.18959999999999999</v>
      </c>
      <c r="V22" s="100">
        <f t="shared" si="55"/>
        <v>-3.180000000000005E-2</v>
      </c>
      <c r="W22" s="100">
        <f t="shared" si="56"/>
        <v>-2.2700000000000053E-2</v>
      </c>
      <c r="X22" s="93">
        <v>-3.4699999999999995E-2</v>
      </c>
      <c r="Y22" s="93">
        <v>-1.4500000000000002E-2</v>
      </c>
      <c r="Z22" s="93">
        <v>-9.5000000000000015E-3</v>
      </c>
      <c r="AA22" s="93">
        <v>-8.9000000000000017E-3</v>
      </c>
      <c r="AB22" s="93"/>
      <c r="AC22" s="6">
        <f t="shared" si="12"/>
        <v>395.86529293978481</v>
      </c>
      <c r="AD22" s="93"/>
      <c r="AE22" s="93"/>
      <c r="AF22" s="93"/>
      <c r="AG22" s="93"/>
    </row>
    <row r="23" spans="1:33">
      <c r="A23" s="4" t="s">
        <v>2</v>
      </c>
      <c r="B23" s="23">
        <f>B22+(7.46%*B22)</f>
        <v>486.28779825984367</v>
      </c>
      <c r="C23" s="23">
        <f>C22+(6.96%*C22)</f>
        <v>573.9629937833472</v>
      </c>
      <c r="D23" s="23">
        <f>D22+(8.23%*D22)</f>
        <v>551.5959274952919</v>
      </c>
      <c r="E23" s="23">
        <f>E22+(7.96%*E22)</f>
        <v>413.42004793946921</v>
      </c>
      <c r="F23" s="23">
        <f>F22+(7.83%*F22)</f>
        <v>303.95207169539736</v>
      </c>
      <c r="G23" s="23">
        <f>G22+(6.46%*G22)</f>
        <v>434.76112754579589</v>
      </c>
      <c r="H23" s="23">
        <f>H22+(6.93%*H22)</f>
        <v>500.17149079999996</v>
      </c>
      <c r="I23" s="23">
        <f>I22+(7.26%*I22)</f>
        <v>375.78533342695971</v>
      </c>
      <c r="J23" s="23">
        <f>J22+(7.66%*J22)</f>
        <v>313.89349600000003</v>
      </c>
      <c r="K23" s="23">
        <f>K22+(8.36%*K22)</f>
        <v>499.84381329475366</v>
      </c>
      <c r="L23" s="23">
        <f>L22+(4.46%*L22)</f>
        <v>520.09753571873387</v>
      </c>
      <c r="M23" s="22">
        <f>L23-(L23*19.78%)</f>
        <v>417.22224315356829</v>
      </c>
      <c r="N23" s="22">
        <f>M23-(M23*3%)</f>
        <v>404.70557585896125</v>
      </c>
      <c r="O23" s="22">
        <f>N23-(N23*2.11%)</f>
        <v>396.16628820833716</v>
      </c>
      <c r="P23" s="22">
        <f t="shared" si="57"/>
        <v>333.41714394239472</v>
      </c>
      <c r="Q23" s="22">
        <f t="shared" si="54"/>
        <v>310.40734994747902</v>
      </c>
      <c r="R23" s="22">
        <f t="shared" si="54"/>
        <v>296.38893462432901</v>
      </c>
      <c r="S23" s="22">
        <f t="shared" si="54"/>
        <v>285.29605321752871</v>
      </c>
      <c r="U23" s="100">
        <f t="shared" si="58"/>
        <v>-0.19780000000000009</v>
      </c>
      <c r="V23" s="100">
        <f t="shared" si="55"/>
        <v>-2.9999999999999916E-2</v>
      </c>
      <c r="W23" s="100">
        <f t="shared" si="56"/>
        <v>-2.1100000000000008E-2</v>
      </c>
      <c r="X23" s="93">
        <v>-3.39E-2</v>
      </c>
      <c r="Y23" s="93">
        <v>-1.4200000000000001E-2</v>
      </c>
      <c r="Z23" s="93">
        <v>-9.1999999999999998E-3</v>
      </c>
      <c r="AA23" s="93">
        <v>-7.6000000000000026E-3</v>
      </c>
      <c r="AC23" s="6">
        <f t="shared" si="12"/>
        <v>424.89105221350184</v>
      </c>
    </row>
    <row r="24" spans="1:33">
      <c r="A24" s="9" t="s">
        <v>12</v>
      </c>
      <c r="B24" s="64">
        <f>(B25*55%)+(B26*25%)+(B27*20%)</f>
        <v>411.01186522723839</v>
      </c>
      <c r="C24" s="64">
        <f t="shared" ref="C24:L24" si="59">(C25*55%)+(C26*25%)+(C27*20%)</f>
        <v>448.38799135314031</v>
      </c>
      <c r="D24" s="64">
        <f t="shared" si="59"/>
        <v>443.77425001275464</v>
      </c>
      <c r="E24" s="64">
        <f t="shared" si="59"/>
        <v>325.26033398702248</v>
      </c>
      <c r="F24" s="64">
        <f t="shared" si="59"/>
        <v>261.3241296531001</v>
      </c>
      <c r="G24" s="64">
        <f t="shared" si="59"/>
        <v>358.11724235282577</v>
      </c>
      <c r="H24" s="64">
        <f t="shared" si="59"/>
        <v>483.39789798000004</v>
      </c>
      <c r="I24" s="64">
        <f t="shared" si="59"/>
        <v>239.97710328000005</v>
      </c>
      <c r="J24" s="64">
        <f t="shared" si="59"/>
        <v>444.27326547378374</v>
      </c>
      <c r="K24" s="64">
        <f t="shared" si="59"/>
        <v>537.25452358439782</v>
      </c>
      <c r="L24" s="64">
        <f t="shared" si="59"/>
        <v>525.29344779999997</v>
      </c>
      <c r="M24" s="64">
        <f t="shared" ref="M24" si="60">(M25*55%)+(M26*25%)+(M27*20%)</f>
        <v>510.94866918692009</v>
      </c>
      <c r="N24" s="64">
        <f t="shared" ref="N24" si="61">(N25*55%)+(N26*25%)+(N27*20%)</f>
        <v>508.19306298618324</v>
      </c>
      <c r="O24" s="64">
        <f t="shared" ref="O24" si="62">(O25*55%)+(O26*25%)+(O27*20%)</f>
        <v>501.89571087164501</v>
      </c>
      <c r="P24" s="64">
        <f t="shared" ref="P24" si="63">(P25*55%)+(P26*25%)+(P27*20%)</f>
        <v>471.41707730456176</v>
      </c>
      <c r="Q24" s="64">
        <f t="shared" ref="Q24" si="64">(Q25*55%)+(Q26*25%)+(Q27*20%)</f>
        <v>476.54332393356856</v>
      </c>
      <c r="R24" s="64">
        <f t="shared" ref="R24" si="65">(R25*55%)+(R26*25%)+(R27*20%)</f>
        <v>480.99933842193786</v>
      </c>
      <c r="S24" s="64">
        <f t="shared" ref="S24" si="66">(S25*55%)+(S26*25%)+(S27*20%)</f>
        <v>484.74756521090922</v>
      </c>
      <c r="U24" s="100">
        <f>M24/L24-1</f>
        <v>-2.7308124007938361E-2</v>
      </c>
      <c r="V24" s="100">
        <f t="shared" ref="V24" si="67">N24/M24-1</f>
        <v>-5.3931174830573747E-3</v>
      </c>
      <c r="W24" s="100">
        <f t="shared" ref="W24" si="68">O24/N24-1</f>
        <v>-1.2391653041335271E-2</v>
      </c>
      <c r="AC24" s="107">
        <f t="shared" si="12"/>
        <v>412.60400653420146</v>
      </c>
    </row>
    <row r="25" spans="1:33">
      <c r="A25" s="98" t="s">
        <v>13</v>
      </c>
      <c r="B25" s="97">
        <v>436.56452000000002</v>
      </c>
      <c r="C25" s="97">
        <v>454.20571494279307</v>
      </c>
      <c r="D25" s="97">
        <v>468.15476872271927</v>
      </c>
      <c r="E25" s="97">
        <v>341.68474792597317</v>
      </c>
      <c r="F25" s="97">
        <v>250.72128795728062</v>
      </c>
      <c r="G25" s="97">
        <v>402.64484299999998</v>
      </c>
      <c r="H25" s="97">
        <v>537.63671999999997</v>
      </c>
      <c r="I25" s="97">
        <v>263.82546000000002</v>
      </c>
      <c r="J25" s="97">
        <v>456.27276784324306</v>
      </c>
      <c r="K25" s="97">
        <v>549.44241669890505</v>
      </c>
      <c r="L25" s="97">
        <v>538.76346000000001</v>
      </c>
      <c r="M25" s="22">
        <f>L25-(L25*2.1%)</f>
        <v>527.44942734000006</v>
      </c>
      <c r="N25" s="22">
        <f>M25-(M25*0.52%)</f>
        <v>524.70669031783211</v>
      </c>
      <c r="O25" s="22">
        <f>N25-(N25*1.26%)</f>
        <v>518.0953860198274</v>
      </c>
      <c r="P25" s="22">
        <f t="shared" ref="P25:S27" si="69">(X25+1)^(5)*O25</f>
        <v>484.79198235319234</v>
      </c>
      <c r="Q25" s="22">
        <f t="shared" si="69"/>
        <v>489.65933267817587</v>
      </c>
      <c r="R25" s="22">
        <f t="shared" si="69"/>
        <v>493.83561223807322</v>
      </c>
      <c r="S25" s="22">
        <f t="shared" si="69"/>
        <v>497.55050731059026</v>
      </c>
      <c r="U25" s="100">
        <f>M25/L25-1</f>
        <v>-2.0999999999999908E-2</v>
      </c>
      <c r="V25" s="100">
        <f t="shared" ref="V25:V27" si="70">N25/M25-1</f>
        <v>-5.1999999999998714E-3</v>
      </c>
      <c r="W25" s="100">
        <f t="shared" ref="W25:W27" si="71">O25/N25-1</f>
        <v>-1.2600000000000056E-2</v>
      </c>
      <c r="X25" s="94">
        <v>-1.32E-2</v>
      </c>
      <c r="Y25" s="94">
        <v>2E-3</v>
      </c>
      <c r="Z25" s="93">
        <v>1.6999999999999999E-3</v>
      </c>
      <c r="AA25" s="93">
        <v>1.5E-3</v>
      </c>
      <c r="AC25" s="6">
        <f t="shared" si="12"/>
        <v>441.96444150842962</v>
      </c>
    </row>
    <row r="26" spans="1:33">
      <c r="A26" s="98" t="s">
        <v>14</v>
      </c>
      <c r="B26" s="97">
        <v>367.59308962238316</v>
      </c>
      <c r="C26" s="97">
        <v>428.03683422703074</v>
      </c>
      <c r="D26" s="97">
        <v>399.36784979474999</v>
      </c>
      <c r="E26" s="97">
        <v>294.75816154648271</v>
      </c>
      <c r="F26" s="97">
        <v>265.05910165484636</v>
      </c>
      <c r="G26" s="97">
        <v>295.21856628105445</v>
      </c>
      <c r="H26" s="97">
        <v>404.64299999999997</v>
      </c>
      <c r="I26" s="97">
        <v>204.239</v>
      </c>
      <c r="J26" s="97">
        <v>415.46300000000002</v>
      </c>
      <c r="K26" s="97">
        <v>503.64499999999998</v>
      </c>
      <c r="L26" s="97">
        <v>498.94</v>
      </c>
      <c r="M26" s="22">
        <f>L26-(L26*3.62%)</f>
        <v>480.87837200000001</v>
      </c>
      <c r="N26" s="22">
        <f>M26-(M26*0.51%)</f>
        <v>478.42589230280004</v>
      </c>
      <c r="O26" s="22">
        <f>N26-(N26*1.23%)</f>
        <v>472.5412538274756</v>
      </c>
      <c r="P26" s="22">
        <f t="shared" si="69"/>
        <v>445.53692808962938</v>
      </c>
      <c r="Q26" s="22">
        <f t="shared" si="69"/>
        <v>452.71128814777967</v>
      </c>
      <c r="R26" s="22">
        <f t="shared" si="69"/>
        <v>459.08483826522996</v>
      </c>
      <c r="S26" s="22">
        <f t="shared" si="69"/>
        <v>464.38865541434154</v>
      </c>
      <c r="U26" s="100">
        <f t="shared" ref="U26:U27" si="72">M26/L26-1</f>
        <v>-3.620000000000001E-2</v>
      </c>
      <c r="V26" s="100">
        <f t="shared" si="70"/>
        <v>-5.0999999999999934E-3</v>
      </c>
      <c r="W26" s="100">
        <f t="shared" si="71"/>
        <v>-1.2299999999999978E-2</v>
      </c>
      <c r="X26" s="94">
        <v>-1.17E-2</v>
      </c>
      <c r="Y26" s="94">
        <v>3.2000000000000002E-3</v>
      </c>
      <c r="Z26" s="93">
        <v>2.8E-3</v>
      </c>
      <c r="AA26" s="93">
        <v>2.3E-3</v>
      </c>
      <c r="AC26" s="6">
        <f t="shared" si="12"/>
        <v>364.64171325621089</v>
      </c>
    </row>
    <row r="27" spans="1:33">
      <c r="A27" s="98" t="s">
        <v>2</v>
      </c>
      <c r="B27" s="97">
        <f>B26+(7.46%*B26)</f>
        <v>395.01553410821293</v>
      </c>
      <c r="C27" s="97">
        <f>C26+(6.96%*C26)</f>
        <v>457.82819788923206</v>
      </c>
      <c r="D27" s="97">
        <f>D26+(8.23%*D26)</f>
        <v>432.23582383285793</v>
      </c>
      <c r="E27" s="97">
        <f>E26+(7.96%*E26)</f>
        <v>318.22091120558275</v>
      </c>
      <c r="F27" s="97">
        <f>F26+(7.83%*F26)</f>
        <v>285.81322931442082</v>
      </c>
      <c r="G27" s="97">
        <f>G26+(6.46%*G26)</f>
        <v>314.2896856628106</v>
      </c>
      <c r="H27" s="97">
        <f>H26+(6.93%*H26)</f>
        <v>432.68475989999996</v>
      </c>
      <c r="I27" s="97">
        <f>I26+(7.26%*I26)</f>
        <v>219.06675140000002</v>
      </c>
      <c r="J27" s="97">
        <f>J26+(7.66%*J26)</f>
        <v>447.28746580000001</v>
      </c>
      <c r="K27" s="97">
        <f>K26+(8.36%*K26)</f>
        <v>545.74972200000002</v>
      </c>
      <c r="L27" s="97">
        <f>L26+(4.46%*L26)</f>
        <v>521.192724</v>
      </c>
      <c r="M27" s="22">
        <f>L27-(L27*3.46%)</f>
        <v>503.1594557496</v>
      </c>
      <c r="N27" s="22">
        <f>M27-(M27*0.63%)</f>
        <v>499.9895511783775</v>
      </c>
      <c r="O27" s="22">
        <f>N27-(N27*1.19%)</f>
        <v>494.03967551935483</v>
      </c>
      <c r="P27" s="22">
        <f t="shared" si="69"/>
        <v>466.98627493949306</v>
      </c>
      <c r="Q27" s="22">
        <f t="shared" si="69"/>
        <v>470.26434461813432</v>
      </c>
      <c r="R27" s="22">
        <f t="shared" si="69"/>
        <v>473.09271062345044</v>
      </c>
      <c r="S27" s="22">
        <f t="shared" si="69"/>
        <v>474.98811168249586</v>
      </c>
      <c r="U27" s="100">
        <f t="shared" si="72"/>
        <v>-3.4599999999999964E-2</v>
      </c>
      <c r="V27" s="100">
        <f t="shared" si="70"/>
        <v>-6.3000000000000833E-3</v>
      </c>
      <c r="W27" s="100">
        <f t="shared" si="71"/>
        <v>-1.1899999999999911E-2</v>
      </c>
      <c r="X27" s="94">
        <v>-1.12E-2</v>
      </c>
      <c r="Y27" s="94">
        <v>1.4E-3</v>
      </c>
      <c r="Z27" s="93">
        <v>1.1999999999999999E-3</v>
      </c>
      <c r="AA27" s="93">
        <v>8.0000000000000004E-4</v>
      </c>
      <c r="AC27" s="6">
        <f t="shared" si="12"/>
        <v>391.81567695256211</v>
      </c>
    </row>
    <row r="28" spans="1:33">
      <c r="A28" s="9" t="s">
        <v>15</v>
      </c>
      <c r="B28" s="64">
        <f>(B29*60%)+('Hist_Weighted Average Price '!B30*15%)+('Hist_Weighted Average Price '!B31*15%)+('Hist_Weighted Average Price '!B32*10%)</f>
        <v>290.92883501181922</v>
      </c>
      <c r="C28" s="64">
        <f>(C29*60%)+('Hist_Weighted Average Price '!C30*15%)+('Hist_Weighted Average Price '!C31*15%)+('Hist_Weighted Average Price '!C32*10%)</f>
        <v>365.09098875781365</v>
      </c>
      <c r="D28" s="64">
        <f>(D29*60%)+('Hist_Weighted Average Price '!D30*15%)+('Hist_Weighted Average Price '!D31*15%)+('Hist_Weighted Average Price '!D32*10%)</f>
        <v>372.53921323984093</v>
      </c>
      <c r="E28" s="64">
        <f>(E29*60%)+('Hist_Weighted Average Price '!E30*15%)+('Hist_Weighted Average Price '!E31*15%)+('Hist_Weighted Average Price '!E32*10%)</f>
        <v>285.33704594131632</v>
      </c>
      <c r="F28" s="64">
        <f>(F29*60%)+('Hist_Weighted Average Price '!F30*15%)+('Hist_Weighted Average Price '!F31*15%)+('Hist_Weighted Average Price '!F32*10%)</f>
        <v>188.00453384625595</v>
      </c>
      <c r="G28" s="64">
        <f>(G29*60%)+('Hist_Weighted Average Price '!G30*15%)+('Hist_Weighted Average Price '!G31*15%)+('Hist_Weighted Average Price '!G32*10%)</f>
        <v>262.33367754609714</v>
      </c>
      <c r="H28" s="64">
        <f>(H29*60%)+('Hist_Weighted Average Price '!H30*15%)+('Hist_Weighted Average Price '!H31*15%)+('Hist_Weighted Average Price '!H32*10%)</f>
        <v>321.7693277079664</v>
      </c>
      <c r="I28" s="64">
        <f>(I29*60%)+('Hist_Weighted Average Price '!I30*15%)+('Hist_Weighted Average Price '!I31*15%)+('Hist_Weighted Average Price '!I32*10%)</f>
        <v>234.3841261543246</v>
      </c>
      <c r="J28" s="64">
        <f>(J29*60%)+('Hist_Weighted Average Price '!J30*15%)+('Hist_Weighted Average Price '!J31*15%)+('Hist_Weighted Average Price '!J32*10%)</f>
        <v>188.78769921858273</v>
      </c>
      <c r="K28" s="64">
        <f>(K29*60%)+('Hist_Weighted Average Price '!K30*15%)+('Hist_Weighted Average Price '!K31*15%)+('Hist_Weighted Average Price '!K32*10%)</f>
        <v>333.56741644436374</v>
      </c>
      <c r="L28" s="64">
        <f>(L29*60%)+('Hist_Weighted Average Price '!L30*15%)+('Hist_Weighted Average Price '!L31*15%)+('Hist_Weighted Average Price '!L32*10%)</f>
        <v>347.29597905644459</v>
      </c>
      <c r="M28" s="64">
        <f>(M29*60%)+('Hist_Weighted Average Price '!M30*15%)+('Hist_Weighted Average Price '!M31*15%)+('Hist_Weighted Average Price '!M32*10%)</f>
        <v>289.12595604101153</v>
      </c>
      <c r="N28" s="64">
        <f>(N29*60%)+('Hist_Weighted Average Price '!N30*15%)+('Hist_Weighted Average Price '!N31*15%)+('Hist_Weighted Average Price '!N32*10%)</f>
        <v>278.91885951471136</v>
      </c>
      <c r="O28" s="64">
        <f>(O29*60%)+('Hist_Weighted Average Price '!O30*15%)+('Hist_Weighted Average Price '!O31*15%)+('Hist_Weighted Average Price '!O32*10%)</f>
        <v>272.45733508372717</v>
      </c>
      <c r="P28" s="64">
        <f>(P29*60%)+('Hist_Weighted Average Price '!P30*15%)+('Hist_Weighted Average Price '!P31*15%)+('Hist_Weighted Average Price '!P32*10%)</f>
        <v>231.62674974113011</v>
      </c>
      <c r="Q28" s="64">
        <f>(Q29*60%)+('Hist_Weighted Average Price '!Q30*15%)+('Hist_Weighted Average Price '!Q31*15%)+('Hist_Weighted Average Price '!Q32*10%)</f>
        <v>214.76690212020966</v>
      </c>
      <c r="R28" s="64">
        <f>(R29*60%)+('Hist_Weighted Average Price '!R30*15%)+('Hist_Weighted Average Price '!R31*15%)+('Hist_Weighted Average Price '!R32*10%)</f>
        <v>200.10414273105394</v>
      </c>
      <c r="S28" s="64">
        <f>(S29*60%)+('Hist_Weighted Average Price '!S30*15%)+('Hist_Weighted Average Price '!S31*15%)+('Hist_Weighted Average Price '!S32*10%)</f>
        <v>188.62858454347386</v>
      </c>
      <c r="U28" s="100">
        <f t="shared" ref="U28" si="73">M28/L28-1</f>
        <v>-0.16749408724360415</v>
      </c>
      <c r="V28" s="100">
        <f t="shared" ref="V28" si="74">N28/M28-1</f>
        <v>-3.5303286726883654E-2</v>
      </c>
      <c r="W28" s="100">
        <f t="shared" ref="W28" si="75">O28/N28-1</f>
        <v>-2.3166323145830114E-2</v>
      </c>
      <c r="AC28" s="107">
        <f t="shared" si="12"/>
        <v>268.16844941426689</v>
      </c>
    </row>
    <row r="29" spans="1:33">
      <c r="A29" s="98" t="s">
        <v>16</v>
      </c>
      <c r="B29" s="97">
        <v>291.98193474928956</v>
      </c>
      <c r="C29" s="97">
        <v>362.25415266955497</v>
      </c>
      <c r="D29" s="97">
        <v>373.12876777596165</v>
      </c>
      <c r="E29" s="97">
        <v>262.60633403626758</v>
      </c>
      <c r="F29" s="97">
        <v>167.76814466849476</v>
      </c>
      <c r="G29" s="97">
        <v>269.91740052136839</v>
      </c>
      <c r="H29" s="97">
        <v>329.4017256818326</v>
      </c>
      <c r="I29" s="97">
        <v>245.44222294311933</v>
      </c>
      <c r="J29" s="97">
        <v>180.67550990210071</v>
      </c>
      <c r="K29" s="97">
        <v>333.92238447056587</v>
      </c>
      <c r="L29" s="97">
        <v>347.63465730000001</v>
      </c>
      <c r="M29" s="97">
        <v>302.45</v>
      </c>
      <c r="N29" s="97">
        <v>292.32</v>
      </c>
      <c r="O29" s="97">
        <v>286.74</v>
      </c>
      <c r="P29" s="97">
        <f>(X29+1)^(5)*O29</f>
        <v>243.95721814172526</v>
      </c>
      <c r="Q29" s="97">
        <f t="shared" ref="Q29:S32" si="76">(Y29+1)^(5)*P29</f>
        <v>226.43089765457765</v>
      </c>
      <c r="R29" s="97">
        <f t="shared" si="76"/>
        <v>211.76848480929633</v>
      </c>
      <c r="S29" s="97">
        <f t="shared" si="76"/>
        <v>200.47597697454219</v>
      </c>
      <c r="U29" s="100">
        <f>M29/L29-1</f>
        <v>-0.1299774241467726</v>
      </c>
      <c r="V29" s="100">
        <f t="shared" ref="V29:V33" si="77">N29/M29-1</f>
        <v>-3.3493139361878033E-2</v>
      </c>
      <c r="W29" s="100">
        <f t="shared" ref="W29:W33" si="78">O29/N29-1</f>
        <v>-1.9088669950738879E-2</v>
      </c>
      <c r="X29" s="93">
        <v>-3.1799999999999995E-2</v>
      </c>
      <c r="Y29" s="93">
        <v>-1.4800000000000001E-2</v>
      </c>
      <c r="Z29" s="93">
        <v>-1.3299999999999999E-2</v>
      </c>
      <c r="AA29" s="93">
        <v>-1.09E-2</v>
      </c>
      <c r="AC29" s="6">
        <f t="shared" si="12"/>
        <v>271.87184870379735</v>
      </c>
    </row>
    <row r="30" spans="1:33">
      <c r="A30" s="2" t="s">
        <v>17</v>
      </c>
      <c r="B30" s="23">
        <v>183.88757000000001</v>
      </c>
      <c r="C30" s="23">
        <v>256.63467000000003</v>
      </c>
      <c r="D30" s="23">
        <v>268.44057640176914</v>
      </c>
      <c r="E30" s="23">
        <v>253.21197857880455</v>
      </c>
      <c r="F30" s="23">
        <v>143.21815547280289</v>
      </c>
      <c r="G30" s="23">
        <v>168.01049402837944</v>
      </c>
      <c r="H30" s="23">
        <v>191.55491208314444</v>
      </c>
      <c r="I30" s="23">
        <v>166.26157973604123</v>
      </c>
      <c r="J30" s="23">
        <v>108.621425069976</v>
      </c>
      <c r="K30" s="23">
        <v>251.77585508016159</v>
      </c>
      <c r="L30" s="23">
        <v>261.5984645096305</v>
      </c>
      <c r="M30" s="22">
        <f>L30-(L30*20.11%)</f>
        <v>208.9910132967438</v>
      </c>
      <c r="N30" s="22">
        <f>M30-(M30*3.24%)</f>
        <v>202.21970446592931</v>
      </c>
      <c r="O30" s="22">
        <f>N30-(N30*2.34%)</f>
        <v>197.48776338142656</v>
      </c>
      <c r="P30" s="97">
        <f t="shared" ref="P30:P32" si="79">(X30+1)^(5)*O30</f>
        <v>170.46543883655929</v>
      </c>
      <c r="Q30" s="22">
        <f t="shared" si="76"/>
        <v>160.56128577140834</v>
      </c>
      <c r="R30" s="22">
        <f t="shared" si="76"/>
        <v>150.31647479277774</v>
      </c>
      <c r="S30" s="22">
        <f t="shared" si="76"/>
        <v>143.81793511455987</v>
      </c>
      <c r="U30" s="100">
        <f>M30/L30-1</f>
        <v>-0.20110000000000006</v>
      </c>
      <c r="V30" s="100">
        <f t="shared" si="77"/>
        <v>-3.2399999999999984E-2</v>
      </c>
      <c r="W30" s="100">
        <f t="shared" si="78"/>
        <v>-2.3399999999999976E-2</v>
      </c>
      <c r="X30" s="93">
        <v>-2.8999999999999998E-2</v>
      </c>
      <c r="Y30" s="93">
        <v>-1.1900000000000001E-2</v>
      </c>
      <c r="Z30" s="93">
        <v>-1.3100000000000001E-2</v>
      </c>
      <c r="AA30" s="93">
        <v>-8.7999999999999988E-3</v>
      </c>
      <c r="AB30" s="93"/>
      <c r="AC30" s="6">
        <f t="shared" si="12"/>
        <v>177.24485319954053</v>
      </c>
      <c r="AD30" s="93"/>
      <c r="AE30" s="93"/>
      <c r="AF30" s="93"/>
      <c r="AG30" s="93"/>
    </row>
    <row r="31" spans="1:33">
      <c r="A31" s="5" t="s">
        <v>32</v>
      </c>
      <c r="B31" s="23">
        <v>351.67015464898202</v>
      </c>
      <c r="C31" s="23">
        <v>436.01718662432279</v>
      </c>
      <c r="D31" s="23">
        <v>432.62746445599419</v>
      </c>
      <c r="E31" s="23">
        <v>358.2097949309404</v>
      </c>
      <c r="F31" s="23">
        <v>262.48769489695468</v>
      </c>
      <c r="G31" s="23">
        <v>299.77065251607684</v>
      </c>
      <c r="H31" s="23">
        <v>380.62422194558064</v>
      </c>
      <c r="I31" s="23">
        <v>247.76222171218728</v>
      </c>
      <c r="J31" s="23">
        <v>255.40071806730359</v>
      </c>
      <c r="K31" s="23">
        <v>380.83443</v>
      </c>
      <c r="L31" s="23">
        <v>396.94565999999998</v>
      </c>
      <c r="M31" s="22">
        <f>L31-(L31*23.21%)</f>
        <v>304.81457231399997</v>
      </c>
      <c r="N31" s="22">
        <f>M31-(M31*4.04%)</f>
        <v>292.50006359251438</v>
      </c>
      <c r="O31" s="22">
        <f>N31-(N31*3.24%)</f>
        <v>283.02306153211691</v>
      </c>
      <c r="P31" s="97">
        <f t="shared" si="79"/>
        <v>239.05896406491132</v>
      </c>
      <c r="Q31" s="22">
        <f t="shared" si="76"/>
        <v>220.08864342770158</v>
      </c>
      <c r="R31" s="22">
        <f t="shared" si="76"/>
        <v>203.44904645192202</v>
      </c>
      <c r="S31" s="22">
        <f t="shared" si="76"/>
        <v>189.12058464281409</v>
      </c>
      <c r="U31" s="100">
        <f t="shared" ref="U31:U33" si="80">M31/L31-1</f>
        <v>-0.23209999999999997</v>
      </c>
      <c r="V31" s="100">
        <f t="shared" si="77"/>
        <v>-4.0399999999999991E-2</v>
      </c>
      <c r="W31" s="100">
        <f t="shared" si="78"/>
        <v>-3.2399999999999984E-2</v>
      </c>
      <c r="X31" s="93">
        <v>-3.3200000000000007E-2</v>
      </c>
      <c r="Y31" s="93">
        <v>-1.6399999999999998E-2</v>
      </c>
      <c r="Z31" s="93">
        <v>-1.5599999999999999E-2</v>
      </c>
      <c r="AA31" s="93">
        <v>-1.4499999999999999E-2</v>
      </c>
      <c r="AB31" s="93"/>
      <c r="AC31" s="6">
        <f t="shared" si="12"/>
        <v>312.87844884822971</v>
      </c>
      <c r="AD31" s="93"/>
      <c r="AE31" s="93"/>
      <c r="AF31" s="93"/>
      <c r="AG31" s="93"/>
    </row>
    <row r="32" spans="1:33">
      <c r="A32" s="2" t="s">
        <v>2</v>
      </c>
      <c r="B32" s="23">
        <f t="shared" ref="B32:L32" si="81">B31+2.39</f>
        <v>354.06015464898201</v>
      </c>
      <c r="C32" s="23">
        <f t="shared" si="81"/>
        <v>438.40718662432278</v>
      </c>
      <c r="D32" s="23">
        <f t="shared" si="81"/>
        <v>435.01746445599417</v>
      </c>
      <c r="E32" s="23">
        <f t="shared" si="81"/>
        <v>360.59979493094039</v>
      </c>
      <c r="F32" s="23">
        <f t="shared" si="81"/>
        <v>264.87769489695467</v>
      </c>
      <c r="G32" s="23">
        <f t="shared" si="81"/>
        <v>302.16065251607682</v>
      </c>
      <c r="H32" s="23">
        <f t="shared" si="81"/>
        <v>383.01422194558063</v>
      </c>
      <c r="I32" s="23">
        <f t="shared" si="81"/>
        <v>250.15222171218727</v>
      </c>
      <c r="J32" s="23">
        <f t="shared" si="81"/>
        <v>257.7907180673036</v>
      </c>
      <c r="K32" s="23">
        <f t="shared" si="81"/>
        <v>383.22442999999998</v>
      </c>
      <c r="L32" s="23">
        <f t="shared" si="81"/>
        <v>399.33565999999996</v>
      </c>
      <c r="M32" s="22">
        <f>L32-(L32*23.41%)</f>
        <v>305.85118199399994</v>
      </c>
      <c r="N32" s="22">
        <f>M32-(M32*4.14%)</f>
        <v>293.18894305944832</v>
      </c>
      <c r="O32" s="22">
        <f>N32-(N32*3.35%)</f>
        <v>283.36711346695682</v>
      </c>
      <c r="P32" s="97">
        <f t="shared" si="79"/>
        <v>238.23758420874347</v>
      </c>
      <c r="Q32" s="22">
        <f t="shared" si="76"/>
        <v>218.10874147596601</v>
      </c>
      <c r="R32" s="22">
        <f t="shared" si="76"/>
        <v>199.78223658771208</v>
      </c>
      <c r="S32" s="22">
        <f t="shared" si="76"/>
        <v>184.02220395142444</v>
      </c>
      <c r="U32" s="100">
        <f t="shared" si="80"/>
        <v>-0.23410000000000009</v>
      </c>
      <c r="V32" s="100">
        <f t="shared" si="77"/>
        <v>-4.1400000000000103E-2</v>
      </c>
      <c r="W32" s="100">
        <f t="shared" si="78"/>
        <v>-3.3499999999999974E-2</v>
      </c>
      <c r="X32" s="93">
        <v>-3.4100000000000005E-2</v>
      </c>
      <c r="Y32" s="93">
        <v>-1.7499999999999998E-2</v>
      </c>
      <c r="Z32" s="93">
        <v>-1.7399999999999999E-2</v>
      </c>
      <c r="AA32" s="93">
        <v>-1.6299999999999999E-2</v>
      </c>
      <c r="AC32" s="6">
        <f t="shared" si="12"/>
        <v>315.2684488482297</v>
      </c>
    </row>
    <row r="33" spans="1:33">
      <c r="A33" s="9" t="s">
        <v>18</v>
      </c>
      <c r="B33" s="64">
        <f t="shared" ref="B33:L33" si="82">(B34*40%)+(B35*40%)+(B36*15%)+(B37*5%)</f>
        <v>467.91357489240897</v>
      </c>
      <c r="C33" s="64">
        <f t="shared" si="82"/>
        <v>529.59669464986303</v>
      </c>
      <c r="D33" s="64">
        <f t="shared" si="82"/>
        <v>466.13001088426284</v>
      </c>
      <c r="E33" s="64">
        <f t="shared" si="82"/>
        <v>389.89514932488589</v>
      </c>
      <c r="F33" s="64">
        <f t="shared" si="82"/>
        <v>274.01368757309416</v>
      </c>
      <c r="G33" s="64">
        <f t="shared" si="82"/>
        <v>383.6586702623224</v>
      </c>
      <c r="H33" s="64">
        <f t="shared" si="82"/>
        <v>435.13476871391072</v>
      </c>
      <c r="I33" s="64">
        <f t="shared" si="82"/>
        <v>404.4915361988057</v>
      </c>
      <c r="J33" s="64">
        <f t="shared" si="82"/>
        <v>292.07423516386586</v>
      </c>
      <c r="K33" s="64">
        <f t="shared" si="82"/>
        <v>669.391953868153</v>
      </c>
      <c r="L33" s="64">
        <f t="shared" si="82"/>
        <v>447.4386720404072</v>
      </c>
      <c r="M33" s="64">
        <f t="shared" ref="M33" si="83">(M34*40%)+(M35*40%)+(M36*15%)+(M37*5%)</f>
        <v>404.60399999999998</v>
      </c>
      <c r="N33" s="64">
        <f t="shared" ref="N33" si="84">(N34*40%)+(N35*40%)+(N36*15%)+(N37*5%)</f>
        <v>390.68194369999998</v>
      </c>
      <c r="O33" s="64">
        <f t="shared" ref="O33" si="85">(O34*40%)+(O35*40%)+(O36*15%)+(O37*5%)</f>
        <v>380.8007686066</v>
      </c>
      <c r="P33" s="64">
        <f t="shared" ref="P33" si="86">(P34*40%)+(P35*40%)+(P36*15%)+(P37*5%)</f>
        <v>335.25624232485279</v>
      </c>
      <c r="Q33" s="64">
        <f t="shared" ref="Q33" si="87">(Q34*40%)+(Q35*40%)+(Q36*15%)+(Q37*5%)</f>
        <v>313.11106151243695</v>
      </c>
      <c r="R33" s="64">
        <f t="shared" ref="R33" si="88">(R34*40%)+(R35*40%)+(R36*15%)+(R37*5%)</f>
        <v>292.50796742179745</v>
      </c>
      <c r="S33" s="64">
        <f t="shared" ref="S33" si="89">(S34*40%)+(S35*40%)+(S36*15%)+(S37*5%)</f>
        <v>276.43904898515319</v>
      </c>
      <c r="U33" s="100">
        <f t="shared" si="80"/>
        <v>-9.5733057326209181E-2</v>
      </c>
      <c r="V33" s="100">
        <f t="shared" si="77"/>
        <v>-3.4409092099929817E-2</v>
      </c>
      <c r="W33" s="100">
        <f t="shared" si="78"/>
        <v>-2.5292121258072786E-2</v>
      </c>
      <c r="X33" s="93"/>
      <c r="AC33" s="107">
        <f t="shared" si="12"/>
        <v>436.95023284141155</v>
      </c>
    </row>
    <row r="34" spans="1:33">
      <c r="A34" s="2" t="s">
        <v>21</v>
      </c>
      <c r="B34" s="23">
        <v>552.12355212355214</v>
      </c>
      <c r="C34" s="23">
        <v>562.91390728476824</v>
      </c>
      <c r="D34" s="23">
        <v>466.25766871165644</v>
      </c>
      <c r="E34" s="23">
        <v>434.48275862068965</v>
      </c>
      <c r="F34" s="23">
        <v>340.2426693629929</v>
      </c>
      <c r="G34" s="23">
        <v>433.07839388145317</v>
      </c>
      <c r="H34" s="23">
        <v>433.3525678015003</v>
      </c>
      <c r="I34" s="23">
        <v>547.36842105263156</v>
      </c>
      <c r="J34" s="23">
        <v>362.06896551724139</v>
      </c>
      <c r="K34" s="23">
        <v>1000</v>
      </c>
      <c r="L34" s="23">
        <v>375</v>
      </c>
      <c r="M34" s="22">
        <v>335.7</v>
      </c>
      <c r="N34" s="22">
        <f>M34-(M34*3.44%)</f>
        <v>324.15192000000002</v>
      </c>
      <c r="O34" s="22">
        <f>N34-(N34*2.54%)</f>
        <v>315.91846123200003</v>
      </c>
      <c r="P34" s="22">
        <f>(X34+1)^(5)*O34</f>
        <v>277.0720526377313</v>
      </c>
      <c r="Q34" s="22">
        <f t="shared" ref="Q34:S37" si="90">(Y34+1)^(5)*P34</f>
        <v>258.34348636449437</v>
      </c>
      <c r="R34" s="22">
        <f t="shared" si="90"/>
        <v>241.49217986490231</v>
      </c>
      <c r="S34" s="22">
        <f t="shared" si="90"/>
        <v>228.38362196471118</v>
      </c>
      <c r="U34" s="100">
        <f>M34/L34-1</f>
        <v>-0.1048</v>
      </c>
      <c r="V34" s="100">
        <f t="shared" ref="V34:V37" si="91">N34/M34-1</f>
        <v>-3.4399999999999875E-2</v>
      </c>
      <c r="W34" s="100">
        <f t="shared" ref="W34:W37" si="92">O34/N34-1</f>
        <v>-2.5399999999999978E-2</v>
      </c>
      <c r="X34" s="93">
        <v>-2.5899999999999999E-2</v>
      </c>
      <c r="Y34" s="93">
        <v>-1.3899999999999999E-2</v>
      </c>
      <c r="Z34" s="93">
        <v>-1.3399999999999999E-2</v>
      </c>
      <c r="AA34" s="93">
        <v>-1.1099999999999999E-2</v>
      </c>
      <c r="AC34" s="6">
        <f t="shared" si="12"/>
        <v>555.17366965056522</v>
      </c>
    </row>
    <row r="35" spans="1:33">
      <c r="A35" s="2" t="s">
        <v>19</v>
      </c>
      <c r="B35" s="23">
        <v>395.53186087839555</v>
      </c>
      <c r="C35" s="23">
        <v>494.54710693729174</v>
      </c>
      <c r="D35" s="23">
        <v>451.57906360424028</v>
      </c>
      <c r="E35" s="23">
        <v>325.61128091136425</v>
      </c>
      <c r="F35" s="23">
        <v>204.62354471761685</v>
      </c>
      <c r="G35" s="23">
        <v>345.64254062038407</v>
      </c>
      <c r="H35" s="23">
        <v>441.73401177292226</v>
      </c>
      <c r="I35" s="23">
        <v>301.60364866853024</v>
      </c>
      <c r="J35" s="23">
        <v>235.87101063829786</v>
      </c>
      <c r="K35" s="23">
        <v>436.20271836476661</v>
      </c>
      <c r="L35" s="23">
        <v>456.2837744215048</v>
      </c>
      <c r="M35" s="22">
        <v>415.76</v>
      </c>
      <c r="N35" s="22">
        <f>M35-(M35*3.14%)</f>
        <v>402.70513599999998</v>
      </c>
      <c r="O35" s="22">
        <f>N35-(N35*2.14%)</f>
        <v>394.0872460896</v>
      </c>
      <c r="P35" s="22">
        <f t="shared" ref="P35:P37" si="93">(X35+1)^(5)*O35</f>
        <v>350.08699641647684</v>
      </c>
      <c r="Q35" s="22">
        <f t="shared" si="90"/>
        <v>329.57988861293683</v>
      </c>
      <c r="R35" s="22">
        <f t="shared" si="90"/>
        <v>309.17643679028237</v>
      </c>
      <c r="S35" s="22">
        <f t="shared" si="90"/>
        <v>295.66081409260835</v>
      </c>
      <c r="U35" s="100">
        <f>M35/L35-1</f>
        <v>-8.8812657151533636E-2</v>
      </c>
      <c r="V35" s="100">
        <f t="shared" si="91"/>
        <v>-3.1399999999999983E-2</v>
      </c>
      <c r="W35" s="100">
        <f t="shared" si="92"/>
        <v>-2.1399999999999975E-2</v>
      </c>
      <c r="X35" s="93">
        <v>-2.3399999999999997E-2</v>
      </c>
      <c r="Y35" s="93">
        <v>-1.2E-2</v>
      </c>
      <c r="Z35" s="93">
        <v>-1.2699999999999999E-2</v>
      </c>
      <c r="AA35" s="93">
        <v>-8.8999999999999982E-3</v>
      </c>
      <c r="AC35" s="6">
        <f t="shared" si="12"/>
        <v>352.21078601298024</v>
      </c>
    </row>
    <row r="36" spans="1:33">
      <c r="A36" s="2" t="s">
        <v>20</v>
      </c>
      <c r="B36" s="23">
        <v>436.12334801762114</v>
      </c>
      <c r="C36" s="23">
        <v>523.94480519480521</v>
      </c>
      <c r="D36" s="23">
        <v>484.99776085982984</v>
      </c>
      <c r="E36" s="23">
        <v>420.91152815013407</v>
      </c>
      <c r="F36" s="23">
        <v>274.95378927911275</v>
      </c>
      <c r="G36" s="23">
        <v>355.11635320369783</v>
      </c>
      <c r="H36" s="23">
        <v>418.25442648190915</v>
      </c>
      <c r="I36" s="23">
        <v>318.7286171504249</v>
      </c>
      <c r="J36" s="23">
        <v>259.52138891061236</v>
      </c>
      <c r="K36" s="23">
        <v>464.83919346775536</v>
      </c>
      <c r="L36" s="23">
        <v>568.28938471940501</v>
      </c>
      <c r="M36" s="22">
        <v>516.54</v>
      </c>
      <c r="N36" s="22">
        <f>M36-(M36*3.89%)</f>
        <v>496.44659399999995</v>
      </c>
      <c r="O36" s="22">
        <f>N36-(N36*3.14%)</f>
        <v>480.85817094839996</v>
      </c>
      <c r="P36" s="22">
        <f t="shared" si="93"/>
        <v>420.2170887919799</v>
      </c>
      <c r="Q36" s="22">
        <f t="shared" si="90"/>
        <v>388.64430850614042</v>
      </c>
      <c r="R36" s="22">
        <f t="shared" si="90"/>
        <v>360.90651841308329</v>
      </c>
      <c r="S36" s="22">
        <f t="shared" si="90"/>
        <v>333.79000527378935</v>
      </c>
      <c r="U36" s="100">
        <f t="shared" ref="U36:U37" si="94">M36/L36-1</f>
        <v>-9.1061677572873312E-2</v>
      </c>
      <c r="V36" s="100">
        <f t="shared" si="91"/>
        <v>-3.8900000000000046E-2</v>
      </c>
      <c r="W36" s="100">
        <f t="shared" si="92"/>
        <v>-3.1399999999999983E-2</v>
      </c>
      <c r="X36" s="93">
        <v>-2.6599999999999999E-2</v>
      </c>
      <c r="Y36" s="93">
        <v>-1.55E-2</v>
      </c>
      <c r="Z36" s="93">
        <v>-1.4699999999999998E-2</v>
      </c>
      <c r="AA36" s="93">
        <v>-1.55E-2</v>
      </c>
      <c r="AB36" s="93"/>
      <c r="AC36" s="6">
        <f t="shared" si="12"/>
        <v>363.29199584287994</v>
      </c>
      <c r="AD36" s="93"/>
      <c r="AE36" s="93"/>
      <c r="AF36" s="93"/>
      <c r="AG36" s="93"/>
    </row>
    <row r="37" spans="1:33">
      <c r="A37" s="2" t="s">
        <v>2</v>
      </c>
      <c r="B37" s="23">
        <f>B36+(7.46%*B36)</f>
        <v>468.65814977973571</v>
      </c>
      <c r="C37" s="23">
        <f>C36+(6.96%*C36)</f>
        <v>560.4113636363636</v>
      </c>
      <c r="D37" s="23">
        <f>D36+(8.23%*D36)</f>
        <v>524.91307657859386</v>
      </c>
      <c r="E37" s="23">
        <f>E36+(7.96%*E36)</f>
        <v>454.41608579088472</v>
      </c>
      <c r="F37" s="23">
        <f>F36+(7.83%*F36)</f>
        <v>296.48267097966726</v>
      </c>
      <c r="G37" s="23">
        <f>G36+(6.46%*G36)</f>
        <v>378.0568696206567</v>
      </c>
      <c r="H37" s="23">
        <f>H36+(6.93%*H36)</f>
        <v>447.23945823710545</v>
      </c>
      <c r="I37" s="23">
        <f>I36+(7.26%*I36)</f>
        <v>341.86831475554573</v>
      </c>
      <c r="J37" s="23">
        <f>J36+(7.66%*J36)</f>
        <v>279.40072730116526</v>
      </c>
      <c r="K37" s="23">
        <f>K36+(8.36%*K36)</f>
        <v>503.69975004165974</v>
      </c>
      <c r="L37" s="23">
        <f>L36+(4.46%*L36)</f>
        <v>593.63509127789052</v>
      </c>
      <c r="M37" s="22">
        <v>530.78</v>
      </c>
      <c r="N37" s="22">
        <f>M37-(M37*4.02%)</f>
        <v>509.44264399999997</v>
      </c>
      <c r="O37" s="22">
        <f>N37-(N37*3.15%)</f>
        <v>493.395200714</v>
      </c>
      <c r="P37" s="22">
        <f t="shared" si="93"/>
        <v>427.20118768745061</v>
      </c>
      <c r="Q37" s="22">
        <f t="shared" si="90"/>
        <v>392.90130491086819</v>
      </c>
      <c r="R37" s="22">
        <f t="shared" si="90"/>
        <v>362.09085995522025</v>
      </c>
      <c r="S37" s="22">
        <f t="shared" si="90"/>
        <v>335.05547542313889</v>
      </c>
      <c r="U37" s="100">
        <f t="shared" si="94"/>
        <v>-0.10588169769847222</v>
      </c>
      <c r="V37" s="100">
        <f t="shared" si="91"/>
        <v>-4.0200000000000014E-2</v>
      </c>
      <c r="W37" s="100">
        <f t="shared" si="92"/>
        <v>-3.1499999999999972E-2</v>
      </c>
      <c r="X37" s="93">
        <v>-2.8399999999999995E-2</v>
      </c>
      <c r="Y37" s="93">
        <v>-1.66E-2</v>
      </c>
      <c r="Z37" s="93">
        <v>-1.6199999999999999E-2</v>
      </c>
      <c r="AA37" s="93">
        <v>-1.54E-2</v>
      </c>
      <c r="AC37" s="6">
        <f t="shared" si="12"/>
        <v>390.05302399122655</v>
      </c>
    </row>
    <row r="38" spans="1:33">
      <c r="A38" s="106" t="s">
        <v>22</v>
      </c>
      <c r="B38" s="97">
        <v>392.98120602119889</v>
      </c>
      <c r="C38" s="97">
        <v>398.66699132741343</v>
      </c>
      <c r="D38" s="97">
        <v>457.02956607155488</v>
      </c>
      <c r="E38" s="97">
        <v>306.22053624042428</v>
      </c>
      <c r="F38" s="97">
        <v>292.23104003818844</v>
      </c>
      <c r="G38" s="97">
        <v>374.50573388159711</v>
      </c>
      <c r="H38" s="97">
        <v>423.29089276908877</v>
      </c>
      <c r="I38" s="97">
        <v>362.60260517761509</v>
      </c>
      <c r="J38" s="97">
        <v>241.13691679386164</v>
      </c>
      <c r="K38" s="97">
        <v>339.98209962809398</v>
      </c>
      <c r="L38" s="97">
        <v>359.90728802289601</v>
      </c>
      <c r="M38" s="108">
        <f>L38-(L38*15.61%)</f>
        <v>303.72576036252195</v>
      </c>
      <c r="N38" s="108">
        <f>M38-(M38*1.14%)</f>
        <v>300.26328669438919</v>
      </c>
      <c r="O38" s="108">
        <f>N38-(N38*0.94%)</f>
        <v>297.44081179946193</v>
      </c>
      <c r="P38" s="108">
        <f>(X38+1)^(5)*O38</f>
        <v>266.09947859494611</v>
      </c>
      <c r="Q38" s="108">
        <f>(Y38+1)^(5)*P38</f>
        <v>248.45815898190017</v>
      </c>
      <c r="R38" s="108">
        <f>(Z38+1)^(5)*Q38</f>
        <v>235.09030578053282</v>
      </c>
      <c r="S38" s="108">
        <f>(AA38+1)^(5)*R38</f>
        <v>225.26738290794566</v>
      </c>
      <c r="T38" s="104"/>
      <c r="U38" s="100">
        <f t="shared" ref="U38:U42" si="95">M38/L38-1</f>
        <v>-0.15610000000000002</v>
      </c>
      <c r="V38" s="100">
        <f t="shared" ref="V38:V42" si="96">N38/M38-1</f>
        <v>-1.1400000000000077E-2</v>
      </c>
      <c r="W38" s="100">
        <f t="shared" ref="W38:W42" si="97">O38/N38-1</f>
        <v>-9.400000000000075E-3</v>
      </c>
      <c r="X38" s="102">
        <v>-2.2022882970807581E-2</v>
      </c>
      <c r="Y38" s="102">
        <v>-1.3625473618191561E-2</v>
      </c>
      <c r="Z38" s="103">
        <v>-1.1000000000000001E-2</v>
      </c>
      <c r="AA38" s="103">
        <v>-8.4999999999999989E-3</v>
      </c>
      <c r="AC38" s="107">
        <f>AVERAGE(G38:K38)</f>
        <v>348.30364965005134</v>
      </c>
      <c r="AD38" t="s">
        <v>360</v>
      </c>
    </row>
    <row r="39" spans="1:33">
      <c r="A39" s="106" t="s">
        <v>23</v>
      </c>
      <c r="B39" s="97">
        <v>505.76</v>
      </c>
      <c r="C39" s="97">
        <v>522.54</v>
      </c>
      <c r="D39" s="97">
        <v>558.74</v>
      </c>
      <c r="E39" s="97">
        <v>445.32</v>
      </c>
      <c r="F39" s="97">
        <v>388.56</v>
      </c>
      <c r="G39" s="97">
        <v>496.16</v>
      </c>
      <c r="H39" s="97">
        <v>475.05</v>
      </c>
      <c r="I39" s="97">
        <v>371.66</v>
      </c>
      <c r="J39" s="97">
        <v>319.77999999999997</v>
      </c>
      <c r="K39" s="97">
        <v>346.05</v>
      </c>
      <c r="L39" s="97">
        <v>395.96</v>
      </c>
      <c r="M39" s="108">
        <f>L39-(L39*10.7%)</f>
        <v>353.59227999999996</v>
      </c>
      <c r="N39" s="108">
        <f>M39-(M39*4.15%)</f>
        <v>338.91820037999997</v>
      </c>
      <c r="O39" s="108">
        <f>N39-(N39*4.28%)</f>
        <v>324.41250140373597</v>
      </c>
      <c r="P39" s="108">
        <f t="shared" ref="P39:S39" si="98">(X39+1)^(5)*O39</f>
        <v>288.78218643725018</v>
      </c>
      <c r="Q39" s="108">
        <f t="shared" si="98"/>
        <v>270.49308280158914</v>
      </c>
      <c r="R39" s="108">
        <f t="shared" si="98"/>
        <v>254.64836172967276</v>
      </c>
      <c r="S39" s="108">
        <f t="shared" si="98"/>
        <v>246.23118993554382</v>
      </c>
      <c r="T39" s="104"/>
      <c r="U39" s="100">
        <f t="shared" si="95"/>
        <v>-0.1070000000000001</v>
      </c>
      <c r="V39" s="100">
        <f t="shared" si="96"/>
        <v>-4.1499999999999981E-2</v>
      </c>
      <c r="W39" s="100">
        <f t="shared" si="97"/>
        <v>-4.2799999999999949E-2</v>
      </c>
      <c r="X39" s="103">
        <v>-2.3E-2</v>
      </c>
      <c r="Y39" s="103">
        <v>-1.2999999999999999E-2</v>
      </c>
      <c r="Z39" s="103">
        <v>-1.2E-2</v>
      </c>
      <c r="AA39" s="103">
        <v>-6.7000000000000002E-3</v>
      </c>
      <c r="AC39" s="107">
        <f t="shared" si="12"/>
        <v>401.74</v>
      </c>
    </row>
    <row r="40" spans="1:33">
      <c r="A40" s="9" t="s">
        <v>24</v>
      </c>
      <c r="B40" s="64">
        <v>422.43900000000002</v>
      </c>
      <c r="C40" s="64">
        <v>447.84322787697442</v>
      </c>
      <c r="D40" s="64">
        <v>432.28554461245255</v>
      </c>
      <c r="E40" s="64">
        <v>408.44750188375758</v>
      </c>
      <c r="F40" s="64">
        <v>294.31012251751343</v>
      </c>
      <c r="G40" s="64">
        <v>276.77472185754863</v>
      </c>
      <c r="H40" s="64">
        <v>389.35575641206015</v>
      </c>
      <c r="I40" s="64">
        <v>409.78973271934314</v>
      </c>
      <c r="J40" s="64">
        <v>222.29035559842791</v>
      </c>
      <c r="K40" s="64">
        <v>178.27281428769558</v>
      </c>
      <c r="L40" s="64">
        <v>312.5115070137042</v>
      </c>
      <c r="M40" s="109">
        <f>L40-(L40*4.97%)</f>
        <v>296.97968511512312</v>
      </c>
      <c r="N40" s="109">
        <f>M40-(M40*1.74%)</f>
        <v>291.81223859412</v>
      </c>
      <c r="O40" s="109">
        <f>N40-(N40*1.87%)</f>
        <v>286.35534973240993</v>
      </c>
      <c r="P40" s="109">
        <f t="shared" ref="P40:S40" si="99">(X40+1)^(5)*O40</f>
        <v>258.84255589806259</v>
      </c>
      <c r="Q40" s="109">
        <f t="shared" si="99"/>
        <v>245.28767399533726</v>
      </c>
      <c r="R40" s="109">
        <f t="shared" si="99"/>
        <v>234.80171020430566</v>
      </c>
      <c r="S40" s="109">
        <f t="shared" si="99"/>
        <v>226.01383987199515</v>
      </c>
      <c r="T40" s="104"/>
      <c r="U40" s="100">
        <f t="shared" si="95"/>
        <v>-4.9699999999999966E-2</v>
      </c>
      <c r="V40" s="100">
        <f t="shared" si="96"/>
        <v>-1.739999999999986E-2</v>
      </c>
      <c r="W40" s="100">
        <f t="shared" si="97"/>
        <v>-1.870000000000005E-2</v>
      </c>
      <c r="X40" s="103">
        <v>-1.9999999999999997E-2</v>
      </c>
      <c r="Y40" s="103">
        <v>-1.0699999999999999E-2</v>
      </c>
      <c r="Z40" s="103">
        <v>-8.6999999999999994E-3</v>
      </c>
      <c r="AA40" s="103">
        <v>-7.6000000000000009E-3</v>
      </c>
      <c r="AC40" s="107">
        <f t="shared" si="12"/>
        <v>295.29667617501508</v>
      </c>
    </row>
    <row r="41" spans="1:33">
      <c r="A41" s="9" t="s">
        <v>25</v>
      </c>
      <c r="B41" s="64">
        <f t="shared" ref="B41:L41" si="100">B38+3.54</f>
        <v>396.52120602119891</v>
      </c>
      <c r="C41" s="64">
        <f t="shared" si="100"/>
        <v>402.20699132741345</v>
      </c>
      <c r="D41" s="64">
        <f t="shared" si="100"/>
        <v>460.5695660715549</v>
      </c>
      <c r="E41" s="64">
        <f t="shared" si="100"/>
        <v>309.7605362404243</v>
      </c>
      <c r="F41" s="64">
        <f t="shared" si="100"/>
        <v>295.77104003818846</v>
      </c>
      <c r="G41" s="64">
        <f t="shared" si="100"/>
        <v>378.04573388159713</v>
      </c>
      <c r="H41" s="64">
        <f t="shared" si="100"/>
        <v>426.83089276908879</v>
      </c>
      <c r="I41" s="64">
        <f t="shared" si="100"/>
        <v>366.14260517761511</v>
      </c>
      <c r="J41" s="64">
        <f t="shared" si="100"/>
        <v>244.67691679386164</v>
      </c>
      <c r="K41" s="64">
        <f t="shared" si="100"/>
        <v>343.522099628094</v>
      </c>
      <c r="L41" s="64">
        <f t="shared" si="100"/>
        <v>363.44728802289603</v>
      </c>
      <c r="M41" s="109">
        <f>L41-(L41*5.53%)</f>
        <v>343.34865299522988</v>
      </c>
      <c r="N41" s="109">
        <f>M41-(M41*1.97%)</f>
        <v>336.58468453122384</v>
      </c>
      <c r="O41" s="109">
        <f>N41-(N41*0.32%)</f>
        <v>335.50761354072392</v>
      </c>
      <c r="P41" s="109">
        <f t="shared" ref="P41:S41" si="101">(X41+1)^(5)*O41</f>
        <v>299.42372589679036</v>
      </c>
      <c r="Q41" s="109">
        <f t="shared" si="101"/>
        <v>278.33598183470741</v>
      </c>
      <c r="R41" s="109">
        <f t="shared" si="101"/>
        <v>261.50184636668456</v>
      </c>
      <c r="S41" s="109">
        <f t="shared" si="101"/>
        <v>248.9369530699208</v>
      </c>
      <c r="T41" s="104"/>
      <c r="U41" s="100">
        <f t="shared" si="95"/>
        <v>-5.5300000000000016E-2</v>
      </c>
      <c r="V41" s="100">
        <f t="shared" si="96"/>
        <v>-1.9700000000000051E-2</v>
      </c>
      <c r="W41" s="100">
        <f t="shared" si="97"/>
        <v>-3.1999999999999806E-3</v>
      </c>
      <c r="X41" s="103">
        <v>-2.2499999999999999E-2</v>
      </c>
      <c r="Y41" s="103">
        <v>-1.4500000000000001E-2</v>
      </c>
      <c r="Z41" s="103">
        <v>-1.24E-2</v>
      </c>
      <c r="AA41" s="103">
        <v>-9.8000000000000014E-3</v>
      </c>
      <c r="AC41" s="6">
        <f t="shared" si="12"/>
        <v>351.84364965005136</v>
      </c>
    </row>
    <row r="42" spans="1:33" s="126" customFormat="1">
      <c r="A42" s="123" t="s">
        <v>26</v>
      </c>
      <c r="B42" s="124">
        <v>418.7346</v>
      </c>
      <c r="C42" s="124">
        <v>420.34300000000002</v>
      </c>
      <c r="D42" s="124">
        <v>467.88299999999998</v>
      </c>
      <c r="E42" s="124">
        <v>317.17</v>
      </c>
      <c r="F42" s="124">
        <v>311.75599999999997</v>
      </c>
      <c r="G42" s="124">
        <v>391.73462999999998</v>
      </c>
      <c r="H42" s="124">
        <v>437.84500000000003</v>
      </c>
      <c r="I42" s="124">
        <v>382.7346</v>
      </c>
      <c r="J42" s="124">
        <v>254.73560000000001</v>
      </c>
      <c r="K42" s="124">
        <v>367.43400000000003</v>
      </c>
      <c r="L42" s="124">
        <v>375.983</v>
      </c>
      <c r="M42" s="125">
        <f>L42-(L42*2.98%)</f>
        <v>364.77870660000002</v>
      </c>
      <c r="N42" s="125">
        <f>M42-(M42*0.43%)</f>
        <v>363.21015816162003</v>
      </c>
      <c r="O42" s="125">
        <f>N42-(N42*0.21%)</f>
        <v>362.44741682948063</v>
      </c>
      <c r="P42" s="125">
        <f t="shared" ref="P42:S42" si="102">(X42+1)^(5)*O42</f>
        <v>319.35085803768561</v>
      </c>
      <c r="Q42" s="125">
        <f t="shared" si="102"/>
        <v>293.1134022856383</v>
      </c>
      <c r="R42" s="125">
        <f t="shared" si="102"/>
        <v>273.57779328041204</v>
      </c>
      <c r="S42" s="125">
        <f t="shared" si="102"/>
        <v>255.7327788350087</v>
      </c>
      <c r="U42" s="127">
        <f t="shared" si="95"/>
        <v>-2.9799999999999938E-2</v>
      </c>
      <c r="V42" s="127">
        <f t="shared" si="96"/>
        <v>-4.2999999999999705E-3</v>
      </c>
      <c r="W42" s="127">
        <f t="shared" si="97"/>
        <v>-2.0999999999999908E-3</v>
      </c>
      <c r="X42" s="128">
        <v>-2.4999999999999994E-2</v>
      </c>
      <c r="Y42" s="128">
        <v>-1.7000000000000001E-2</v>
      </c>
      <c r="Z42" s="128">
        <v>-1.3699999999999999E-2</v>
      </c>
      <c r="AA42" s="128">
        <v>-1.34E-2</v>
      </c>
      <c r="AC42" s="129">
        <f t="shared" si="12"/>
        <v>366.89676599999996</v>
      </c>
    </row>
    <row r="43" spans="1:33">
      <c r="A43" s="28" t="s">
        <v>44</v>
      </c>
    </row>
    <row r="44" spans="1:33">
      <c r="A44" s="9" t="s">
        <v>26</v>
      </c>
      <c r="B44" s="122">
        <f>B42+(B39*20%)</f>
        <v>519.88660000000004</v>
      </c>
      <c r="C44" s="122">
        <f t="shared" ref="C44:L44" si="103">C42+(C39*20%)</f>
        <v>524.851</v>
      </c>
      <c r="D44" s="122">
        <f t="shared" si="103"/>
        <v>579.63099999999997</v>
      </c>
      <c r="E44" s="122">
        <f t="shared" si="103"/>
        <v>406.23400000000004</v>
      </c>
      <c r="F44" s="122">
        <f t="shared" si="103"/>
        <v>389.46799999999996</v>
      </c>
      <c r="G44" s="122">
        <f t="shared" si="103"/>
        <v>490.96663000000001</v>
      </c>
      <c r="H44" s="122">
        <f t="shared" si="103"/>
        <v>532.85500000000002</v>
      </c>
      <c r="I44" s="122">
        <f t="shared" si="103"/>
        <v>457.06659999999999</v>
      </c>
      <c r="J44" s="122">
        <f t="shared" si="103"/>
        <v>318.69159999999999</v>
      </c>
      <c r="K44" s="122">
        <f t="shared" si="103"/>
        <v>436.64400000000001</v>
      </c>
      <c r="L44" s="122">
        <f t="shared" si="103"/>
        <v>455.17500000000001</v>
      </c>
      <c r="M44" s="109">
        <f>L44-(L44*2.8%)</f>
        <v>442.43010000000004</v>
      </c>
      <c r="N44" s="109">
        <f>M44-(M44*0.35%)</f>
        <v>440.88159465000001</v>
      </c>
      <c r="O44" s="109">
        <f>N44-(N44*0.18%)</f>
        <v>440.08800777963</v>
      </c>
      <c r="P44" s="109">
        <f t="shared" ref="P44" si="104">(X44+1)^(5)*O44</f>
        <v>389.55261530799669</v>
      </c>
      <c r="Q44" s="109">
        <f t="shared" ref="Q44" si="105">(Y44+1)^(5)*P44</f>
        <v>359.18726243302063</v>
      </c>
      <c r="R44" s="109">
        <f t="shared" ref="R44" si="106">(Z44+1)^(5)*Q44</f>
        <v>337.46313250081312</v>
      </c>
      <c r="S44" s="109">
        <f t="shared" ref="S44" si="107">(AA44+1)^(5)*R44</f>
        <v>318.33912423864501</v>
      </c>
      <c r="U44" s="100">
        <f t="shared" ref="U44" si="108">M44/L44-1</f>
        <v>-2.7999999999999914E-2</v>
      </c>
      <c r="V44" s="100">
        <f t="shared" ref="V44" si="109">N44/M44-1</f>
        <v>-3.5000000000000586E-3</v>
      </c>
      <c r="W44" s="100">
        <f t="shared" ref="W44" si="110">O44/N44-1</f>
        <v>-1.8000000000000238E-3</v>
      </c>
      <c r="X44" s="93">
        <v>-2.41E-2</v>
      </c>
      <c r="Y44" s="93">
        <v>-1.61E-2</v>
      </c>
      <c r="Z44" s="93">
        <v>-1.24E-2</v>
      </c>
      <c r="AA44" s="93">
        <v>-1.1599999999999999E-2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F9C9-6356-436F-9BD5-6BFB327DB2EB}">
  <dimension ref="A1:Z34"/>
  <sheetViews>
    <sheetView tabSelected="1" topLeftCell="A13" workbookViewId="0">
      <selection activeCell="B21" sqref="B21:J21"/>
    </sheetView>
  </sheetViews>
  <sheetFormatPr defaultRowHeight="15"/>
  <cols>
    <col min="1" max="1" width="15.28515625" bestFit="1" customWidth="1"/>
    <col min="21" max="26" width="9.5703125" bestFit="1" customWidth="1"/>
  </cols>
  <sheetData>
    <row r="1" spans="1:26">
      <c r="A1" s="110"/>
      <c r="B1" s="110">
        <v>2012</v>
      </c>
      <c r="C1" s="110">
        <v>2013</v>
      </c>
      <c r="D1" s="110">
        <v>2014</v>
      </c>
      <c r="E1" s="110">
        <v>2015</v>
      </c>
      <c r="F1" s="110">
        <v>2016</v>
      </c>
      <c r="G1" s="110">
        <v>2017</v>
      </c>
      <c r="H1" s="110">
        <v>2018</v>
      </c>
      <c r="I1" s="110">
        <v>2019</v>
      </c>
      <c r="J1" s="110">
        <v>2020</v>
      </c>
      <c r="K1" s="110">
        <v>2021</v>
      </c>
      <c r="L1" s="110">
        <v>2022</v>
      </c>
      <c r="M1" s="110">
        <v>2023</v>
      </c>
      <c r="N1" s="110">
        <v>2024</v>
      </c>
      <c r="O1" s="110">
        <v>2025</v>
      </c>
      <c r="P1" s="110">
        <v>2030</v>
      </c>
      <c r="Q1" s="110">
        <v>2035</v>
      </c>
      <c r="R1" s="110">
        <v>2040</v>
      </c>
      <c r="S1" s="110">
        <v>2045</v>
      </c>
      <c r="U1" s="110" t="s">
        <v>362</v>
      </c>
      <c r="V1" s="110" t="s">
        <v>363</v>
      </c>
      <c r="W1" s="110" t="s">
        <v>364</v>
      </c>
      <c r="X1" s="110" t="s">
        <v>365</v>
      </c>
      <c r="Y1" s="110" t="s">
        <v>366</v>
      </c>
      <c r="Z1" s="110" t="s">
        <v>367</v>
      </c>
    </row>
    <row r="2" spans="1:26">
      <c r="A2" s="115" t="s">
        <v>0</v>
      </c>
      <c r="B2" s="112">
        <v>381.0875177065767</v>
      </c>
      <c r="C2" s="112">
        <v>363.39719426751594</v>
      </c>
      <c r="D2" s="112">
        <v>356.89872448979594</v>
      </c>
      <c r="E2" s="112">
        <v>310.55540983606556</v>
      </c>
      <c r="F2" s="112">
        <v>309.58647670250002</v>
      </c>
      <c r="G2" s="112">
        <v>361.78258010118043</v>
      </c>
      <c r="H2" s="112">
        <v>302.87756147540989</v>
      </c>
      <c r="I2" s="112">
        <v>284.30842105263162</v>
      </c>
      <c r="J2" s="112">
        <v>350.93271287128709</v>
      </c>
      <c r="K2" s="112">
        <v>447.7486554621849</v>
      </c>
      <c r="L2" s="112">
        <v>479.45270270270271</v>
      </c>
      <c r="M2" s="112">
        <v>475.76177703742212</v>
      </c>
      <c r="N2" s="112">
        <v>474.40064782239608</v>
      </c>
      <c r="O2" s="112">
        <v>473.55120986574457</v>
      </c>
      <c r="P2" s="112">
        <v>437.77446712346341</v>
      </c>
      <c r="Q2" s="112">
        <v>448.29684244700803</v>
      </c>
      <c r="R2" s="112">
        <v>458.56340291587139</v>
      </c>
      <c r="S2" s="112">
        <v>468.72841086484976</v>
      </c>
      <c r="U2" s="111">
        <f>(L2/G2)^(1/5)-1</f>
        <v>5.793655566512701E-2</v>
      </c>
      <c r="V2" s="111">
        <f>(O2/L2)^(1/3)-1</f>
        <v>-4.1198872559243815E-3</v>
      </c>
      <c r="W2" s="111">
        <f>(P2/O2)^(1/5)-1</f>
        <v>-1.5588461525752773E-2</v>
      </c>
      <c r="X2" s="111">
        <f t="shared" ref="X2:Z14" si="0">(Q2/P2)^(1/5)-1</f>
        <v>4.7616498401705787E-3</v>
      </c>
      <c r="Y2" s="111">
        <f t="shared" si="0"/>
        <v>4.5388611155277037E-3</v>
      </c>
      <c r="Z2" s="111">
        <f t="shared" si="0"/>
        <v>4.3946189232995092E-3</v>
      </c>
    </row>
    <row r="3" spans="1:26">
      <c r="A3" s="115" t="s">
        <v>1</v>
      </c>
      <c r="B3" s="112">
        <v>795.35</v>
      </c>
      <c r="C3" s="112">
        <v>853.97</v>
      </c>
      <c r="D3" s="112">
        <v>818.07</v>
      </c>
      <c r="E3" s="112">
        <v>711.77</v>
      </c>
      <c r="F3" s="112">
        <v>560.15</v>
      </c>
      <c r="G3" s="112">
        <v>696.38</v>
      </c>
      <c r="H3" s="112">
        <v>696.6</v>
      </c>
      <c r="I3" s="112">
        <v>630.67999999999995</v>
      </c>
      <c r="J3" s="112">
        <v>531.32000000000005</v>
      </c>
      <c r="K3" s="112">
        <v>690.54</v>
      </c>
      <c r="L3" s="112">
        <v>749.48</v>
      </c>
      <c r="M3" s="112">
        <v>722.93</v>
      </c>
      <c r="N3" s="112">
        <v>719.18</v>
      </c>
      <c r="O3" s="112">
        <v>708.48</v>
      </c>
      <c r="P3" s="112">
        <v>663.83</v>
      </c>
      <c r="Q3" s="112">
        <v>669.67</v>
      </c>
      <c r="R3" s="112">
        <v>674.76</v>
      </c>
      <c r="S3" s="112">
        <v>678.57</v>
      </c>
      <c r="U3" s="111">
        <f t="shared" ref="U3:U14" si="1">(L3/G3)^(1/5)-1</f>
        <v>1.4805358292235837E-2</v>
      </c>
      <c r="V3" s="111">
        <f t="shared" ref="V3:V14" si="2">(O3/L3)^(1/3)-1</f>
        <v>-1.857786482004764E-2</v>
      </c>
      <c r="W3" s="111">
        <f t="shared" ref="W3:W14" si="3">(P3/O3)^(1/5)-1</f>
        <v>-1.2934764988281611E-2</v>
      </c>
      <c r="X3" s="111">
        <f t="shared" si="0"/>
        <v>1.753327511361924E-3</v>
      </c>
      <c r="Y3" s="111">
        <f t="shared" si="0"/>
        <v>1.5155509596949113E-3</v>
      </c>
      <c r="Z3" s="111">
        <f t="shared" si="0"/>
        <v>1.1267484277643902E-3</v>
      </c>
    </row>
    <row r="4" spans="1:26">
      <c r="A4" s="115" t="s">
        <v>3</v>
      </c>
      <c r="B4" s="112">
        <v>220.44</v>
      </c>
      <c r="C4" s="112">
        <v>314.43</v>
      </c>
      <c r="D4" s="112">
        <v>365.39</v>
      </c>
      <c r="E4" s="112">
        <v>235.84</v>
      </c>
      <c r="F4" s="112">
        <v>166.2</v>
      </c>
      <c r="G4" s="112">
        <v>208.54</v>
      </c>
      <c r="H4" s="112">
        <v>258.16000000000003</v>
      </c>
      <c r="I4" s="112">
        <v>199.11</v>
      </c>
      <c r="J4" s="112">
        <v>216.41</v>
      </c>
      <c r="K4" s="112">
        <v>327.31</v>
      </c>
      <c r="L4" s="112">
        <v>360.24</v>
      </c>
      <c r="M4" s="112">
        <v>346.81</v>
      </c>
      <c r="N4" s="112">
        <v>345.17</v>
      </c>
      <c r="O4" s="112">
        <v>341.07</v>
      </c>
      <c r="P4" s="112">
        <v>321.69</v>
      </c>
      <c r="Q4" s="112">
        <v>327.26</v>
      </c>
      <c r="R4" s="112">
        <v>332.21</v>
      </c>
      <c r="S4" s="112">
        <v>336.14</v>
      </c>
      <c r="U4" s="111">
        <f t="shared" si="1"/>
        <v>0.11552809582308821</v>
      </c>
      <c r="V4" s="111">
        <f t="shared" si="2"/>
        <v>-1.8062462804608881E-2</v>
      </c>
      <c r="W4" s="111">
        <f t="shared" si="3"/>
        <v>-1.1631699766921355E-2</v>
      </c>
      <c r="X4" s="111">
        <f t="shared" si="0"/>
        <v>3.4392232231827968E-3</v>
      </c>
      <c r="Y4" s="111">
        <f t="shared" si="0"/>
        <v>3.0069793344611462E-3</v>
      </c>
      <c r="Z4" s="111">
        <f t="shared" si="0"/>
        <v>2.3548564842321706E-3</v>
      </c>
    </row>
    <row r="5" spans="1:26">
      <c r="A5" s="115" t="s">
        <v>4</v>
      </c>
      <c r="B5" s="112">
        <v>371.39135516282397</v>
      </c>
      <c r="C5" s="112">
        <v>438.18859129218401</v>
      </c>
      <c r="D5" s="112">
        <v>442.21617237985902</v>
      </c>
      <c r="E5" s="112">
        <v>333.653284812724</v>
      </c>
      <c r="F5" s="112">
        <v>229.90147826575298</v>
      </c>
      <c r="G5" s="112">
        <v>329.44373334464598</v>
      </c>
      <c r="H5" s="112">
        <v>394.67492430017899</v>
      </c>
      <c r="I5" s="112">
        <v>297.37271566599793</v>
      </c>
      <c r="J5" s="112">
        <v>252.74777498613403</v>
      </c>
      <c r="K5" s="112">
        <v>407.39522101938002</v>
      </c>
      <c r="L5" s="112">
        <v>462.16855128551401</v>
      </c>
      <c r="M5" s="112">
        <v>376.79309504032949</v>
      </c>
      <c r="N5" s="112">
        <v>365.43540769572331</v>
      </c>
      <c r="O5" s="112">
        <v>358.19287790126128</v>
      </c>
      <c r="P5" s="112">
        <v>300.583013407777</v>
      </c>
      <c r="Q5" s="112">
        <v>281.47356386815898</v>
      </c>
      <c r="R5" s="112">
        <v>265.60333330229412</v>
      </c>
      <c r="S5" s="112">
        <v>254.02789117558078</v>
      </c>
      <c r="U5" s="111">
        <f t="shared" si="1"/>
        <v>7.0049400084823299E-2</v>
      </c>
      <c r="V5" s="111">
        <f t="shared" si="2"/>
        <v>-8.1444252946000217E-2</v>
      </c>
      <c r="W5" s="111">
        <f t="shared" si="3"/>
        <v>-3.446171795245212E-2</v>
      </c>
      <c r="X5" s="111">
        <f t="shared" si="0"/>
        <v>-1.3051172158160096E-2</v>
      </c>
      <c r="Y5" s="111">
        <f t="shared" si="0"/>
        <v>-1.1539812428850826E-2</v>
      </c>
      <c r="Z5" s="111">
        <f t="shared" si="0"/>
        <v>-8.872385783767589E-3</v>
      </c>
    </row>
    <row r="6" spans="1:26">
      <c r="A6" s="115" t="s">
        <v>9</v>
      </c>
      <c r="B6" s="112">
        <v>459.85356436951656</v>
      </c>
      <c r="C6" s="112">
        <v>546.49284565219614</v>
      </c>
      <c r="D6" s="112">
        <v>518.71886662155566</v>
      </c>
      <c r="E6" s="112">
        <v>390.25174994658084</v>
      </c>
      <c r="F6" s="112">
        <v>280.74646836670939</v>
      </c>
      <c r="G6" s="112">
        <v>407.27414546592331</v>
      </c>
      <c r="H6" s="112">
        <v>472.63969958977998</v>
      </c>
      <c r="I6" s="112">
        <v>354.23430442955834</v>
      </c>
      <c r="J6" s="112">
        <v>288.12066616709387</v>
      </c>
      <c r="K6" s="112">
        <v>468.67350583750465</v>
      </c>
      <c r="L6" s="112">
        <v>492.50808114687283</v>
      </c>
      <c r="M6" s="112">
        <v>396.76004756883913</v>
      </c>
      <c r="N6" s="112">
        <v>384.6538101803169</v>
      </c>
      <c r="O6" s="112">
        <v>376.39391746090899</v>
      </c>
      <c r="P6" s="112">
        <v>316.25870671290369</v>
      </c>
      <c r="Q6" s="112">
        <v>293.85143106894293</v>
      </c>
      <c r="R6" s="112">
        <v>279.97190289370337</v>
      </c>
      <c r="S6" s="112">
        <v>268.6788864056258</v>
      </c>
      <c r="U6" s="111">
        <f t="shared" si="1"/>
        <v>3.8736288213346404E-2</v>
      </c>
      <c r="V6" s="111">
        <f t="shared" si="2"/>
        <v>-8.5725910790025117E-2</v>
      </c>
      <c r="W6" s="111">
        <f t="shared" si="3"/>
        <v>-3.421606098949237E-2</v>
      </c>
      <c r="X6" s="111">
        <f t="shared" si="0"/>
        <v>-1.458977608621892E-2</v>
      </c>
      <c r="Y6" s="111">
        <f t="shared" si="0"/>
        <v>-9.6303387611696989E-3</v>
      </c>
      <c r="Z6" s="111">
        <f t="shared" si="0"/>
        <v>-8.2006527999460843E-3</v>
      </c>
    </row>
    <row r="7" spans="1:26">
      <c r="A7" s="115" t="s">
        <v>12</v>
      </c>
      <c r="B7" s="112">
        <v>411.01</v>
      </c>
      <c r="C7" s="112">
        <v>448.39</v>
      </c>
      <c r="D7" s="112">
        <v>443.77</v>
      </c>
      <c r="E7" s="112">
        <v>325.26</v>
      </c>
      <c r="F7" s="112">
        <v>261.32</v>
      </c>
      <c r="G7" s="112">
        <v>358.12</v>
      </c>
      <c r="H7" s="112">
        <v>483.4</v>
      </c>
      <c r="I7" s="112">
        <v>239.98</v>
      </c>
      <c r="J7" s="112">
        <v>444.27</v>
      </c>
      <c r="K7" s="112">
        <v>537.25</v>
      </c>
      <c r="L7" s="112">
        <v>525.29</v>
      </c>
      <c r="M7" s="112">
        <v>510.95</v>
      </c>
      <c r="N7" s="112">
        <v>508.19</v>
      </c>
      <c r="O7" s="112">
        <v>501.9</v>
      </c>
      <c r="P7" s="112">
        <v>471.42</v>
      </c>
      <c r="Q7" s="112">
        <v>476.54</v>
      </c>
      <c r="R7" s="112">
        <v>481</v>
      </c>
      <c r="S7" s="112">
        <v>484.75</v>
      </c>
      <c r="U7" s="111">
        <f t="shared" si="1"/>
        <v>7.962793057700579E-2</v>
      </c>
      <c r="V7" s="111">
        <f t="shared" si="2"/>
        <v>-1.5068514527883159E-2</v>
      </c>
      <c r="W7" s="111">
        <f t="shared" si="3"/>
        <v>-1.2452118758354058E-2</v>
      </c>
      <c r="X7" s="111">
        <f t="shared" si="0"/>
        <v>2.1627851712093804E-3</v>
      </c>
      <c r="Y7" s="111">
        <f t="shared" si="0"/>
        <v>1.8648577082049922E-3</v>
      </c>
      <c r="Z7" s="111">
        <f t="shared" si="0"/>
        <v>1.5544116507268946E-3</v>
      </c>
    </row>
    <row r="8" spans="1:26">
      <c r="A8" s="2" t="s">
        <v>15</v>
      </c>
      <c r="B8" s="112">
        <v>290.92883501181922</v>
      </c>
      <c r="C8" s="112">
        <v>365.09098875781365</v>
      </c>
      <c r="D8" s="112">
        <v>372.53921323984093</v>
      </c>
      <c r="E8" s="112">
        <v>285.33704594131632</v>
      </c>
      <c r="F8" s="112">
        <v>188.00453384625595</v>
      </c>
      <c r="G8" s="112">
        <v>262.33367754609714</v>
      </c>
      <c r="H8" s="112">
        <v>321.7693277079664</v>
      </c>
      <c r="I8" s="112">
        <v>234.3841261543246</v>
      </c>
      <c r="J8" s="112">
        <v>188.78769921858273</v>
      </c>
      <c r="K8" s="112">
        <v>333.56741644436374</v>
      </c>
      <c r="L8" s="112">
        <v>347.29597905644459</v>
      </c>
      <c r="M8" s="112">
        <v>289.12595604101153</v>
      </c>
      <c r="N8" s="112">
        <v>278.91885951471136</v>
      </c>
      <c r="O8" s="112">
        <v>272.45733508372717</v>
      </c>
      <c r="P8" s="112">
        <v>231.62674974113011</v>
      </c>
      <c r="Q8" s="112">
        <v>214.76690212020966</v>
      </c>
      <c r="R8" s="112">
        <v>200.10414273105394</v>
      </c>
      <c r="S8" s="112">
        <v>188.62858454347386</v>
      </c>
      <c r="U8" s="111">
        <f t="shared" si="1"/>
        <v>5.7716164599639352E-2</v>
      </c>
      <c r="V8" s="111">
        <f t="shared" si="2"/>
        <v>-7.7712654604717546E-2</v>
      </c>
      <c r="W8" s="111">
        <f t="shared" si="3"/>
        <v>-3.1949437337270292E-2</v>
      </c>
      <c r="X8" s="111">
        <f t="shared" si="0"/>
        <v>-1.5001139826836929E-2</v>
      </c>
      <c r="Y8" s="111">
        <f t="shared" si="0"/>
        <v>-1.4043520531675124E-2</v>
      </c>
      <c r="Z8" s="111">
        <f t="shared" si="0"/>
        <v>-1.1742121679306328E-2</v>
      </c>
    </row>
    <row r="9" spans="1:26">
      <c r="A9" s="2" t="s">
        <v>18</v>
      </c>
      <c r="B9" s="112">
        <v>467.91357489240897</v>
      </c>
      <c r="C9" s="112">
        <v>529.59669464986303</v>
      </c>
      <c r="D9" s="112">
        <v>466.13001088426284</v>
      </c>
      <c r="E9" s="112">
        <v>389.89514932488589</v>
      </c>
      <c r="F9" s="112">
        <v>274.01368757309416</v>
      </c>
      <c r="G9" s="112">
        <v>383.6586702623224</v>
      </c>
      <c r="H9" s="112">
        <v>435.13476871391072</v>
      </c>
      <c r="I9" s="112">
        <v>404.4915361988057</v>
      </c>
      <c r="J9" s="112">
        <v>292.07423516386586</v>
      </c>
      <c r="K9" s="112">
        <v>669.391953868153</v>
      </c>
      <c r="L9" s="112">
        <v>447.4386720404072</v>
      </c>
      <c r="M9" s="112">
        <v>404.60399999999998</v>
      </c>
      <c r="N9" s="112">
        <v>390.68194369999998</v>
      </c>
      <c r="O9" s="112">
        <v>380.8007686066</v>
      </c>
      <c r="P9" s="112">
        <v>335.25624232485279</v>
      </c>
      <c r="Q9" s="112">
        <v>313.11106151243695</v>
      </c>
      <c r="R9" s="112">
        <v>292.50796742179745</v>
      </c>
      <c r="S9" s="112">
        <v>276.43904898515319</v>
      </c>
      <c r="U9" s="111">
        <f t="shared" si="1"/>
        <v>3.1235131853005305E-2</v>
      </c>
      <c r="V9" s="111">
        <f t="shared" si="2"/>
        <v>-5.233516336780053E-2</v>
      </c>
      <c r="W9" s="111">
        <f t="shared" si="3"/>
        <v>-2.5154454966193396E-2</v>
      </c>
      <c r="X9" s="111">
        <f t="shared" si="0"/>
        <v>-1.357446167912546E-2</v>
      </c>
      <c r="Y9" s="111">
        <f t="shared" si="0"/>
        <v>-1.3520969564801311E-2</v>
      </c>
      <c r="Z9" s="111">
        <f t="shared" si="0"/>
        <v>-1.1236700600684379E-2</v>
      </c>
    </row>
    <row r="10" spans="1:26">
      <c r="A10" s="2" t="s">
        <v>22</v>
      </c>
      <c r="B10" s="112">
        <v>392.98120602119889</v>
      </c>
      <c r="C10" s="112">
        <v>398.66699132741343</v>
      </c>
      <c r="D10" s="112">
        <v>457.02956607155488</v>
      </c>
      <c r="E10" s="112">
        <v>306.22053624042428</v>
      </c>
      <c r="F10" s="112">
        <v>292.23104003818844</v>
      </c>
      <c r="G10" s="112">
        <v>374.50573388159711</v>
      </c>
      <c r="H10" s="112">
        <v>423.29089276908877</v>
      </c>
      <c r="I10" s="112">
        <v>362.60260517761509</v>
      </c>
      <c r="J10" s="112">
        <v>241.13691679386164</v>
      </c>
      <c r="K10" s="112">
        <v>339.98209962809398</v>
      </c>
      <c r="L10" s="112">
        <v>359.90728802289601</v>
      </c>
      <c r="M10" s="112">
        <v>303.72576036252195</v>
      </c>
      <c r="N10" s="112">
        <v>300.26328669438919</v>
      </c>
      <c r="O10" s="112">
        <v>297.44081179946193</v>
      </c>
      <c r="P10" s="112">
        <v>266.09947859494611</v>
      </c>
      <c r="Q10" s="112">
        <v>248.45815898190017</v>
      </c>
      <c r="R10" s="112">
        <v>235.09030578053282</v>
      </c>
      <c r="S10" s="112">
        <v>225.26738290794566</v>
      </c>
      <c r="U10" s="111">
        <f t="shared" si="1"/>
        <v>-7.9205951792109541E-3</v>
      </c>
      <c r="V10" s="111">
        <f t="shared" si="2"/>
        <v>-6.1566926080616424E-2</v>
      </c>
      <c r="W10" s="111">
        <f t="shared" si="3"/>
        <v>-2.2022882970807567E-2</v>
      </c>
      <c r="X10" s="111">
        <f t="shared" si="0"/>
        <v>-1.3625473618191553E-2</v>
      </c>
      <c r="Y10" s="111">
        <f t="shared" si="0"/>
        <v>-1.100000000000001E-2</v>
      </c>
      <c r="Z10" s="111">
        <f t="shared" si="0"/>
        <v>-8.499999999999952E-3</v>
      </c>
    </row>
    <row r="11" spans="1:26">
      <c r="A11" s="2" t="s">
        <v>23</v>
      </c>
      <c r="B11" s="112">
        <v>505.76</v>
      </c>
      <c r="C11" s="112">
        <v>522.54</v>
      </c>
      <c r="D11" s="112">
        <v>558.74</v>
      </c>
      <c r="E11" s="112">
        <v>445.32</v>
      </c>
      <c r="F11" s="112">
        <v>388.56</v>
      </c>
      <c r="G11" s="112">
        <v>496.16</v>
      </c>
      <c r="H11" s="112">
        <v>475.05</v>
      </c>
      <c r="I11" s="112">
        <v>371.66</v>
      </c>
      <c r="J11" s="112">
        <v>319.77999999999997</v>
      </c>
      <c r="K11" s="112">
        <v>346.05</v>
      </c>
      <c r="L11" s="112">
        <v>395.96</v>
      </c>
      <c r="M11" s="112">
        <v>353.59227999999996</v>
      </c>
      <c r="N11" s="112">
        <v>338.91820037999997</v>
      </c>
      <c r="O11" s="112">
        <v>324.41250140373597</v>
      </c>
      <c r="P11" s="112">
        <v>288.78218643725018</v>
      </c>
      <c r="Q11" s="112">
        <v>270.49308280158914</v>
      </c>
      <c r="R11" s="112">
        <v>254.64836172967276</v>
      </c>
      <c r="S11" s="112">
        <v>246.23118993554382</v>
      </c>
      <c r="U11" s="111">
        <f t="shared" si="1"/>
        <v>-4.4114412901534616E-2</v>
      </c>
      <c r="V11" s="111">
        <f t="shared" si="2"/>
        <v>-6.4273874095673866E-2</v>
      </c>
      <c r="W11" s="111">
        <f t="shared" si="3"/>
        <v>-2.300000000000002E-2</v>
      </c>
      <c r="X11" s="111">
        <f t="shared" si="0"/>
        <v>-1.3000000000000012E-2</v>
      </c>
      <c r="Y11" s="111">
        <f t="shared" si="0"/>
        <v>-1.2000000000000011E-2</v>
      </c>
      <c r="Z11" s="111">
        <f t="shared" si="0"/>
        <v>-6.7000000000000393E-3</v>
      </c>
    </row>
    <row r="12" spans="1:26">
      <c r="A12" s="2" t="s">
        <v>24</v>
      </c>
      <c r="B12" s="112">
        <v>422.43900000000002</v>
      </c>
      <c r="C12" s="112">
        <v>447.84322787697442</v>
      </c>
      <c r="D12" s="112">
        <v>432.28554461245255</v>
      </c>
      <c r="E12" s="112">
        <v>408.44750188375758</v>
      </c>
      <c r="F12" s="112">
        <v>294.31012251751343</v>
      </c>
      <c r="G12" s="112">
        <v>276.77472185754863</v>
      </c>
      <c r="H12" s="112">
        <v>389.35575641206015</v>
      </c>
      <c r="I12" s="112">
        <v>409.78973271934314</v>
      </c>
      <c r="J12" s="112">
        <v>222.29035559842791</v>
      </c>
      <c r="K12" s="112">
        <v>178.27281428769558</v>
      </c>
      <c r="L12" s="112">
        <v>312.5115070137042</v>
      </c>
      <c r="M12" s="112">
        <v>296.97968511512312</v>
      </c>
      <c r="N12" s="112">
        <v>291.81223859412</v>
      </c>
      <c r="O12" s="112">
        <v>286.35534973240993</v>
      </c>
      <c r="P12" s="112">
        <v>258.84255589806259</v>
      </c>
      <c r="Q12" s="112">
        <v>245.28767399533726</v>
      </c>
      <c r="R12" s="112">
        <v>234.80171020430566</v>
      </c>
      <c r="S12" s="112">
        <v>226.01383987199515</v>
      </c>
      <c r="U12" s="111">
        <f t="shared" si="1"/>
        <v>2.4584822000153661E-2</v>
      </c>
      <c r="V12" s="111">
        <f t="shared" si="2"/>
        <v>-2.8715564653640446E-2</v>
      </c>
      <c r="W12" s="111">
        <f t="shared" si="3"/>
        <v>-2.0000000000000018E-2</v>
      </c>
      <c r="X12" s="111">
        <f t="shared" si="0"/>
        <v>-1.0700000000000043E-2</v>
      </c>
      <c r="Y12" s="111">
        <f t="shared" si="0"/>
        <v>-8.700000000000041E-3</v>
      </c>
      <c r="Z12" s="111">
        <f t="shared" si="0"/>
        <v>-7.6000000000000512E-3</v>
      </c>
    </row>
    <row r="13" spans="1:26">
      <c r="A13" s="2" t="s">
        <v>25</v>
      </c>
      <c r="B13" s="112">
        <v>396.52120602119891</v>
      </c>
      <c r="C13" s="112">
        <v>402.20699132741345</v>
      </c>
      <c r="D13" s="112">
        <v>460.5695660715549</v>
      </c>
      <c r="E13" s="112">
        <v>309.7605362404243</v>
      </c>
      <c r="F13" s="112">
        <v>295.77104003818846</v>
      </c>
      <c r="G13" s="112">
        <v>378.04573388159713</v>
      </c>
      <c r="H13" s="112">
        <v>426.83089276908879</v>
      </c>
      <c r="I13" s="112">
        <v>366.14260517761511</v>
      </c>
      <c r="J13" s="112">
        <v>244.67691679386164</v>
      </c>
      <c r="K13" s="112">
        <v>343.522099628094</v>
      </c>
      <c r="L13" s="112">
        <v>363.44728802289603</v>
      </c>
      <c r="M13" s="112">
        <v>343.34865299522988</v>
      </c>
      <c r="N13" s="112">
        <v>336.58468453122384</v>
      </c>
      <c r="O13" s="112">
        <v>335.50761354072392</v>
      </c>
      <c r="P13" s="112">
        <v>299.42372589679036</v>
      </c>
      <c r="Q13" s="112">
        <v>278.33598183470741</v>
      </c>
      <c r="R13" s="112">
        <v>261.50184636668456</v>
      </c>
      <c r="S13" s="112">
        <v>248.9369530699208</v>
      </c>
      <c r="U13" s="111">
        <f t="shared" si="1"/>
        <v>-7.8452448140202691E-3</v>
      </c>
      <c r="V13" s="111">
        <f t="shared" si="2"/>
        <v>-2.6310883269103136E-2</v>
      </c>
      <c r="W13" s="111">
        <f t="shared" si="3"/>
        <v>-2.2499999999999964E-2</v>
      </c>
      <c r="X13" s="111">
        <f t="shared" si="0"/>
        <v>-1.4499999999999957E-2</v>
      </c>
      <c r="Y13" s="111">
        <f t="shared" si="0"/>
        <v>-1.2399999999999967E-2</v>
      </c>
      <c r="Z13" s="111">
        <f t="shared" si="0"/>
        <v>-9.8000000000000309E-3</v>
      </c>
    </row>
    <row r="14" spans="1:26">
      <c r="A14" s="2" t="s">
        <v>26</v>
      </c>
      <c r="B14" s="112">
        <v>519.88660000000004</v>
      </c>
      <c r="C14" s="112">
        <v>524.851</v>
      </c>
      <c r="D14" s="112">
        <v>579.63099999999997</v>
      </c>
      <c r="E14" s="112">
        <v>406.23400000000004</v>
      </c>
      <c r="F14" s="112">
        <v>389.46799999999996</v>
      </c>
      <c r="G14" s="112">
        <v>490.96663000000001</v>
      </c>
      <c r="H14" s="112">
        <v>532.85500000000002</v>
      </c>
      <c r="I14" s="112">
        <v>457.06659999999999</v>
      </c>
      <c r="J14" s="112">
        <v>318.69159999999999</v>
      </c>
      <c r="K14" s="112">
        <v>436.64400000000001</v>
      </c>
      <c r="L14" s="112">
        <v>455.17500000000001</v>
      </c>
      <c r="M14" s="112">
        <v>442.43010000000004</v>
      </c>
      <c r="N14" s="112">
        <v>440.88159465000001</v>
      </c>
      <c r="O14" s="112">
        <v>440.08800777963</v>
      </c>
      <c r="P14" s="112">
        <v>389.55261530799669</v>
      </c>
      <c r="Q14" s="112">
        <v>359.18726243302063</v>
      </c>
      <c r="R14" s="112">
        <v>337.46313250081312</v>
      </c>
      <c r="S14" s="112">
        <v>318.33912423864501</v>
      </c>
      <c r="U14" s="111">
        <f t="shared" si="1"/>
        <v>-1.5024824189972086E-2</v>
      </c>
      <c r="V14" s="111">
        <f t="shared" si="2"/>
        <v>-1.1172860021250397E-2</v>
      </c>
      <c r="W14" s="111">
        <f t="shared" si="3"/>
        <v>-2.410000000000001E-2</v>
      </c>
      <c r="X14" s="111">
        <f t="shared" si="0"/>
        <v>-1.6100000000000003E-2</v>
      </c>
      <c r="Y14" s="111">
        <f t="shared" si="0"/>
        <v>-1.2399999999999967E-2</v>
      </c>
      <c r="Z14" s="111">
        <f t="shared" si="0"/>
        <v>-1.1600000000000055E-2</v>
      </c>
    </row>
    <row r="15" spans="1:26">
      <c r="A15" s="113" t="s">
        <v>368</v>
      </c>
      <c r="B15" s="114">
        <f>AVERAGE(B2:B14)</f>
        <v>433.50483532196483</v>
      </c>
      <c r="C15" s="114">
        <f t="shared" ref="C15:S15" si="4">AVERAGE(C2:C14)</f>
        <v>473.51265578087492</v>
      </c>
      <c r="D15" s="114">
        <f t="shared" si="4"/>
        <v>482.46066649006741</v>
      </c>
      <c r="E15" s="114">
        <f t="shared" si="4"/>
        <v>373.73424724816766</v>
      </c>
      <c r="F15" s="114">
        <f t="shared" si="4"/>
        <v>302.32791133447711</v>
      </c>
      <c r="G15" s="114">
        <f t="shared" si="4"/>
        <v>386.46043279545472</v>
      </c>
      <c r="H15" s="114">
        <f t="shared" si="4"/>
        <v>431.74144797980637</v>
      </c>
      <c r="I15" s="114">
        <f t="shared" si="4"/>
        <v>354.75558819814552</v>
      </c>
      <c r="J15" s="114">
        <f t="shared" si="4"/>
        <v>300.86452904562424</v>
      </c>
      <c r="K15" s="114">
        <f t="shared" si="4"/>
        <v>425.10367432119006</v>
      </c>
      <c r="L15" s="114">
        <f t="shared" si="4"/>
        <v>442.37500533011064</v>
      </c>
      <c r="M15" s="114">
        <f t="shared" si="4"/>
        <v>404.90856570465218</v>
      </c>
      <c r="N15" s="114">
        <f t="shared" si="4"/>
        <v>398.08389798175995</v>
      </c>
      <c r="O15" s="114">
        <f t="shared" si="4"/>
        <v>392.05003024416942</v>
      </c>
      <c r="P15" s="114">
        <f t="shared" si="4"/>
        <v>352.39536472655169</v>
      </c>
      <c r="Q15" s="114">
        <f t="shared" si="4"/>
        <v>340.51784315871623</v>
      </c>
      <c r="R15" s="114">
        <f t="shared" si="4"/>
        <v>331.40200814205605</v>
      </c>
      <c r="S15" s="114">
        <f t="shared" si="4"/>
        <v>324.67317784605643</v>
      </c>
    </row>
    <row r="16" spans="1:26">
      <c r="A16" s="28" t="s">
        <v>44</v>
      </c>
    </row>
    <row r="17" spans="1:19">
      <c r="L17">
        <f>L2*50%</f>
        <v>239.72635135135135</v>
      </c>
    </row>
    <row r="18" spans="1:19">
      <c r="R18" s="6"/>
      <c r="S18" s="6"/>
    </row>
    <row r="20" spans="1:19">
      <c r="A20" s="110"/>
      <c r="B20" s="110">
        <v>2012</v>
      </c>
      <c r="C20" s="110">
        <v>2018</v>
      </c>
      <c r="D20" s="110">
        <v>2021</v>
      </c>
      <c r="E20" s="110">
        <v>2022</v>
      </c>
      <c r="F20" s="110">
        <v>2025</v>
      </c>
      <c r="G20" s="110">
        <v>2030</v>
      </c>
      <c r="H20" s="110">
        <v>2035</v>
      </c>
      <c r="I20" s="110">
        <v>2040</v>
      </c>
      <c r="J20" s="110">
        <v>2045</v>
      </c>
    </row>
    <row r="21" spans="1:19">
      <c r="A21" s="115" t="s">
        <v>0</v>
      </c>
      <c r="B21" s="112">
        <v>381.0875177065767</v>
      </c>
      <c r="C21" s="112">
        <v>302.87756147540989</v>
      </c>
      <c r="D21" s="112">
        <v>447.7486554621849</v>
      </c>
      <c r="E21" s="112">
        <v>479.45270270270271</v>
      </c>
      <c r="F21" s="112">
        <v>473.55120986574457</v>
      </c>
      <c r="G21" s="112">
        <v>437.77446712346341</v>
      </c>
      <c r="H21" s="112">
        <v>448.29684244700803</v>
      </c>
      <c r="I21" s="112">
        <v>458.56340291587139</v>
      </c>
      <c r="J21" s="112">
        <v>468.72841086484976</v>
      </c>
    </row>
    <row r="22" spans="1:19">
      <c r="A22" s="115" t="s">
        <v>1</v>
      </c>
      <c r="B22" s="112">
        <v>795.35</v>
      </c>
      <c r="C22" s="112">
        <v>696.6</v>
      </c>
      <c r="D22" s="112">
        <v>690.54</v>
      </c>
      <c r="E22" s="112">
        <v>749.48</v>
      </c>
      <c r="F22" s="112">
        <v>708.48</v>
      </c>
      <c r="G22" s="112">
        <v>663.83</v>
      </c>
      <c r="H22" s="112">
        <v>669.67</v>
      </c>
      <c r="I22" s="112">
        <v>674.76</v>
      </c>
      <c r="J22" s="112">
        <v>678.57</v>
      </c>
    </row>
    <row r="23" spans="1:19">
      <c r="A23" s="115" t="s">
        <v>3</v>
      </c>
      <c r="B23" s="112">
        <v>220.44</v>
      </c>
      <c r="C23" s="112">
        <v>258.16000000000003</v>
      </c>
      <c r="D23" s="112">
        <v>327.31</v>
      </c>
      <c r="E23" s="112">
        <v>360.24</v>
      </c>
      <c r="F23" s="112">
        <v>341.07</v>
      </c>
      <c r="G23" s="112">
        <v>321.69</v>
      </c>
      <c r="H23" s="112">
        <v>327.26</v>
      </c>
      <c r="I23" s="112">
        <v>332.21</v>
      </c>
      <c r="J23" s="112">
        <v>336.14</v>
      </c>
    </row>
    <row r="24" spans="1:19">
      <c r="A24" s="115" t="s">
        <v>4</v>
      </c>
      <c r="B24" s="112">
        <v>371.39135516282397</v>
      </c>
      <c r="C24" s="112">
        <v>394.67492430017899</v>
      </c>
      <c r="D24" s="112">
        <v>407.39522101938002</v>
      </c>
      <c r="E24" s="112">
        <v>462.16855128551401</v>
      </c>
      <c r="F24" s="112">
        <v>358.19287790126128</v>
      </c>
      <c r="G24" s="112">
        <v>300.583013407777</v>
      </c>
      <c r="H24" s="112">
        <v>281.47356386815898</v>
      </c>
      <c r="I24" s="112">
        <v>265.60333330229412</v>
      </c>
      <c r="J24" s="112">
        <v>254.02789117558078</v>
      </c>
    </row>
    <row r="25" spans="1:19">
      <c r="A25" s="115" t="s">
        <v>9</v>
      </c>
      <c r="B25" s="112">
        <v>459.85356436951656</v>
      </c>
      <c r="C25" s="112">
        <v>472.63969958977998</v>
      </c>
      <c r="D25" s="112">
        <v>468.67350583750465</v>
      </c>
      <c r="E25" s="112">
        <v>492.50808114687283</v>
      </c>
      <c r="F25" s="112">
        <v>376.39391746090899</v>
      </c>
      <c r="G25" s="112">
        <v>316.25870671290369</v>
      </c>
      <c r="H25" s="112">
        <v>293.85143106894293</v>
      </c>
      <c r="I25" s="112">
        <v>279.97190289370337</v>
      </c>
      <c r="J25" s="112">
        <v>268.6788864056258</v>
      </c>
    </row>
    <row r="26" spans="1:19">
      <c r="A26" s="115" t="s">
        <v>12</v>
      </c>
      <c r="B26" s="112">
        <v>411.01</v>
      </c>
      <c r="C26" s="112">
        <v>483.4</v>
      </c>
      <c r="D26" s="112">
        <v>537.25</v>
      </c>
      <c r="E26" s="112">
        <v>525.29</v>
      </c>
      <c r="F26" s="112">
        <v>501.9</v>
      </c>
      <c r="G26" s="112">
        <v>471.42</v>
      </c>
      <c r="H26" s="112">
        <v>476.54</v>
      </c>
      <c r="I26" s="112">
        <v>481</v>
      </c>
      <c r="J26" s="112">
        <v>484.75</v>
      </c>
    </row>
    <row r="27" spans="1:19">
      <c r="A27" s="2" t="s">
        <v>15</v>
      </c>
      <c r="B27" s="112">
        <v>290.92883501181922</v>
      </c>
      <c r="C27" s="112">
        <v>321.7693277079664</v>
      </c>
      <c r="D27" s="112">
        <v>333.56741644436374</v>
      </c>
      <c r="E27" s="112">
        <v>347.29597905644459</v>
      </c>
      <c r="F27" s="112">
        <v>272.45733508372717</v>
      </c>
      <c r="G27" s="112">
        <v>231.62674974113011</v>
      </c>
      <c r="H27" s="112">
        <v>214.76690212020966</v>
      </c>
      <c r="I27" s="112">
        <v>200.10414273105394</v>
      </c>
      <c r="J27" s="112">
        <v>188.62858454347386</v>
      </c>
    </row>
    <row r="28" spans="1:19">
      <c r="A28" s="2" t="s">
        <v>18</v>
      </c>
      <c r="B28" s="112">
        <v>467.91357489240897</v>
      </c>
      <c r="C28" s="112">
        <v>435.13476871391072</v>
      </c>
      <c r="D28" s="112">
        <v>669.391953868153</v>
      </c>
      <c r="E28" s="112">
        <v>447.4386720404072</v>
      </c>
      <c r="F28" s="112">
        <v>380.8007686066</v>
      </c>
      <c r="G28" s="112">
        <v>335.25624232485279</v>
      </c>
      <c r="H28" s="112">
        <v>313.11106151243695</v>
      </c>
      <c r="I28" s="112">
        <v>292.50796742179745</v>
      </c>
      <c r="J28" s="112">
        <v>276.43904898515319</v>
      </c>
    </row>
    <row r="29" spans="1:19">
      <c r="A29" s="2" t="s">
        <v>22</v>
      </c>
      <c r="B29" s="112">
        <v>392.98120602119889</v>
      </c>
      <c r="C29" s="112">
        <v>423.29089276908877</v>
      </c>
      <c r="D29" s="112">
        <v>339.98209962809398</v>
      </c>
      <c r="E29" s="112">
        <v>359.90728802289601</v>
      </c>
      <c r="F29" s="112">
        <v>297.44081179946193</v>
      </c>
      <c r="G29" s="112">
        <v>266.09947859494611</v>
      </c>
      <c r="H29" s="112">
        <v>248.45815898190017</v>
      </c>
      <c r="I29" s="112">
        <v>235.09030578053282</v>
      </c>
      <c r="J29" s="112">
        <v>225.26738290794566</v>
      </c>
    </row>
    <row r="30" spans="1:19">
      <c r="A30" s="2" t="s">
        <v>23</v>
      </c>
      <c r="B30" s="112">
        <v>505.76</v>
      </c>
      <c r="C30" s="112">
        <v>475.05</v>
      </c>
      <c r="D30" s="112">
        <v>346.05</v>
      </c>
      <c r="E30" s="112">
        <v>395.96</v>
      </c>
      <c r="F30" s="112">
        <v>324.41250140373597</v>
      </c>
      <c r="G30" s="112">
        <v>288.78218643725018</v>
      </c>
      <c r="H30" s="112">
        <v>270.49308280158914</v>
      </c>
      <c r="I30" s="112">
        <v>254.64836172967276</v>
      </c>
      <c r="J30" s="112">
        <v>246.23118993554382</v>
      </c>
    </row>
    <row r="31" spans="1:19">
      <c r="A31" s="2" t="s">
        <v>24</v>
      </c>
      <c r="B31" s="112">
        <v>422.43900000000002</v>
      </c>
      <c r="C31" s="112">
        <v>389.35575641206015</v>
      </c>
      <c r="D31" s="112">
        <v>178.27281428769558</v>
      </c>
      <c r="E31" s="112">
        <v>312.5115070137042</v>
      </c>
      <c r="F31" s="112">
        <v>286.35534973240993</v>
      </c>
      <c r="G31" s="112">
        <v>258.84255589806259</v>
      </c>
      <c r="H31" s="112">
        <v>245.28767399533726</v>
      </c>
      <c r="I31" s="112">
        <v>234.80171020430566</v>
      </c>
      <c r="J31" s="112">
        <v>226.01383987199515</v>
      </c>
    </row>
    <row r="32" spans="1:19">
      <c r="A32" s="2" t="s">
        <v>25</v>
      </c>
      <c r="B32" s="112">
        <v>396.52120602119891</v>
      </c>
      <c r="C32" s="112">
        <v>426.83089276908879</v>
      </c>
      <c r="D32" s="112">
        <v>343.522099628094</v>
      </c>
      <c r="E32" s="112">
        <v>363.44728802289603</v>
      </c>
      <c r="F32" s="112">
        <v>335.50761354072392</v>
      </c>
      <c r="G32" s="112">
        <v>299.42372589679036</v>
      </c>
      <c r="H32" s="112">
        <v>278.33598183470741</v>
      </c>
      <c r="I32" s="112">
        <v>261.50184636668456</v>
      </c>
      <c r="J32" s="112">
        <v>248.9369530699208</v>
      </c>
    </row>
    <row r="33" spans="1:10">
      <c r="A33" s="2" t="s">
        <v>26</v>
      </c>
      <c r="B33" s="112">
        <v>519.88660000000004</v>
      </c>
      <c r="C33" s="112">
        <v>532.85500000000002</v>
      </c>
      <c r="D33" s="112">
        <v>436.64400000000001</v>
      </c>
      <c r="E33" s="112">
        <v>455.17500000000001</v>
      </c>
      <c r="F33" s="112">
        <v>440.08800777963</v>
      </c>
      <c r="G33" s="112">
        <v>389.55261530799669</v>
      </c>
      <c r="H33" s="112">
        <v>359.18726243302063</v>
      </c>
      <c r="I33" s="112">
        <v>337.46313250081312</v>
      </c>
      <c r="J33" s="112">
        <v>318.33912423864501</v>
      </c>
    </row>
    <row r="34" spans="1:10">
      <c r="C34" s="114">
        <f t="shared" ref="C34:E34" si="5">AVERAGE(C21:C33)</f>
        <v>431.74144797980637</v>
      </c>
      <c r="D34" s="114">
        <f t="shared" si="5"/>
        <v>425.10367432119006</v>
      </c>
      <c r="E34" s="114">
        <f t="shared" si="5"/>
        <v>442.37500533011064</v>
      </c>
      <c r="F34" s="114">
        <f>AVERAGE(F21:F33)</f>
        <v>392.05003024416942</v>
      </c>
      <c r="G34" s="114">
        <f>AVERAGE(G21:G33)</f>
        <v>352.39536472655169</v>
      </c>
      <c r="H34" s="114">
        <f>AVERAGE(H21:H33)</f>
        <v>340.51784315871623</v>
      </c>
      <c r="I34" s="114">
        <f>AVERAGE(I21:I33)</f>
        <v>331.40200814205605</v>
      </c>
      <c r="J34" s="114">
        <f>AVERAGE(J21:J33)</f>
        <v>324.67317784605643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1CF9-8EC6-4996-AA38-28CA1FA1F743}">
  <dimension ref="A2:U21"/>
  <sheetViews>
    <sheetView workbookViewId="0">
      <selection activeCell="R12" sqref="R12"/>
    </sheetView>
  </sheetViews>
  <sheetFormatPr defaultRowHeight="15"/>
  <cols>
    <col min="1" max="1" width="31.140625" customWidth="1"/>
  </cols>
  <sheetData>
    <row r="2" spans="1:21">
      <c r="A2" t="s">
        <v>355</v>
      </c>
    </row>
    <row r="3" spans="1:21">
      <c r="K3" t="s">
        <v>346</v>
      </c>
    </row>
    <row r="4" spans="1:21">
      <c r="A4" t="s">
        <v>347</v>
      </c>
      <c r="B4" t="s">
        <v>348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>
        <v>2021</v>
      </c>
      <c r="J4">
        <v>2022</v>
      </c>
      <c r="K4">
        <v>2023</v>
      </c>
      <c r="L4">
        <v>2024</v>
      </c>
      <c r="M4">
        <v>2025</v>
      </c>
      <c r="N4">
        <v>2030</v>
      </c>
      <c r="O4">
        <v>2035</v>
      </c>
      <c r="Q4">
        <v>2023</v>
      </c>
      <c r="R4">
        <v>2024</v>
      </c>
      <c r="S4">
        <v>2025</v>
      </c>
      <c r="T4">
        <v>2030</v>
      </c>
      <c r="U4">
        <v>2035</v>
      </c>
    </row>
    <row r="5" spans="1:21">
      <c r="A5" t="s">
        <v>349</v>
      </c>
    </row>
    <row r="6" spans="1:21">
      <c r="A6" t="s">
        <v>350</v>
      </c>
      <c r="B6" t="s">
        <v>351</v>
      </c>
      <c r="C6">
        <v>58.9</v>
      </c>
      <c r="D6">
        <v>66.099999999999994</v>
      </c>
      <c r="E6">
        <v>88.5</v>
      </c>
      <c r="F6">
        <v>107</v>
      </c>
      <c r="G6">
        <v>77.900000000000006</v>
      </c>
      <c r="H6">
        <v>60.8</v>
      </c>
      <c r="I6">
        <v>140</v>
      </c>
      <c r="J6">
        <v>120</v>
      </c>
      <c r="K6">
        <v>90</v>
      </c>
      <c r="L6">
        <v>86.4</v>
      </c>
      <c r="M6">
        <v>82.9</v>
      </c>
      <c r="N6">
        <v>67.5</v>
      </c>
      <c r="O6">
        <v>55</v>
      </c>
      <c r="Q6" s="90"/>
      <c r="R6" s="90"/>
      <c r="S6" s="90"/>
      <c r="T6" s="55"/>
      <c r="U6" s="55"/>
    </row>
    <row r="7" spans="1:21">
      <c r="A7" t="s">
        <v>352</v>
      </c>
      <c r="B7" t="s">
        <v>353</v>
      </c>
      <c r="C7">
        <v>50.8</v>
      </c>
      <c r="D7">
        <v>42.8</v>
      </c>
      <c r="E7">
        <v>52.8</v>
      </c>
      <c r="F7">
        <v>68.3</v>
      </c>
      <c r="G7">
        <v>61.4</v>
      </c>
      <c r="H7">
        <v>41.3</v>
      </c>
      <c r="I7">
        <v>70</v>
      </c>
      <c r="J7">
        <v>74</v>
      </c>
      <c r="K7">
        <v>65</v>
      </c>
      <c r="L7">
        <v>65.400000000000006</v>
      </c>
      <c r="M7">
        <v>65.8</v>
      </c>
      <c r="N7">
        <v>67.900000000000006</v>
      </c>
      <c r="O7">
        <v>70</v>
      </c>
      <c r="Q7" s="91">
        <f t="shared" ref="Q7:Q10" si="0">K7/J7-1</f>
        <v>-0.1216216216216216</v>
      </c>
      <c r="R7" s="91">
        <f t="shared" ref="R7:R10" si="1">L7/K7-1</f>
        <v>6.1538461538461764E-3</v>
      </c>
      <c r="S7" s="91">
        <f t="shared" ref="S7:S10" si="2">M7/L7-1</f>
        <v>6.1162079510701517E-3</v>
      </c>
      <c r="T7" s="92">
        <f t="shared" ref="T7:U10" si="3">(N7/M7)^(1/5)-1</f>
        <v>6.3030202021816528E-3</v>
      </c>
      <c r="U7" s="92">
        <f t="shared" si="3"/>
        <v>6.1104344993871962E-3</v>
      </c>
    </row>
    <row r="8" spans="1:21">
      <c r="A8" t="s">
        <v>323</v>
      </c>
      <c r="B8" t="s">
        <v>354</v>
      </c>
      <c r="C8">
        <v>6.8</v>
      </c>
      <c r="D8">
        <v>4.5999999999999996</v>
      </c>
      <c r="E8">
        <v>5.7</v>
      </c>
      <c r="F8">
        <v>7.7</v>
      </c>
      <c r="G8">
        <v>4.8</v>
      </c>
      <c r="H8">
        <v>3.2</v>
      </c>
      <c r="I8">
        <v>14.6</v>
      </c>
      <c r="J8">
        <v>12.6</v>
      </c>
      <c r="K8">
        <v>9.1999999999999993</v>
      </c>
      <c r="L8">
        <v>8.9</v>
      </c>
      <c r="M8">
        <v>8.6999999999999993</v>
      </c>
      <c r="N8">
        <v>7.5</v>
      </c>
      <c r="O8">
        <v>6.5</v>
      </c>
      <c r="Q8" s="91">
        <f t="shared" si="0"/>
        <v>-0.26984126984126988</v>
      </c>
      <c r="R8" s="91">
        <f t="shared" si="1"/>
        <v>-3.2608695652173836E-2</v>
      </c>
      <c r="S8" s="91">
        <f t="shared" si="2"/>
        <v>-2.2471910112359716E-2</v>
      </c>
      <c r="T8" s="92">
        <f t="shared" si="3"/>
        <v>-2.9247758199096863E-2</v>
      </c>
      <c r="U8" s="92">
        <f t="shared" si="3"/>
        <v>-2.8214491099314398E-2</v>
      </c>
    </row>
    <row r="9" spans="1:21">
      <c r="A9" t="s">
        <v>322</v>
      </c>
      <c r="B9" t="s">
        <v>354</v>
      </c>
      <c r="C9">
        <v>2.6</v>
      </c>
      <c r="D9">
        <v>2.5</v>
      </c>
      <c r="E9">
        <v>3</v>
      </c>
      <c r="F9">
        <v>3.2</v>
      </c>
      <c r="G9">
        <v>2.5</v>
      </c>
      <c r="H9">
        <v>2</v>
      </c>
      <c r="I9">
        <v>4.0999999999999996</v>
      </c>
      <c r="J9">
        <v>4</v>
      </c>
      <c r="K9">
        <v>3.9</v>
      </c>
      <c r="L9">
        <v>3.9</v>
      </c>
      <c r="M9">
        <v>3.9</v>
      </c>
      <c r="N9">
        <v>4</v>
      </c>
      <c r="O9">
        <v>4</v>
      </c>
      <c r="Q9" s="91">
        <f t="shared" si="0"/>
        <v>-2.5000000000000022E-2</v>
      </c>
      <c r="R9" s="91">
        <f t="shared" si="1"/>
        <v>0</v>
      </c>
      <c r="S9" s="91">
        <f t="shared" si="2"/>
        <v>0</v>
      </c>
      <c r="T9" s="92">
        <f t="shared" si="3"/>
        <v>5.076403090295889E-3</v>
      </c>
      <c r="U9" s="92">
        <f t="shared" si="3"/>
        <v>0</v>
      </c>
    </row>
    <row r="10" spans="1:21">
      <c r="A10" t="s">
        <v>324</v>
      </c>
      <c r="B10" t="s">
        <v>354</v>
      </c>
      <c r="C10">
        <v>10.9</v>
      </c>
      <c r="D10">
        <v>7.4</v>
      </c>
      <c r="E10">
        <v>8.6</v>
      </c>
      <c r="F10">
        <v>10.7</v>
      </c>
      <c r="G10">
        <v>10.6</v>
      </c>
      <c r="H10">
        <v>8.3000000000000007</v>
      </c>
      <c r="I10">
        <v>11.9</v>
      </c>
      <c r="J10">
        <v>11.4</v>
      </c>
      <c r="K10">
        <v>10</v>
      </c>
      <c r="L10">
        <v>9.8000000000000007</v>
      </c>
      <c r="M10">
        <v>9.5</v>
      </c>
      <c r="N10">
        <v>8.5</v>
      </c>
      <c r="O10">
        <v>7.5</v>
      </c>
      <c r="Q10" s="91">
        <f t="shared" si="0"/>
        <v>-0.1228070175438597</v>
      </c>
      <c r="R10" s="91">
        <f t="shared" si="1"/>
        <v>-1.9999999999999907E-2</v>
      </c>
      <c r="S10" s="91">
        <f t="shared" si="2"/>
        <v>-3.0612244897959218E-2</v>
      </c>
      <c r="T10" s="92">
        <f t="shared" si="3"/>
        <v>-2.1999528676967639E-2</v>
      </c>
      <c r="U10" s="92">
        <f t="shared" si="3"/>
        <v>-2.4721910440527295E-2</v>
      </c>
    </row>
    <row r="13" spans="1:21">
      <c r="A13" t="s">
        <v>356</v>
      </c>
    </row>
    <row r="14" spans="1:21">
      <c r="A14" t="s">
        <v>346</v>
      </c>
    </row>
    <row r="15" spans="1:21">
      <c r="A15" t="s">
        <v>347</v>
      </c>
      <c r="B15" t="s">
        <v>348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2030</v>
      </c>
      <c r="O15">
        <v>2035</v>
      </c>
    </row>
    <row r="16" spans="1:21">
      <c r="A16" t="s">
        <v>349</v>
      </c>
    </row>
    <row r="17" spans="1:21">
      <c r="A17" t="s">
        <v>350</v>
      </c>
      <c r="B17" t="s">
        <v>351</v>
      </c>
      <c r="C17">
        <v>60.2</v>
      </c>
      <c r="D17">
        <v>70.3</v>
      </c>
      <c r="E17">
        <v>91</v>
      </c>
      <c r="F17">
        <v>105.2</v>
      </c>
      <c r="G17">
        <v>78.3</v>
      </c>
      <c r="H17">
        <v>61.4</v>
      </c>
      <c r="I17">
        <v>139.19999999999999</v>
      </c>
      <c r="J17">
        <v>117.4</v>
      </c>
      <c r="K17">
        <v>86.5</v>
      </c>
      <c r="L17">
        <v>81.599999999999994</v>
      </c>
      <c r="M17">
        <v>76.900000000000006</v>
      </c>
      <c r="N17">
        <v>57</v>
      </c>
      <c r="O17">
        <v>46.4</v>
      </c>
      <c r="Q17" s="91">
        <f t="shared" ref="Q17" si="4">K17/J17-1</f>
        <v>-0.26320272572402048</v>
      </c>
      <c r="R17" s="91">
        <f t="shared" ref="R17" si="5">L17/K17-1</f>
        <v>-5.6647398843930663E-2</v>
      </c>
      <c r="S17" s="91">
        <f t="shared" ref="S17" si="6">M17/L17-1</f>
        <v>-5.7598039215686181E-2</v>
      </c>
      <c r="T17" s="92">
        <f t="shared" ref="T17" si="7">(N17/M17)^(1/5)-1</f>
        <v>-5.8132734771982331E-2</v>
      </c>
      <c r="U17" s="92">
        <f t="shared" ref="U17" si="8">(O17/N17)^(1/5)-1</f>
        <v>-4.0315180761860248E-2</v>
      </c>
    </row>
    <row r="18" spans="1:21">
      <c r="A18" t="s">
        <v>352</v>
      </c>
      <c r="B18" t="s">
        <v>353</v>
      </c>
      <c r="C18">
        <v>51.9</v>
      </c>
      <c r="D18">
        <v>45.5</v>
      </c>
      <c r="E18">
        <v>54.3</v>
      </c>
      <c r="F18">
        <v>67.2</v>
      </c>
      <c r="G18">
        <v>61.7</v>
      </c>
      <c r="H18">
        <v>41.7</v>
      </c>
      <c r="I18">
        <v>69.599999999999994</v>
      </c>
      <c r="J18">
        <v>72.400000000000006</v>
      </c>
      <c r="K18">
        <v>62.5</v>
      </c>
      <c r="L18">
        <v>61.8</v>
      </c>
      <c r="M18">
        <v>61</v>
      </c>
      <c r="N18">
        <v>57.2</v>
      </c>
      <c r="O18">
        <v>59</v>
      </c>
      <c r="Q18" s="91">
        <f t="shared" ref="Q18:Q21" si="9">K18/J18-1</f>
        <v>-0.13674033149171283</v>
      </c>
      <c r="R18" s="91">
        <f t="shared" ref="R18:R21" si="10">L18/K18-1</f>
        <v>-1.1200000000000099E-2</v>
      </c>
      <c r="S18" s="91">
        <f t="shared" ref="S18:S21" si="11">M18/L18-1</f>
        <v>-1.2944983818770184E-2</v>
      </c>
      <c r="T18" s="92">
        <f t="shared" ref="T18:T21" si="12">(N18/M18)^(1/5)-1</f>
        <v>-1.2781605653351513E-2</v>
      </c>
      <c r="U18" s="92">
        <f t="shared" ref="U18:U21" si="13">(O18/N18)^(1/5)-1</f>
        <v>6.2159484254826758E-3</v>
      </c>
    </row>
    <row r="19" spans="1:21">
      <c r="A19" t="s">
        <v>323</v>
      </c>
      <c r="B19" t="s">
        <v>354</v>
      </c>
      <c r="C19">
        <v>7</v>
      </c>
      <c r="D19">
        <v>4.9000000000000004</v>
      </c>
      <c r="E19">
        <v>5.9</v>
      </c>
      <c r="F19">
        <v>7.5</v>
      </c>
      <c r="G19">
        <v>4.8</v>
      </c>
      <c r="H19">
        <v>3.3</v>
      </c>
      <c r="I19">
        <v>14.5</v>
      </c>
      <c r="J19">
        <v>12.3</v>
      </c>
      <c r="K19">
        <v>8.8000000000000007</v>
      </c>
      <c r="L19">
        <v>8.4</v>
      </c>
      <c r="M19">
        <v>8.1</v>
      </c>
      <c r="N19">
        <v>6.3</v>
      </c>
      <c r="O19">
        <v>5.5</v>
      </c>
      <c r="Q19" s="91">
        <f t="shared" si="9"/>
        <v>-0.28455284552845528</v>
      </c>
      <c r="R19" s="91">
        <f t="shared" si="10"/>
        <v>-4.5454545454545525E-2</v>
      </c>
      <c r="S19" s="91">
        <f t="shared" si="11"/>
        <v>-3.5714285714285809E-2</v>
      </c>
      <c r="T19" s="92">
        <f t="shared" si="12"/>
        <v>-4.9020607204410371E-2</v>
      </c>
      <c r="U19" s="92">
        <f t="shared" si="13"/>
        <v>-2.6794783788801513E-2</v>
      </c>
    </row>
    <row r="20" spans="1:21">
      <c r="A20" t="s">
        <v>322</v>
      </c>
      <c r="B20" t="s">
        <v>354</v>
      </c>
      <c r="C20">
        <v>2.7</v>
      </c>
      <c r="D20">
        <v>2.7</v>
      </c>
      <c r="E20">
        <v>3</v>
      </c>
      <c r="F20">
        <v>3.1</v>
      </c>
      <c r="G20">
        <v>2.6</v>
      </c>
      <c r="H20">
        <v>2</v>
      </c>
      <c r="I20">
        <v>4.0999999999999996</v>
      </c>
      <c r="J20">
        <v>3.9</v>
      </c>
      <c r="K20">
        <v>3.7</v>
      </c>
      <c r="L20">
        <v>3.7</v>
      </c>
      <c r="M20">
        <v>3.6</v>
      </c>
      <c r="N20">
        <v>3.3</v>
      </c>
      <c r="O20">
        <v>3.4</v>
      </c>
      <c r="Q20" s="91">
        <f t="shared" si="9"/>
        <v>-5.1282051282051211E-2</v>
      </c>
      <c r="R20" s="91">
        <f t="shared" si="10"/>
        <v>0</v>
      </c>
      <c r="S20" s="91">
        <f t="shared" si="11"/>
        <v>-2.7027027027027084E-2</v>
      </c>
      <c r="T20" s="96">
        <f t="shared" si="12"/>
        <v>-1.7251730343853966E-2</v>
      </c>
      <c r="U20" s="96">
        <f t="shared" si="13"/>
        <v>5.9884521443824834E-3</v>
      </c>
    </row>
    <row r="21" spans="1:21">
      <c r="A21" t="s">
        <v>324</v>
      </c>
      <c r="B21" t="s">
        <v>354</v>
      </c>
      <c r="C21">
        <v>11.2</v>
      </c>
      <c r="D21">
        <v>7.8</v>
      </c>
      <c r="E21">
        <v>8.8000000000000007</v>
      </c>
      <c r="F21">
        <v>10.5</v>
      </c>
      <c r="G21">
        <v>10.6</v>
      </c>
      <c r="H21">
        <v>8.4</v>
      </c>
      <c r="I21">
        <v>11.8</v>
      </c>
      <c r="J21">
        <v>11.1</v>
      </c>
      <c r="K21">
        <v>9.6</v>
      </c>
      <c r="L21">
        <v>9.1999999999999993</v>
      </c>
      <c r="M21">
        <v>8.8000000000000007</v>
      </c>
      <c r="N21">
        <v>7.1</v>
      </c>
      <c r="O21">
        <v>6.3</v>
      </c>
      <c r="Q21" s="91">
        <f t="shared" si="9"/>
        <v>-0.13513513513513509</v>
      </c>
      <c r="R21" s="91">
        <f t="shared" si="10"/>
        <v>-4.1666666666666741E-2</v>
      </c>
      <c r="S21" s="91">
        <f t="shared" si="11"/>
        <v>-4.3478260869565077E-2</v>
      </c>
      <c r="T21" s="92">
        <f t="shared" si="12"/>
        <v>-4.2022882970807585E-2</v>
      </c>
      <c r="U21" s="92">
        <f t="shared" si="13"/>
        <v>-2.3625473618191561E-2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45C8-D251-4D59-BCCA-62BA08A76369}">
  <dimension ref="A1:P18"/>
  <sheetViews>
    <sheetView zoomScale="85" zoomScaleNormal="85" workbookViewId="0">
      <selection activeCell="A6" sqref="A5:A6"/>
    </sheetView>
  </sheetViews>
  <sheetFormatPr defaultRowHeight="15"/>
  <cols>
    <col min="1" max="1" width="11.140625" customWidth="1"/>
    <col min="2" max="6" width="9.85546875" bestFit="1" customWidth="1"/>
    <col min="7" max="7" width="11.7109375" bestFit="1" customWidth="1"/>
    <col min="8" max="9" width="11.42578125" bestFit="1" customWidth="1"/>
    <col min="10" max="10" width="15.42578125" bestFit="1" customWidth="1"/>
    <col min="11" max="11" width="15.5703125" customWidth="1"/>
    <col min="12" max="16" width="15.42578125" customWidth="1"/>
  </cols>
  <sheetData>
    <row r="1" spans="1:16" ht="15.75" thickBot="1">
      <c r="B1" s="67"/>
      <c r="C1" s="68"/>
      <c r="D1" s="68"/>
      <c r="E1" s="68"/>
      <c r="F1" s="69"/>
      <c r="G1" s="68"/>
      <c r="H1" s="68"/>
      <c r="I1" s="68"/>
      <c r="J1" s="70"/>
      <c r="K1" s="71"/>
      <c r="L1" s="72"/>
      <c r="M1" s="73" t="s">
        <v>330</v>
      </c>
      <c r="N1" s="73"/>
      <c r="O1" s="72"/>
      <c r="P1" s="74"/>
    </row>
    <row r="2" spans="1:16">
      <c r="A2" s="75"/>
      <c r="B2" s="76">
        <v>2012</v>
      </c>
      <c r="C2" s="76">
        <v>2018</v>
      </c>
      <c r="D2" s="76">
        <v>2021</v>
      </c>
      <c r="E2" s="76">
        <v>2022</v>
      </c>
      <c r="F2" s="76" t="s">
        <v>331</v>
      </c>
      <c r="G2" s="76" t="s">
        <v>332</v>
      </c>
      <c r="H2" s="76" t="s">
        <v>333</v>
      </c>
      <c r="I2" s="76" t="s">
        <v>334</v>
      </c>
      <c r="J2" s="76" t="s">
        <v>335</v>
      </c>
      <c r="K2" s="76" t="s">
        <v>336</v>
      </c>
      <c r="L2" s="76" t="s">
        <v>337</v>
      </c>
      <c r="M2" s="76" t="s">
        <v>338</v>
      </c>
      <c r="N2" s="76" t="s">
        <v>339</v>
      </c>
      <c r="O2" s="76" t="s">
        <v>340</v>
      </c>
      <c r="P2" s="77" t="s">
        <v>341</v>
      </c>
    </row>
    <row r="3" spans="1:16">
      <c r="A3" s="89" t="s">
        <v>5</v>
      </c>
      <c r="B3" s="79">
        <v>87.21283299864794</v>
      </c>
      <c r="C3" s="79">
        <v>142.54432077975557</v>
      </c>
      <c r="D3" s="79">
        <v>169.51381520825262</v>
      </c>
      <c r="E3" s="79">
        <v>182.23</v>
      </c>
      <c r="F3" s="79">
        <v>222.05247611564747</v>
      </c>
      <c r="G3" s="79">
        <v>313.00770847837998</v>
      </c>
      <c r="H3" s="79">
        <v>449.31079652273468</v>
      </c>
      <c r="I3" s="79">
        <v>660.10856178037261</v>
      </c>
      <c r="J3" s="79">
        <v>969.35487946740966</v>
      </c>
      <c r="K3" s="80">
        <f>(E3/B3)^(1/10)-1</f>
        <v>7.6474999629825735E-2</v>
      </c>
      <c r="L3" s="80">
        <f>(F3/E3)^(1/3)-1</f>
        <v>6.8100000000000049E-2</v>
      </c>
      <c r="M3" s="80">
        <f>(G3/F3)^(1/5)-1</f>
        <v>7.1074999999999999E-2</v>
      </c>
      <c r="N3" s="80">
        <f>(H3/G3)^(1/5)-1</f>
        <v>7.4975000000000014E-2</v>
      </c>
      <c r="O3" s="80">
        <f>(I3/H3)^(1/5)-1</f>
        <v>7.9974999999999907E-2</v>
      </c>
      <c r="P3" s="81">
        <f>(J3/I3)^(1/5)-1</f>
        <v>7.9874999999999918E-2</v>
      </c>
    </row>
    <row r="4" spans="1:16">
      <c r="A4" s="89" t="s">
        <v>342</v>
      </c>
      <c r="B4" s="79">
        <v>466.669979813971</v>
      </c>
      <c r="C4" s="79">
        <v>572.21</v>
      </c>
      <c r="D4" s="79">
        <v>630.3220500245759</v>
      </c>
      <c r="E4" s="79">
        <v>669.45895857236906</v>
      </c>
      <c r="F4" s="79">
        <v>805.94223533610318</v>
      </c>
      <c r="G4" s="79">
        <v>1124.5772689728278</v>
      </c>
      <c r="H4" s="79">
        <v>1597.2787135955682</v>
      </c>
      <c r="I4" s="79">
        <v>2322.0422539607803</v>
      </c>
      <c r="J4" s="79">
        <v>3403.9514065090857</v>
      </c>
      <c r="K4" s="80">
        <f t="shared" ref="K4:K14" si="0">(E4/B4)^(1/10)-1</f>
        <v>3.6743710439146371E-2</v>
      </c>
      <c r="L4" s="80">
        <f t="shared" ref="L4:L14" si="1">(F4/E4)^(1/3)-1</f>
        <v>6.3800000000000079E-2</v>
      </c>
      <c r="M4" s="80">
        <f t="shared" ref="M4:P14" si="2">(G4/F4)^(1/5)-1</f>
        <v>6.8899999999999961E-2</v>
      </c>
      <c r="N4" s="80">
        <f t="shared" si="2"/>
        <v>7.2699999999999987E-2</v>
      </c>
      <c r="O4" s="80">
        <f t="shared" si="2"/>
        <v>7.7700000000000102E-2</v>
      </c>
      <c r="P4" s="81">
        <f t="shared" si="2"/>
        <v>7.9499999999999904E-2</v>
      </c>
    </row>
    <row r="5" spans="1:16">
      <c r="A5" s="89" t="s">
        <v>6</v>
      </c>
      <c r="B5" s="79">
        <v>594.23548335650901</v>
      </c>
      <c r="C5" s="79">
        <v>661.27079077731401</v>
      </c>
      <c r="D5" s="79">
        <v>804.9228259074614</v>
      </c>
      <c r="E5" s="79">
        <v>826.0934094401407</v>
      </c>
      <c r="F5" s="79">
        <v>993.75415112930193</v>
      </c>
      <c r="G5" s="79">
        <v>1378.6931642688398</v>
      </c>
      <c r="H5" s="79">
        <v>1953.5531093925292</v>
      </c>
      <c r="I5" s="79">
        <v>2841.7758093574107</v>
      </c>
      <c r="J5" s="79">
        <v>4047.9357445128594</v>
      </c>
      <c r="K5" s="80">
        <f t="shared" si="0"/>
        <v>3.3491853446661723E-2</v>
      </c>
      <c r="L5" s="80">
        <f t="shared" si="1"/>
        <v>6.3530459999999955E-2</v>
      </c>
      <c r="M5" s="80">
        <f t="shared" si="2"/>
        <v>6.7671704799999954E-2</v>
      </c>
      <c r="N5" s="80">
        <f t="shared" si="2"/>
        <v>7.2189426400000034E-2</v>
      </c>
      <c r="O5" s="80">
        <f t="shared" si="2"/>
        <v>7.7836578399999912E-2</v>
      </c>
      <c r="P5" s="81">
        <f t="shared" si="2"/>
        <v>7.3318856800000054E-2</v>
      </c>
    </row>
    <row r="6" spans="1:16">
      <c r="A6" s="89" t="s">
        <v>8</v>
      </c>
      <c r="B6" s="79">
        <v>457.19</v>
      </c>
      <c r="C6" s="79">
        <v>618.83000000000004</v>
      </c>
      <c r="D6" s="79">
        <v>773.41707314638415</v>
      </c>
      <c r="E6" s="79">
        <v>828.52417294072154</v>
      </c>
      <c r="F6" s="79">
        <v>1015.2623381859549</v>
      </c>
      <c r="G6" s="79">
        <v>1415.3287313787598</v>
      </c>
      <c r="H6" s="79">
        <v>2004.6280503647322</v>
      </c>
      <c r="I6" s="79">
        <v>2918.2843579051773</v>
      </c>
      <c r="J6" s="79">
        <v>4355.8384436640345</v>
      </c>
      <c r="K6" s="80">
        <f t="shared" si="0"/>
        <v>6.1257680012312798E-2</v>
      </c>
      <c r="L6" s="80">
        <f t="shared" si="1"/>
        <v>7.0100000000000051E-2</v>
      </c>
      <c r="M6" s="80">
        <f t="shared" si="2"/>
        <v>6.8699999999999983E-2</v>
      </c>
      <c r="N6" s="80">
        <f t="shared" si="2"/>
        <v>7.2100000000000053E-2</v>
      </c>
      <c r="O6" s="80">
        <f t="shared" si="2"/>
        <v>7.8000000000000069E-2</v>
      </c>
      <c r="P6" s="81">
        <f t="shared" si="2"/>
        <v>8.3399999999999919E-2</v>
      </c>
    </row>
    <row r="7" spans="1:16">
      <c r="A7" s="89" t="s">
        <v>10</v>
      </c>
      <c r="B7" s="79">
        <v>90.040485606957901</v>
      </c>
      <c r="C7" s="79">
        <v>144.44417404314001</v>
      </c>
      <c r="D7" s="79">
        <v>178.68680217098932</v>
      </c>
      <c r="E7" s="79">
        <v>184.63805841080935</v>
      </c>
      <c r="F7" s="79">
        <v>242.45227766695925</v>
      </c>
      <c r="G7" s="79">
        <v>333.39065696303766</v>
      </c>
      <c r="H7" s="79">
        <v>474.70374316207364</v>
      </c>
      <c r="I7" s="79">
        <v>559.62869912943017</v>
      </c>
      <c r="J7" s="79">
        <v>776.79221429763402</v>
      </c>
      <c r="K7" s="80">
        <f t="shared" si="0"/>
        <v>7.4455268148804654E-2</v>
      </c>
      <c r="L7" s="80">
        <f t="shared" si="1"/>
        <v>9.5052685496942457E-2</v>
      </c>
      <c r="M7" s="80">
        <f t="shared" si="2"/>
        <v>6.5774760903561269E-2</v>
      </c>
      <c r="N7" s="80">
        <f t="shared" si="2"/>
        <v>7.3232575673782163E-2</v>
      </c>
      <c r="O7" s="80">
        <f t="shared" si="2"/>
        <v>3.3464265289931294E-2</v>
      </c>
      <c r="P7" s="81">
        <f t="shared" si="2"/>
        <v>6.7778021093233942E-2</v>
      </c>
    </row>
    <row r="8" spans="1:16">
      <c r="A8" s="89" t="s">
        <v>11</v>
      </c>
      <c r="B8" s="79">
        <v>30.592731273383052</v>
      </c>
      <c r="C8" s="79">
        <v>37.21</v>
      </c>
      <c r="D8" s="79">
        <v>44.34</v>
      </c>
      <c r="E8" s="79">
        <v>47.31</v>
      </c>
      <c r="F8" s="79">
        <v>60.690000000000005</v>
      </c>
      <c r="G8" s="79">
        <v>85.52</v>
      </c>
      <c r="H8" s="79">
        <v>120.76000000000005</v>
      </c>
      <c r="I8" s="79">
        <v>185.75410976673749</v>
      </c>
      <c r="J8" s="79">
        <v>295.44419542665321</v>
      </c>
      <c r="K8" s="80">
        <f t="shared" si="0"/>
        <v>4.45601888367122E-2</v>
      </c>
      <c r="L8" s="80">
        <f t="shared" si="1"/>
        <v>8.6562543659739699E-2</v>
      </c>
      <c r="M8" s="80">
        <f t="shared" si="2"/>
        <v>7.1001578556838529E-2</v>
      </c>
      <c r="N8" s="80">
        <f t="shared" si="2"/>
        <v>7.1447960322665427E-2</v>
      </c>
      <c r="O8" s="80">
        <f t="shared" si="2"/>
        <v>8.9941190106298974E-2</v>
      </c>
      <c r="P8" s="81">
        <f t="shared" si="2"/>
        <v>9.7254589697874483E-2</v>
      </c>
    </row>
    <row r="9" spans="1:16">
      <c r="A9" s="89" t="s">
        <v>343</v>
      </c>
      <c r="B9" s="79">
        <v>431.9634735411417</v>
      </c>
      <c r="C9" s="79">
        <v>425.15694267276115</v>
      </c>
      <c r="D9" s="79">
        <v>517.52518035662217</v>
      </c>
      <c r="E9" s="79">
        <v>546.00579617953895</v>
      </c>
      <c r="F9" s="79">
        <v>674.6403593298063</v>
      </c>
      <c r="G9" s="79">
        <v>1062.3038074584426</v>
      </c>
      <c r="H9" s="79">
        <v>1694.1887377488383</v>
      </c>
      <c r="I9" s="79">
        <v>2326.7062320763744</v>
      </c>
      <c r="J9" s="79">
        <v>3108.6987977084391</v>
      </c>
      <c r="K9" s="80">
        <f t="shared" si="0"/>
        <v>2.3705467523088553E-2</v>
      </c>
      <c r="L9" s="80">
        <f t="shared" si="1"/>
        <v>7.3062509629978845E-2</v>
      </c>
      <c r="M9" s="80">
        <f t="shared" si="2"/>
        <v>9.5053364529112727E-2</v>
      </c>
      <c r="N9" s="80">
        <f t="shared" si="2"/>
        <v>9.7848999602506925E-2</v>
      </c>
      <c r="O9" s="80">
        <f t="shared" si="2"/>
        <v>6.5506129819858705E-2</v>
      </c>
      <c r="P9" s="81">
        <f t="shared" si="2"/>
        <v>5.966214108706569E-2</v>
      </c>
    </row>
    <row r="10" spans="1:16">
      <c r="A10" s="78" t="s">
        <v>14</v>
      </c>
      <c r="B10" s="79">
        <v>22.448000000000008</v>
      </c>
      <c r="C10" s="79">
        <v>35.377477419701222</v>
      </c>
      <c r="D10" s="79">
        <v>40.717258587835772</v>
      </c>
      <c r="E10" s="79">
        <v>83.838336541383924</v>
      </c>
      <c r="F10" s="79">
        <v>105.49822184727806</v>
      </c>
      <c r="G10" s="79">
        <v>160.72103819717998</v>
      </c>
      <c r="H10" s="79">
        <v>225.1508088306669</v>
      </c>
      <c r="I10" s="79">
        <v>316.89043397575915</v>
      </c>
      <c r="J10" s="79">
        <v>446.68292058319173</v>
      </c>
      <c r="K10" s="80">
        <f t="shared" si="0"/>
        <v>0.14084462319237878</v>
      </c>
      <c r="L10" s="80">
        <f t="shared" si="1"/>
        <v>7.9611484218191864E-2</v>
      </c>
      <c r="M10" s="80">
        <f t="shared" si="2"/>
        <v>8.7841237510893677E-2</v>
      </c>
      <c r="N10" s="80">
        <f t="shared" si="2"/>
        <v>6.9744732013157895E-2</v>
      </c>
      <c r="O10" s="80">
        <f t="shared" si="2"/>
        <v>7.0747634345446286E-2</v>
      </c>
      <c r="P10" s="81">
        <f t="shared" si="2"/>
        <v>7.107046462158495E-2</v>
      </c>
    </row>
    <row r="11" spans="1:16">
      <c r="A11" s="78" t="s">
        <v>16</v>
      </c>
      <c r="B11" s="79">
        <v>1272</v>
      </c>
      <c r="C11" s="79">
        <v>1543.88</v>
      </c>
      <c r="D11" s="79">
        <v>1743.27</v>
      </c>
      <c r="E11" s="79">
        <v>1891.16</v>
      </c>
      <c r="F11" s="79">
        <v>2386.91262550592</v>
      </c>
      <c r="G11" s="79">
        <v>3370.4189909248585</v>
      </c>
      <c r="H11" s="79">
        <v>4793.1271681037715</v>
      </c>
      <c r="I11" s="79">
        <v>6812.8992646873912</v>
      </c>
      <c r="J11" s="79">
        <v>10080.094100708709</v>
      </c>
      <c r="K11" s="80">
        <f t="shared" si="0"/>
        <v>4.0456951657688478E-2</v>
      </c>
      <c r="L11" s="80">
        <f t="shared" si="1"/>
        <v>8.069402265743908E-2</v>
      </c>
      <c r="M11" s="80">
        <f t="shared" si="2"/>
        <v>7.1443992927769262E-2</v>
      </c>
      <c r="N11" s="80">
        <f t="shared" si="2"/>
        <v>7.2968597471324559E-2</v>
      </c>
      <c r="O11" s="80">
        <f t="shared" si="2"/>
        <v>7.2858887422085239E-2</v>
      </c>
      <c r="P11" s="81">
        <f t="shared" si="2"/>
        <v>8.1499999999999906E-2</v>
      </c>
    </row>
    <row r="12" spans="1:16">
      <c r="A12" s="78" t="s">
        <v>17</v>
      </c>
      <c r="B12" s="79">
        <v>80.619071795833591</v>
      </c>
      <c r="C12" s="79">
        <v>91.583759125235957</v>
      </c>
      <c r="D12" s="79">
        <v>102.40791748292663</v>
      </c>
      <c r="E12" s="79">
        <v>104.0394245691397</v>
      </c>
      <c r="F12" s="79">
        <v>133.55736370037218</v>
      </c>
      <c r="G12" s="79">
        <v>168.73416459491926</v>
      </c>
      <c r="H12" s="79">
        <v>250.64884495921632</v>
      </c>
      <c r="I12" s="79">
        <v>336.89935823120135</v>
      </c>
      <c r="J12" s="79">
        <v>544.04591760593041</v>
      </c>
      <c r="K12" s="80">
        <f t="shared" si="0"/>
        <v>2.5831462350534684E-2</v>
      </c>
      <c r="L12" s="80">
        <f t="shared" si="1"/>
        <v>8.681752326093628E-2</v>
      </c>
      <c r="M12" s="80">
        <f t="shared" si="2"/>
        <v>4.786910883046902E-2</v>
      </c>
      <c r="N12" s="80">
        <f t="shared" si="2"/>
        <v>8.2361999818276077E-2</v>
      </c>
      <c r="O12" s="80">
        <f t="shared" si="2"/>
        <v>6.0930403188952376E-2</v>
      </c>
      <c r="P12" s="81">
        <f t="shared" si="2"/>
        <v>0.10059383158420143</v>
      </c>
    </row>
    <row r="13" spans="1:16">
      <c r="A13" s="78" t="s">
        <v>344</v>
      </c>
      <c r="B13" s="79">
        <v>26739.25</v>
      </c>
      <c r="C13" s="79">
        <v>44628.65</v>
      </c>
      <c r="D13" s="79">
        <v>60587.98</v>
      </c>
      <c r="E13" s="79">
        <v>61075.71</v>
      </c>
      <c r="F13" s="79">
        <v>71859.264079147149</v>
      </c>
      <c r="G13" s="79">
        <v>85867.974560561823</v>
      </c>
      <c r="H13" s="79">
        <v>100411.78038742238</v>
      </c>
      <c r="I13" s="79">
        <v>119620.51836444066</v>
      </c>
      <c r="J13" s="79">
        <v>137442.0918332352</v>
      </c>
      <c r="K13" s="80">
        <f t="shared" si="0"/>
        <v>8.6105293194753463E-2</v>
      </c>
      <c r="L13" s="80">
        <f t="shared" si="1"/>
        <v>5.5694065726013875E-2</v>
      </c>
      <c r="M13" s="80">
        <f t="shared" si="2"/>
        <v>3.6262281541141972E-2</v>
      </c>
      <c r="N13" s="80">
        <f t="shared" si="2"/>
        <v>3.1788515849021648E-2</v>
      </c>
      <c r="O13" s="80">
        <f t="shared" si="2"/>
        <v>3.5628998375480947E-2</v>
      </c>
      <c r="P13" s="81">
        <f t="shared" si="2"/>
        <v>2.8164998583527279E-2</v>
      </c>
    </row>
    <row r="14" spans="1:16" ht="15.75" thickBot="1">
      <c r="A14" s="82" t="s">
        <v>345</v>
      </c>
      <c r="B14" s="83">
        <v>767.34</v>
      </c>
      <c r="C14" s="83">
        <v>956.31</v>
      </c>
      <c r="D14" s="83">
        <v>1237.44</v>
      </c>
      <c r="E14" s="83">
        <v>1871.82</v>
      </c>
      <c r="F14" s="83">
        <v>2299.0566208545488</v>
      </c>
      <c r="G14" s="83">
        <v>3273.6883461719844</v>
      </c>
      <c r="H14" s="83">
        <v>4769.3965455564576</v>
      </c>
      <c r="I14" s="83">
        <v>7211.565699974959</v>
      </c>
      <c r="J14" s="83">
        <v>11151.989280942031</v>
      </c>
      <c r="K14" s="84">
        <f t="shared" si="0"/>
        <v>9.327048734560206E-2</v>
      </c>
      <c r="L14" s="84">
        <f t="shared" si="1"/>
        <v>7.0931915111949406E-2</v>
      </c>
      <c r="M14" s="84">
        <f t="shared" si="2"/>
        <v>7.3241686491030134E-2</v>
      </c>
      <c r="N14" s="84">
        <f t="shared" si="2"/>
        <v>7.8164976854059987E-2</v>
      </c>
      <c r="O14" s="84">
        <f t="shared" si="2"/>
        <v>8.6208573371415964E-2</v>
      </c>
      <c r="P14" s="85">
        <f t="shared" si="2"/>
        <v>9.1099999999999959E-2</v>
      </c>
    </row>
    <row r="16" spans="1:16">
      <c r="F16" s="86"/>
      <c r="G16" s="86"/>
      <c r="H16" s="86"/>
      <c r="I16" s="86"/>
      <c r="J16" s="86"/>
    </row>
    <row r="17" spans="6:10">
      <c r="F17" s="87"/>
      <c r="G17" s="87"/>
      <c r="H17" s="87"/>
      <c r="I17" s="87"/>
      <c r="J17" s="87"/>
    </row>
    <row r="18" spans="6:10">
      <c r="F18" s="88"/>
      <c r="G18" s="88"/>
      <c r="H18" s="88"/>
      <c r="I18" s="88"/>
      <c r="J18" s="8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19E-CDAC-49D1-BA64-C7D5019F0A25}">
  <dimension ref="A1:E28"/>
  <sheetViews>
    <sheetView showGridLines="0" workbookViewId="0">
      <selection activeCell="F27" sqref="F27"/>
    </sheetView>
  </sheetViews>
  <sheetFormatPr defaultRowHeight="15"/>
  <cols>
    <col min="1" max="1" width="15.28515625" customWidth="1"/>
    <col min="2" max="2" width="18.5703125" customWidth="1"/>
    <col min="3" max="3" width="20.7109375" customWidth="1"/>
    <col min="4" max="5" width="18.5703125" customWidth="1"/>
    <col min="6" max="6" width="12" bestFit="1" customWidth="1"/>
  </cols>
  <sheetData>
    <row r="1" spans="1:5">
      <c r="A1" s="8" t="s">
        <v>35</v>
      </c>
      <c r="B1" s="8" t="s">
        <v>37</v>
      </c>
      <c r="C1" s="8" t="s">
        <v>38</v>
      </c>
      <c r="D1" s="8" t="s">
        <v>39</v>
      </c>
      <c r="E1" s="8" t="s">
        <v>40</v>
      </c>
    </row>
    <row r="2" spans="1:5" hidden="1">
      <c r="A2" s="11">
        <v>2001</v>
      </c>
      <c r="B2" s="13">
        <v>200</v>
      </c>
      <c r="C2" s="12">
        <v>170.87325000000001</v>
      </c>
      <c r="D2" s="11" t="s">
        <v>36</v>
      </c>
      <c r="E2" s="11" t="s">
        <v>36</v>
      </c>
    </row>
    <row r="3" spans="1:5" hidden="1">
      <c r="A3" s="11">
        <v>2002</v>
      </c>
      <c r="B3" s="13">
        <v>202</v>
      </c>
      <c r="C3" s="12">
        <v>174.89216666666701</v>
      </c>
      <c r="D3" s="11">
        <v>176.5</v>
      </c>
      <c r="E3" s="11" t="s">
        <v>36</v>
      </c>
    </row>
    <row r="4" spans="1:5" hidden="1">
      <c r="A4" s="11">
        <v>2003</v>
      </c>
      <c r="B4" s="14">
        <v>251.5</v>
      </c>
      <c r="C4" s="14">
        <v>249.31141666666699</v>
      </c>
      <c r="D4" s="11">
        <v>224.25</v>
      </c>
      <c r="E4" s="11" t="s">
        <v>36</v>
      </c>
    </row>
    <row r="5" spans="1:5" hidden="1">
      <c r="A5" s="11">
        <v>2004</v>
      </c>
      <c r="B5" s="14">
        <v>263.5</v>
      </c>
      <c r="C5" s="14">
        <v>270.79183333333339</v>
      </c>
      <c r="D5" s="11">
        <v>215</v>
      </c>
      <c r="E5" s="11" t="s">
        <v>36</v>
      </c>
    </row>
    <row r="6" spans="1:5" hidden="1">
      <c r="A6" s="11">
        <v>2005</v>
      </c>
      <c r="B6" s="14">
        <v>288.75</v>
      </c>
      <c r="C6" s="14">
        <v>314.30700000000002</v>
      </c>
      <c r="D6" s="11">
        <v>228.75</v>
      </c>
      <c r="E6" s="11" t="s">
        <v>36</v>
      </c>
    </row>
    <row r="7" spans="1:5" hidden="1">
      <c r="A7" s="11">
        <v>2006</v>
      </c>
      <c r="B7" s="14">
        <v>382.08333333333331</v>
      </c>
      <c r="C7" s="14">
        <v>417.13583333333332</v>
      </c>
      <c r="D7" s="11">
        <v>300.75</v>
      </c>
      <c r="E7" s="11" t="s">
        <v>36</v>
      </c>
    </row>
    <row r="8" spans="1:5" hidden="1">
      <c r="A8" s="11">
        <v>2007</v>
      </c>
      <c r="B8" s="14">
        <v>432.5</v>
      </c>
      <c r="C8" s="14">
        <v>472.56916666666666</v>
      </c>
      <c r="D8" s="11">
        <v>320</v>
      </c>
      <c r="E8" s="11" t="s">
        <v>36</v>
      </c>
    </row>
    <row r="9" spans="1:5" hidden="1">
      <c r="A9" s="11">
        <v>2008</v>
      </c>
      <c r="B9" s="14">
        <v>488.75</v>
      </c>
      <c r="C9" s="14">
        <v>549.58000000000004</v>
      </c>
      <c r="D9" s="11">
        <v>352.5</v>
      </c>
      <c r="E9" s="11" t="s">
        <v>36</v>
      </c>
    </row>
    <row r="10" spans="1:5" hidden="1">
      <c r="A10" s="11">
        <v>2009</v>
      </c>
      <c r="B10" s="14">
        <v>252.5</v>
      </c>
      <c r="C10" s="14">
        <v>253.41666666666666</v>
      </c>
      <c r="D10" s="11">
        <v>171.875</v>
      </c>
      <c r="E10" s="11" t="s">
        <v>36</v>
      </c>
    </row>
    <row r="11" spans="1:5" hidden="1">
      <c r="A11" s="11">
        <v>2010</v>
      </c>
      <c r="B11" s="14">
        <v>352.08333333333331</v>
      </c>
      <c r="C11" s="14">
        <v>371.91666666666669</v>
      </c>
      <c r="D11" s="11">
        <v>254.25</v>
      </c>
      <c r="E11" s="11" t="s">
        <v>36</v>
      </c>
    </row>
    <row r="12" spans="1:5" hidden="1">
      <c r="A12" s="11">
        <v>2011</v>
      </c>
      <c r="B12" s="14">
        <v>440</v>
      </c>
      <c r="C12" s="14">
        <v>441.66666666666669</v>
      </c>
      <c r="D12" s="11">
        <v>311.25</v>
      </c>
      <c r="E12" s="11" t="s">
        <v>36</v>
      </c>
    </row>
    <row r="13" spans="1:5">
      <c r="A13" s="16">
        <v>2012</v>
      </c>
      <c r="B13" s="17">
        <v>441.66666666666669</v>
      </c>
      <c r="C13" s="17">
        <v>451.83333333333331</v>
      </c>
      <c r="D13" s="36">
        <v>335</v>
      </c>
      <c r="E13" s="20">
        <v>325</v>
      </c>
    </row>
    <row r="14" spans="1:5">
      <c r="A14" s="11">
        <v>2013</v>
      </c>
      <c r="B14" s="14">
        <v>466.66666666666669</v>
      </c>
      <c r="C14" s="14">
        <v>536.33333333333337</v>
      </c>
      <c r="D14" s="37">
        <v>389.5</v>
      </c>
      <c r="E14" s="13">
        <v>349</v>
      </c>
    </row>
    <row r="15" spans="1:5">
      <c r="A15" s="11">
        <v>2014</v>
      </c>
      <c r="B15" s="15">
        <v>472.08333333333331</v>
      </c>
      <c r="C15" s="15">
        <v>541.16666666666663</v>
      </c>
      <c r="D15" s="38">
        <v>384.5</v>
      </c>
      <c r="E15" s="13">
        <v>353</v>
      </c>
    </row>
    <row r="16" spans="1:5">
      <c r="A16" s="11">
        <v>2015</v>
      </c>
      <c r="B16" s="14">
        <v>342.5</v>
      </c>
      <c r="C16" s="14">
        <v>405.75</v>
      </c>
      <c r="D16" s="37">
        <v>342.25</v>
      </c>
      <c r="E16" s="13">
        <v>220</v>
      </c>
    </row>
    <row r="17" spans="1:5">
      <c r="A17" s="11">
        <v>2016</v>
      </c>
      <c r="B17" s="14">
        <v>280</v>
      </c>
      <c r="C17" s="14">
        <v>278.91666666666669</v>
      </c>
      <c r="D17" s="37">
        <v>247.5</v>
      </c>
      <c r="E17" s="13">
        <v>154</v>
      </c>
    </row>
    <row r="18" spans="1:5">
      <c r="A18" s="11">
        <v>2017</v>
      </c>
      <c r="B18" s="14">
        <v>387.5</v>
      </c>
      <c r="C18" s="14">
        <v>408.33333333333331</v>
      </c>
      <c r="D18" s="37">
        <v>367.5</v>
      </c>
      <c r="E18" s="13">
        <v>260</v>
      </c>
    </row>
    <row r="19" spans="1:5">
      <c r="A19" s="11">
        <v>2018</v>
      </c>
      <c r="B19" s="14">
        <v>475.41666666666669</v>
      </c>
      <c r="C19" s="14">
        <v>493.25</v>
      </c>
      <c r="D19" s="37">
        <v>401.75</v>
      </c>
      <c r="E19" s="13">
        <v>340</v>
      </c>
    </row>
    <row r="20" spans="1:5">
      <c r="A20" s="11">
        <v>2019</v>
      </c>
      <c r="B20" s="14">
        <v>328.75</v>
      </c>
      <c r="C20" s="14">
        <v>390.41666666666669</v>
      </c>
      <c r="D20" s="37">
        <v>328.75</v>
      </c>
      <c r="E20" s="13">
        <v>235</v>
      </c>
    </row>
    <row r="21" spans="1:5">
      <c r="A21" s="11">
        <v>2020</v>
      </c>
      <c r="B21" s="14">
        <v>275</v>
      </c>
      <c r="C21" s="14">
        <v>337.25</v>
      </c>
      <c r="D21" s="37">
        <v>261.25</v>
      </c>
      <c r="E21" s="13">
        <v>180</v>
      </c>
    </row>
    <row r="22" spans="1:5">
      <c r="A22" s="11">
        <v>2021</v>
      </c>
      <c r="B22" s="14">
        <v>457.08333333333331</v>
      </c>
      <c r="C22" s="14">
        <v>557.33333333333337</v>
      </c>
      <c r="D22" s="37">
        <v>425</v>
      </c>
      <c r="E22" s="13">
        <v>385</v>
      </c>
    </row>
    <row r="23" spans="1:5">
      <c r="A23" s="11">
        <v>2022</v>
      </c>
      <c r="B23" s="14">
        <v>459.16666666666669</v>
      </c>
      <c r="C23" s="14">
        <v>608.33333333333337</v>
      </c>
      <c r="D23" s="37">
        <v>535</v>
      </c>
      <c r="E23" s="13">
        <v>421.25</v>
      </c>
    </row>
    <row r="24" spans="1:5">
      <c r="A24" s="11">
        <v>2023</v>
      </c>
      <c r="B24" s="14">
        <v>402.5</v>
      </c>
      <c r="C24" s="14">
        <v>570</v>
      </c>
      <c r="D24" s="37">
        <v>483</v>
      </c>
      <c r="E24" s="14">
        <v>374.16666666666703</v>
      </c>
    </row>
    <row r="25" spans="1:5">
      <c r="A25" s="29" t="s">
        <v>45</v>
      </c>
    </row>
    <row r="27" spans="1:5">
      <c r="C27" s="19"/>
      <c r="E27" s="18"/>
    </row>
    <row r="28" spans="1:5">
      <c r="E28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8D3B-462E-421F-9201-EF88D8BEE4E2}">
  <dimension ref="A1:G12"/>
  <sheetViews>
    <sheetView workbookViewId="0">
      <selection activeCell="I13" sqref="I13"/>
    </sheetView>
  </sheetViews>
  <sheetFormatPr defaultRowHeight="15"/>
  <cols>
    <col min="3" max="3" width="23.5703125" bestFit="1" customWidth="1"/>
    <col min="4" max="4" width="19" bestFit="1" customWidth="1"/>
  </cols>
  <sheetData>
    <row r="1" spans="1:7">
      <c r="B1" s="41" t="s">
        <v>23</v>
      </c>
      <c r="C1" t="s">
        <v>67</v>
      </c>
      <c r="D1" t="s">
        <v>68</v>
      </c>
    </row>
    <row r="2" spans="1:7">
      <c r="A2">
        <v>2012</v>
      </c>
      <c r="B2" s="35">
        <v>485.14285714285717</v>
      </c>
      <c r="C2" s="39">
        <v>11.980833333333331</v>
      </c>
      <c r="D2" s="39">
        <v>2.7524999999999999</v>
      </c>
    </row>
    <row r="3" spans="1:7">
      <c r="A3">
        <v>2013</v>
      </c>
      <c r="B3" s="35">
        <v>315.42857142857139</v>
      </c>
      <c r="C3" s="39">
        <f>'ALFRED Graph'!D25</f>
        <v>11.189166666666667</v>
      </c>
      <c r="D3" s="39">
        <f>'ALFRED Graph'!G24</f>
        <v>3.7283333333333335</v>
      </c>
      <c r="E3" s="42">
        <f>(C3-C2)/C2</f>
        <v>-6.6077763093830233E-2</v>
      </c>
      <c r="F3" s="42">
        <f>(D3-D2)/D2</f>
        <v>0.35452618831365434</v>
      </c>
      <c r="G3" s="43">
        <f>AVERAGE(E3:F3)</f>
        <v>0.14422421260991206</v>
      </c>
    </row>
    <row r="4" spans="1:7">
      <c r="A4">
        <v>2014</v>
      </c>
      <c r="B4" s="35">
        <v>290.13698630136986</v>
      </c>
      <c r="C4" s="39">
        <f>'ALFRED Graph'!D37</f>
        <v>10.463333333333335</v>
      </c>
      <c r="D4" s="39">
        <f>'ALFRED Graph'!G36</f>
        <v>4.3916666666666666</v>
      </c>
      <c r="E4" s="42">
        <f t="shared" ref="E4:F12" si="0">(C4-C3)/C3</f>
        <v>-6.4869293215163382E-2</v>
      </c>
      <c r="F4" s="42">
        <f t="shared" si="0"/>
        <v>0.17791685292802853</v>
      </c>
      <c r="G4" s="43">
        <f t="shared" ref="G4:G12" si="1">AVERAGE(E4:F4)</f>
        <v>5.6523779856432574E-2</v>
      </c>
    </row>
    <row r="5" spans="1:7">
      <c r="A5">
        <v>2015</v>
      </c>
      <c r="B5" s="35">
        <v>353.69863013698631</v>
      </c>
      <c r="C5" s="39">
        <f>'ALFRED Graph'!D49</f>
        <v>7.3049999999999997</v>
      </c>
      <c r="D5" s="39">
        <f>'ALFRED Graph'!G48</f>
        <v>2.63</v>
      </c>
      <c r="E5" s="42">
        <f t="shared" si="0"/>
        <v>-0.30184772220452383</v>
      </c>
      <c r="F5" s="42">
        <f t="shared" si="0"/>
        <v>-0.40113851992409871</v>
      </c>
      <c r="G5" s="43">
        <f t="shared" si="1"/>
        <v>-0.3514931210643113</v>
      </c>
    </row>
    <row r="6" spans="1:7">
      <c r="A6">
        <v>2016</v>
      </c>
      <c r="B6" s="35">
        <v>343.73333333333335</v>
      </c>
      <c r="C6" s="39">
        <f>'ALFRED Graph'!D61</f>
        <v>4.3533333333333326</v>
      </c>
      <c r="D6" s="39">
        <f>'ALFRED Graph'!G60</f>
        <v>2.5150000000000001</v>
      </c>
      <c r="E6" s="42">
        <f t="shared" si="0"/>
        <v>-0.40406114533424603</v>
      </c>
      <c r="F6" s="42">
        <f t="shared" si="0"/>
        <v>-4.3726235741444783E-2</v>
      </c>
      <c r="G6" s="43">
        <f t="shared" si="1"/>
        <v>-0.22389369053784541</v>
      </c>
    </row>
    <row r="7" spans="1:7">
      <c r="A7">
        <v>2017</v>
      </c>
      <c r="B7" s="35">
        <v>292.82666666666665</v>
      </c>
      <c r="C7" s="39">
        <f>'ALFRED Graph'!D73</f>
        <v>5.7440513312667676</v>
      </c>
      <c r="D7" s="39">
        <f>'ALFRED Graph'!G72</f>
        <v>2.9858333333333333</v>
      </c>
      <c r="E7" s="42">
        <f t="shared" si="0"/>
        <v>0.31946048957123319</v>
      </c>
      <c r="F7" s="42">
        <f t="shared" si="0"/>
        <v>0.18721007289595754</v>
      </c>
      <c r="G7" s="43">
        <f t="shared" si="1"/>
        <v>0.25333528123359539</v>
      </c>
    </row>
    <row r="8" spans="1:7">
      <c r="A8">
        <v>2018</v>
      </c>
      <c r="B8" s="35">
        <v>246.26666666666665</v>
      </c>
      <c r="C8" s="39">
        <f>'ALFRED Graph'!D85</f>
        <v>7.9160938630772746</v>
      </c>
      <c r="D8" s="39">
        <f>'ALFRED Graph'!G84</f>
        <v>3.1666666666666674</v>
      </c>
      <c r="E8" s="42">
        <f t="shared" si="0"/>
        <v>0.37813773006995299</v>
      </c>
      <c r="F8" s="42">
        <f t="shared" si="0"/>
        <v>6.0563773374267618E-2</v>
      </c>
      <c r="G8" s="43">
        <f t="shared" si="1"/>
        <v>0.2193507517221103</v>
      </c>
    </row>
    <row r="9" spans="1:7">
      <c r="A9">
        <v>2019</v>
      </c>
      <c r="B9" s="35">
        <v>275.37500000000006</v>
      </c>
      <c r="C9" s="39">
        <f>'ALFRED Graph'!D97</f>
        <v>4.4548575006963178</v>
      </c>
      <c r="D9" s="39">
        <f>'ALFRED Graph'!G96</f>
        <v>2.5658333333333334</v>
      </c>
      <c r="E9" s="42">
        <f t="shared" si="0"/>
        <v>-0.43724043982412403</v>
      </c>
      <c r="F9" s="42">
        <f t="shared" si="0"/>
        <v>-0.18973684210526331</v>
      </c>
      <c r="G9" s="43">
        <f t="shared" si="1"/>
        <v>-0.31348864096469364</v>
      </c>
    </row>
    <row r="10" spans="1:7">
      <c r="A10">
        <v>2020</v>
      </c>
      <c r="B10" s="35">
        <v>318.37499999999994</v>
      </c>
      <c r="C10" s="39">
        <f>'ALFRED Graph'!D109</f>
        <v>3.1782298161867373</v>
      </c>
      <c r="D10" s="39">
        <f>'ALFRED Graph'!G108</f>
        <v>2.0349999999999997</v>
      </c>
      <c r="E10" s="42">
        <f t="shared" si="0"/>
        <v>-0.28656981380662272</v>
      </c>
      <c r="F10" s="42">
        <f t="shared" si="0"/>
        <v>-0.20688535238713882</v>
      </c>
      <c r="G10" s="43">
        <f t="shared" si="1"/>
        <v>-0.24672758309688075</v>
      </c>
    </row>
    <row r="11" spans="1:7">
      <c r="A11">
        <v>2021</v>
      </c>
      <c r="B11" s="35">
        <v>351.875</v>
      </c>
      <c r="C11" s="39">
        <f>'ALFRED Graph'!D121</f>
        <v>15.907363385618714</v>
      </c>
      <c r="D11" s="39">
        <f>'ALFRED Graph'!G120</f>
        <v>3.9083333333333328</v>
      </c>
      <c r="E11" s="42">
        <f t="shared" si="0"/>
        <v>4.0051016778593063</v>
      </c>
      <c r="F11" s="42">
        <f t="shared" si="0"/>
        <v>0.92055692055692051</v>
      </c>
      <c r="G11" s="43">
        <f t="shared" si="1"/>
        <v>2.4628292992081136</v>
      </c>
    </row>
    <row r="12" spans="1:7">
      <c r="A12">
        <v>2022</v>
      </c>
      <c r="B12" s="35">
        <v>376.5</v>
      </c>
      <c r="C12" s="39">
        <f>'ALFRED Graph'!D133</f>
        <v>37.519834528539441</v>
      </c>
      <c r="D12" s="39">
        <f>'ALFRED Graph'!G132</f>
        <v>6.4183333333333339</v>
      </c>
      <c r="E12" s="42">
        <f t="shared" si="0"/>
        <v>1.3586457176466968</v>
      </c>
      <c r="F12" s="42">
        <f t="shared" si="0"/>
        <v>0.64221748400852918</v>
      </c>
      <c r="G12" s="43">
        <f t="shared" si="1"/>
        <v>1.0004316008276131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7C38-EB31-4A25-8F0B-624DA96E9206}">
  <dimension ref="A2:C14"/>
  <sheetViews>
    <sheetView workbookViewId="0">
      <selection activeCell="D16" sqref="D16"/>
    </sheetView>
  </sheetViews>
  <sheetFormatPr defaultRowHeight="15"/>
  <sheetData>
    <row r="2" spans="1:3">
      <c r="A2">
        <v>2023</v>
      </c>
      <c r="B2">
        <f>Sheet6!E2</f>
        <v>2.8801999999999999</v>
      </c>
    </row>
    <row r="3" spans="1:3">
      <c r="A3">
        <v>2024</v>
      </c>
      <c r="B3">
        <f>Sheet6!E7</f>
        <v>3.481583333333333</v>
      </c>
      <c r="C3" s="55">
        <f>(B3-B2)/B2</f>
        <v>0.20879915746591668</v>
      </c>
    </row>
    <row r="4" spans="1:3">
      <c r="A4">
        <v>2025</v>
      </c>
      <c r="B4">
        <f>Sheet6!E19</f>
        <v>3.9405833333333331</v>
      </c>
      <c r="C4" s="55">
        <f t="shared" ref="C4:C14" si="0">(B4-B3)/B3</f>
        <v>0.13183656861102472</v>
      </c>
    </row>
    <row r="5" spans="1:3">
      <c r="A5">
        <v>2026</v>
      </c>
      <c r="B5">
        <f>Sheet6!E31</f>
        <v>3.9113333333333338</v>
      </c>
      <c r="C5" s="55">
        <f t="shared" si="0"/>
        <v>-7.4227588977941504E-3</v>
      </c>
    </row>
    <row r="6" spans="1:3">
      <c r="A6">
        <v>2027</v>
      </c>
      <c r="B6">
        <f>Sheet6!E46</f>
        <v>3.8152499999999994</v>
      </c>
      <c r="C6" s="55">
        <f t="shared" si="0"/>
        <v>-2.4565365604227306E-2</v>
      </c>
    </row>
    <row r="7" spans="1:3">
      <c r="A7">
        <v>2028</v>
      </c>
      <c r="B7">
        <f>Sheet6!E70</f>
        <v>3.706666666666667</v>
      </c>
      <c r="C7" s="55">
        <f t="shared" si="0"/>
        <v>-2.8460345543105271E-2</v>
      </c>
    </row>
    <row r="8" spans="1:3">
      <c r="A8">
        <v>2029</v>
      </c>
      <c r="B8">
        <f>Sheet6!E94</f>
        <v>3.7184166666666663</v>
      </c>
      <c r="C8" s="55">
        <f t="shared" si="0"/>
        <v>3.1699640287767786E-3</v>
      </c>
    </row>
    <row r="9" spans="1:3">
      <c r="A9">
        <v>2030</v>
      </c>
      <c r="B9">
        <f>Sheet6!E118</f>
        <v>3.6355000000000004</v>
      </c>
      <c r="C9" s="55">
        <f t="shared" si="0"/>
        <v>-2.2298917550032282E-2</v>
      </c>
    </row>
    <row r="10" spans="1:3">
      <c r="A10">
        <v>2031</v>
      </c>
      <c r="B10">
        <f>Sheet6!E142</f>
        <v>3.6625000000000001</v>
      </c>
      <c r="C10" s="55">
        <f t="shared" si="0"/>
        <v>7.4267638564158127E-3</v>
      </c>
    </row>
    <row r="11" spans="1:3">
      <c r="A11">
        <v>2032</v>
      </c>
      <c r="B11">
        <f>Sheet6!E166</f>
        <v>3.7044999999999995</v>
      </c>
      <c r="C11" s="55">
        <f t="shared" si="0"/>
        <v>1.1467576791808702E-2</v>
      </c>
    </row>
    <row r="12" spans="1:3">
      <c r="A12">
        <v>2033</v>
      </c>
      <c r="B12">
        <f>Sheet6!E190</f>
        <v>3.8155833333333331</v>
      </c>
      <c r="C12" s="55">
        <f t="shared" si="0"/>
        <v>2.9986052998605389E-2</v>
      </c>
    </row>
    <row r="13" spans="1:3">
      <c r="A13">
        <v>2034</v>
      </c>
      <c r="B13">
        <f>Sheet6!E214</f>
        <v>3.9754166666666673</v>
      </c>
      <c r="C13" s="55">
        <f t="shared" si="0"/>
        <v>4.1889619324262564E-2</v>
      </c>
    </row>
    <row r="14" spans="1:3">
      <c r="A14">
        <v>2035</v>
      </c>
      <c r="B14">
        <f>Sheet6!E238</f>
        <v>4.1764166666666673</v>
      </c>
      <c r="C14" s="55">
        <f t="shared" si="0"/>
        <v>5.0560737868147999E-2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116-1AF5-4CFA-B1E0-34C7C547AC5E}">
  <dimension ref="A1:E140"/>
  <sheetViews>
    <sheetView workbookViewId="0">
      <selection activeCell="G13" sqref="G13"/>
    </sheetView>
  </sheetViews>
  <sheetFormatPr defaultRowHeight="15"/>
  <sheetData>
    <row r="1" spans="1:5" ht="51.75">
      <c r="B1" s="60" t="s">
        <v>322</v>
      </c>
      <c r="C1" s="60" t="s">
        <v>323</v>
      </c>
      <c r="D1" s="60" t="s">
        <v>324</v>
      </c>
      <c r="E1" s="60" t="s">
        <v>325</v>
      </c>
    </row>
    <row r="2" spans="1:5">
      <c r="B2" s="61" t="s">
        <v>326</v>
      </c>
      <c r="C2" s="61" t="s">
        <v>326</v>
      </c>
      <c r="D2" s="61" t="s">
        <v>326</v>
      </c>
      <c r="E2" s="61" t="s">
        <v>327</v>
      </c>
    </row>
    <row r="3" spans="1:5">
      <c r="A3" s="58" t="s">
        <v>184</v>
      </c>
      <c r="B3" s="56">
        <v>2.6797</v>
      </c>
      <c r="C3" s="56">
        <v>11.45</v>
      </c>
      <c r="D3" s="56">
        <v>16.71</v>
      </c>
      <c r="E3" s="56">
        <v>98.29450664705</v>
      </c>
    </row>
    <row r="4" spans="1:5">
      <c r="A4" s="59" t="s">
        <v>185</v>
      </c>
      <c r="B4" s="57">
        <v>2.5192000000000001</v>
      </c>
      <c r="C4" s="57">
        <v>11.12</v>
      </c>
      <c r="D4" s="57">
        <v>16.03</v>
      </c>
      <c r="E4" s="57">
        <v>94.315988415649997</v>
      </c>
    </row>
    <row r="5" spans="1:5">
      <c r="A5" s="58" t="s">
        <v>186</v>
      </c>
      <c r="B5" s="56">
        <v>2.1661000000000001</v>
      </c>
      <c r="C5" s="56">
        <v>11.97</v>
      </c>
      <c r="D5" s="56">
        <v>16.34</v>
      </c>
      <c r="E5" s="56">
        <v>94.279063117470002</v>
      </c>
    </row>
    <row r="6" spans="1:5">
      <c r="A6" s="59" t="s">
        <v>187</v>
      </c>
      <c r="B6" s="57">
        <v>1.9467000000000001</v>
      </c>
      <c r="C6" s="57">
        <v>11.42</v>
      </c>
      <c r="D6" s="57">
        <v>16.850000000000001</v>
      </c>
      <c r="E6" s="57">
        <v>89.345644258129994</v>
      </c>
    </row>
    <row r="7" spans="1:5">
      <c r="A7" s="58" t="s">
        <v>188</v>
      </c>
      <c r="B7" s="56">
        <v>2.4373999999999998</v>
      </c>
      <c r="C7" s="56">
        <v>11.64</v>
      </c>
      <c r="D7" s="56">
        <v>17.12</v>
      </c>
      <c r="E7" s="56">
        <v>96.533194706070006</v>
      </c>
    </row>
    <row r="8" spans="1:5">
      <c r="A8" s="59" t="s">
        <v>189</v>
      </c>
      <c r="B8" s="57">
        <v>2.4552</v>
      </c>
      <c r="C8" s="57">
        <v>11.49</v>
      </c>
      <c r="D8" s="57">
        <v>17.2</v>
      </c>
      <c r="E8" s="57">
        <v>96.090450413680003</v>
      </c>
    </row>
    <row r="9" spans="1:5">
      <c r="A9" s="58" t="s">
        <v>190</v>
      </c>
      <c r="B9" s="56">
        <v>2.9455</v>
      </c>
      <c r="C9" s="56">
        <v>11.13</v>
      </c>
      <c r="D9" s="56">
        <v>18.11</v>
      </c>
      <c r="E9" s="56">
        <v>100.9494357434</v>
      </c>
    </row>
    <row r="10" spans="1:5">
      <c r="A10" s="59" t="s">
        <v>191</v>
      </c>
      <c r="B10" s="57">
        <v>2.8382999999999998</v>
      </c>
      <c r="C10" s="57">
        <v>11.18</v>
      </c>
      <c r="D10" s="57">
        <v>17.739999999999998</v>
      </c>
      <c r="E10" s="57">
        <v>99.634691967159995</v>
      </c>
    </row>
    <row r="11" spans="1:5">
      <c r="A11" s="58" t="s">
        <v>192</v>
      </c>
      <c r="B11" s="56">
        <v>2.8414999999999999</v>
      </c>
      <c r="C11" s="56">
        <v>11.08</v>
      </c>
      <c r="D11" s="56">
        <v>16.829999999999998</v>
      </c>
      <c r="E11" s="56">
        <v>98.581633900699998</v>
      </c>
    </row>
    <row r="12" spans="1:5">
      <c r="A12" s="59" t="s">
        <v>193</v>
      </c>
      <c r="B12" s="57">
        <v>3.3174000000000001</v>
      </c>
      <c r="C12" s="57">
        <v>11.58</v>
      </c>
      <c r="D12" s="57">
        <v>15.3</v>
      </c>
      <c r="E12" s="57">
        <v>105.70108533749</v>
      </c>
    </row>
    <row r="13" spans="1:5">
      <c r="A13" s="58" t="s">
        <v>194</v>
      </c>
      <c r="B13" s="56">
        <v>3.5379999999999998</v>
      </c>
      <c r="C13" s="56">
        <v>11.83</v>
      </c>
      <c r="D13" s="56">
        <v>15</v>
      </c>
      <c r="E13" s="56">
        <v>109.3651582862</v>
      </c>
    </row>
    <row r="14" spans="1:5">
      <c r="A14" s="59" t="s">
        <v>195</v>
      </c>
      <c r="B14" s="57">
        <v>3.3395000000000001</v>
      </c>
      <c r="C14" s="57">
        <v>11.79</v>
      </c>
      <c r="D14" s="57">
        <v>15.41</v>
      </c>
      <c r="E14" s="57">
        <v>107.04231243184</v>
      </c>
    </row>
    <row r="15" spans="1:5">
      <c r="A15" s="58" t="s">
        <v>196</v>
      </c>
      <c r="B15" s="56">
        <v>3.3279999999999998</v>
      </c>
      <c r="C15" s="56">
        <v>11.87</v>
      </c>
      <c r="D15" s="56">
        <v>15.89</v>
      </c>
      <c r="E15" s="56">
        <v>107.60817859655</v>
      </c>
    </row>
    <row r="16" spans="1:5">
      <c r="A16" s="59" t="s">
        <v>197</v>
      </c>
      <c r="B16" s="57">
        <v>3.3292000000000002</v>
      </c>
      <c r="C16" s="57">
        <v>11.77</v>
      </c>
      <c r="D16" s="57">
        <v>16.47</v>
      </c>
      <c r="E16" s="57">
        <v>107.54029997678001</v>
      </c>
    </row>
    <row r="17" spans="1:5">
      <c r="A17" s="58" t="s">
        <v>198</v>
      </c>
      <c r="B17" s="56">
        <v>3.8069000000000002</v>
      </c>
      <c r="C17" s="56">
        <v>11.87</v>
      </c>
      <c r="D17" s="56">
        <v>16.27</v>
      </c>
      <c r="E17" s="56">
        <v>113.68108766747</v>
      </c>
    </row>
    <row r="18" spans="1:5">
      <c r="A18" s="59" t="s">
        <v>199</v>
      </c>
      <c r="B18" s="57">
        <v>4.1669</v>
      </c>
      <c r="C18" s="57">
        <v>12.88</v>
      </c>
      <c r="D18" s="57">
        <v>16.2</v>
      </c>
      <c r="E18" s="57">
        <v>122.80678946534</v>
      </c>
    </row>
    <row r="19" spans="1:5">
      <c r="A19" s="58" t="s">
        <v>200</v>
      </c>
      <c r="B19" s="56">
        <v>4.0403000000000002</v>
      </c>
      <c r="C19" s="56">
        <v>12.29</v>
      </c>
      <c r="D19" s="56">
        <v>16.22</v>
      </c>
      <c r="E19" s="56">
        <v>118.47814461874</v>
      </c>
    </row>
    <row r="20" spans="1:5">
      <c r="A20" s="59" t="s">
        <v>201</v>
      </c>
      <c r="B20" s="57">
        <v>3.8254000000000001</v>
      </c>
      <c r="C20" s="57">
        <v>11.92</v>
      </c>
      <c r="D20" s="57">
        <v>16.61</v>
      </c>
      <c r="E20" s="57">
        <v>114.37378667724001</v>
      </c>
    </row>
    <row r="21" spans="1:5">
      <c r="A21" s="58" t="s">
        <v>202</v>
      </c>
      <c r="B21" s="56">
        <v>3.6227</v>
      </c>
      <c r="C21" s="56">
        <v>11.6</v>
      </c>
      <c r="D21" s="56">
        <v>16.170000000000002</v>
      </c>
      <c r="E21" s="56">
        <v>110.0929564116</v>
      </c>
    </row>
    <row r="22" spans="1:5">
      <c r="A22" s="59" t="s">
        <v>203</v>
      </c>
      <c r="B22" s="57">
        <v>3.4251</v>
      </c>
      <c r="C22" s="57">
        <v>11.64</v>
      </c>
      <c r="D22" s="57">
        <v>15.6</v>
      </c>
      <c r="E22" s="57">
        <v>107.49741317685</v>
      </c>
    </row>
    <row r="23" spans="1:5">
      <c r="A23" s="58" t="s">
        <v>204</v>
      </c>
      <c r="B23" s="56">
        <v>3.6154000000000002</v>
      </c>
      <c r="C23" s="56">
        <v>11.25</v>
      </c>
      <c r="D23" s="56">
        <v>14.96</v>
      </c>
      <c r="E23" s="56">
        <v>107.52065160478</v>
      </c>
    </row>
    <row r="24" spans="1:5">
      <c r="A24" s="59" t="s">
        <v>205</v>
      </c>
      <c r="B24" s="57">
        <v>3.6739000000000002</v>
      </c>
      <c r="C24" s="57">
        <v>11.37</v>
      </c>
      <c r="D24" s="57">
        <v>15.3</v>
      </c>
      <c r="E24" s="57">
        <v>109.03186360077</v>
      </c>
    </row>
    <row r="25" spans="1:5">
      <c r="A25" s="58" t="s">
        <v>206</v>
      </c>
      <c r="B25" s="56">
        <v>3.6173999999999999</v>
      </c>
      <c r="C25" s="56">
        <v>11.42</v>
      </c>
      <c r="D25" s="56">
        <v>15.4</v>
      </c>
      <c r="E25" s="56">
        <v>108.65121105615</v>
      </c>
    </row>
    <row r="26" spans="1:5">
      <c r="A26" s="59" t="s">
        <v>207</v>
      </c>
      <c r="B26" s="57">
        <v>4.2366000000000001</v>
      </c>
      <c r="C26" s="57">
        <v>11.55</v>
      </c>
      <c r="D26" s="57">
        <v>16.38</v>
      </c>
      <c r="E26" s="57">
        <v>117.45234821935</v>
      </c>
    </row>
    <row r="27" spans="1:5">
      <c r="A27" s="58" t="s">
        <v>208</v>
      </c>
      <c r="B27" s="56">
        <v>4.7008000000000001</v>
      </c>
      <c r="C27" s="56">
        <v>11.59</v>
      </c>
      <c r="D27" s="56">
        <v>16.670000000000002</v>
      </c>
      <c r="E27" s="56">
        <v>123.47593413513</v>
      </c>
    </row>
    <row r="28" spans="1:5">
      <c r="A28" s="59" t="s">
        <v>209</v>
      </c>
      <c r="B28" s="57">
        <v>5.9733000000000001</v>
      </c>
      <c r="C28" s="57">
        <v>11.3</v>
      </c>
      <c r="D28" s="57">
        <v>16.760000000000002</v>
      </c>
      <c r="E28" s="57">
        <v>137.61069871914</v>
      </c>
    </row>
    <row r="29" spans="1:5">
      <c r="A29" s="58" t="s">
        <v>210</v>
      </c>
      <c r="B29" s="56">
        <v>4.8783000000000003</v>
      </c>
      <c r="C29" s="56">
        <v>10.88</v>
      </c>
      <c r="D29" s="56">
        <v>16.55</v>
      </c>
      <c r="E29" s="56">
        <v>122.1747631506</v>
      </c>
    </row>
    <row r="30" spans="1:5">
      <c r="A30" s="59" t="s">
        <v>211</v>
      </c>
      <c r="B30" s="57">
        <v>4.6338999999999997</v>
      </c>
      <c r="C30" s="57">
        <v>10.73</v>
      </c>
      <c r="D30" s="57">
        <v>16.79</v>
      </c>
      <c r="E30" s="57">
        <v>118.65642551875</v>
      </c>
    </row>
    <row r="31" spans="1:5">
      <c r="A31" s="58" t="s">
        <v>212</v>
      </c>
      <c r="B31" s="56">
        <v>4.5625</v>
      </c>
      <c r="C31" s="56">
        <v>10.199999999999999</v>
      </c>
      <c r="D31" s="56">
        <v>16.32</v>
      </c>
      <c r="E31" s="56">
        <v>114.95136110006</v>
      </c>
    </row>
    <row r="32" spans="1:5">
      <c r="A32" s="59" t="s">
        <v>213</v>
      </c>
      <c r="B32" s="57">
        <v>4.5692000000000004</v>
      </c>
      <c r="C32" s="57">
        <v>9.77</v>
      </c>
      <c r="D32" s="57">
        <v>16.13</v>
      </c>
      <c r="E32" s="57">
        <v>112.85978969451</v>
      </c>
    </row>
    <row r="33" spans="1:5">
      <c r="A33" s="58" t="s">
        <v>214</v>
      </c>
      <c r="B33" s="56">
        <v>4.0099</v>
      </c>
      <c r="C33" s="56">
        <v>9.27</v>
      </c>
      <c r="D33" s="56">
        <v>15.20882662987</v>
      </c>
      <c r="E33" s="56">
        <v>103.06692548226</v>
      </c>
    </row>
    <row r="34" spans="1:5">
      <c r="A34" s="59" t="s">
        <v>215</v>
      </c>
      <c r="B34" s="57">
        <v>3.8839999999999999</v>
      </c>
      <c r="C34" s="57">
        <v>9.14</v>
      </c>
      <c r="D34" s="57">
        <v>15.74</v>
      </c>
      <c r="E34" s="57">
        <v>101.27992523272999</v>
      </c>
    </row>
    <row r="35" spans="1:5">
      <c r="A35" s="58" t="s">
        <v>216</v>
      </c>
      <c r="B35" s="56">
        <v>3.9169999999999998</v>
      </c>
      <c r="C35" s="56">
        <v>9.24</v>
      </c>
      <c r="D35" s="56">
        <v>15.16</v>
      </c>
      <c r="E35" s="56">
        <v>101.76310720818999</v>
      </c>
    </row>
    <row r="36" spans="1:5">
      <c r="A36" s="59" t="s">
        <v>217</v>
      </c>
      <c r="B36" s="57">
        <v>3.7719</v>
      </c>
      <c r="C36" s="57">
        <v>9.77</v>
      </c>
      <c r="D36" s="57">
        <v>15.89</v>
      </c>
      <c r="E36" s="57">
        <v>103.01527984123</v>
      </c>
    </row>
    <row r="37" spans="1:5">
      <c r="A37" s="58" t="s">
        <v>218</v>
      </c>
      <c r="B37" s="56">
        <v>4.1002999999999998</v>
      </c>
      <c r="C37" s="56">
        <v>8.9</v>
      </c>
      <c r="D37" s="56">
        <v>15.59</v>
      </c>
      <c r="E37" s="56">
        <v>102.66395932005</v>
      </c>
    </row>
    <row r="38" spans="1:5">
      <c r="A38" s="59" t="s">
        <v>219</v>
      </c>
      <c r="B38" s="57">
        <v>3.4327999999999999</v>
      </c>
      <c r="C38" s="57">
        <v>9.83</v>
      </c>
      <c r="D38" s="57">
        <v>15.62</v>
      </c>
      <c r="E38" s="57">
        <v>98.999777005200002</v>
      </c>
    </row>
    <row r="39" spans="1:5">
      <c r="A39" s="58" t="s">
        <v>220</v>
      </c>
      <c r="B39" s="56">
        <v>2.9742999999999999</v>
      </c>
      <c r="C39" s="56">
        <v>9.25</v>
      </c>
      <c r="D39" s="56">
        <v>16.18733797094</v>
      </c>
      <c r="E39" s="56">
        <v>91.059104632559993</v>
      </c>
    </row>
    <row r="40" spans="1:5">
      <c r="A40" s="59" t="s">
        <v>221</v>
      </c>
      <c r="B40" s="57">
        <v>2.8477999999999999</v>
      </c>
      <c r="C40" s="57">
        <v>8.27</v>
      </c>
      <c r="D40" s="57">
        <v>14.20383414428</v>
      </c>
      <c r="E40" s="57">
        <v>83.520262891369995</v>
      </c>
    </row>
    <row r="41" spans="1:5">
      <c r="A41" s="58" t="s">
        <v>222</v>
      </c>
      <c r="B41" s="56">
        <v>2.8006000000000002</v>
      </c>
      <c r="C41" s="56">
        <v>8.27</v>
      </c>
      <c r="D41" s="56">
        <v>13.041319324390001</v>
      </c>
      <c r="E41" s="56">
        <v>82.159498768130007</v>
      </c>
    </row>
    <row r="42" spans="1:5">
      <c r="A42" s="59" t="s">
        <v>223</v>
      </c>
      <c r="B42" s="57">
        <v>2.5796999999999999</v>
      </c>
      <c r="C42" s="57">
        <v>6.7744456667500002</v>
      </c>
      <c r="D42" s="57">
        <v>10.936659480139999</v>
      </c>
      <c r="E42" s="57">
        <v>70.941309066789998</v>
      </c>
    </row>
    <row r="43" spans="1:5">
      <c r="A43" s="58" t="s">
        <v>224</v>
      </c>
      <c r="B43" s="56">
        <v>2.8382999999999998</v>
      </c>
      <c r="C43" s="56">
        <v>6.6839973110799997</v>
      </c>
      <c r="D43" s="56">
        <v>9.3369001638700002</v>
      </c>
      <c r="E43" s="56">
        <v>72.567768851620002</v>
      </c>
    </row>
    <row r="44" spans="1:5">
      <c r="A44" s="59" t="s">
        <v>225</v>
      </c>
      <c r="B44" s="57">
        <v>2.7692000000000001</v>
      </c>
      <c r="C44" s="57">
        <v>6.6667259295400001</v>
      </c>
      <c r="D44" s="57">
        <v>9.1891221165600001</v>
      </c>
      <c r="E44" s="57">
        <v>71.546435354639996</v>
      </c>
    </row>
    <row r="45" spans="1:5">
      <c r="A45" s="58" t="s">
        <v>226</v>
      </c>
      <c r="B45" s="56">
        <v>2.83</v>
      </c>
      <c r="C45" s="56">
        <v>6.6940371346500003</v>
      </c>
      <c r="D45" s="56">
        <v>9.4950832584500002</v>
      </c>
      <c r="E45" s="56">
        <v>72.621876011560005</v>
      </c>
    </row>
    <row r="46" spans="1:5">
      <c r="A46" s="59" t="s">
        <v>227</v>
      </c>
      <c r="B46" s="57">
        <v>2.7629999999999999</v>
      </c>
      <c r="C46" s="57">
        <v>6.34573758328</v>
      </c>
      <c r="D46" s="57">
        <v>9.8158396579599998</v>
      </c>
      <c r="E46" s="57">
        <v>70.36977413644</v>
      </c>
    </row>
    <row r="47" spans="1:5">
      <c r="A47" s="58" t="s">
        <v>228</v>
      </c>
      <c r="B47" s="56">
        <v>2.6461000000000001</v>
      </c>
      <c r="C47" s="56">
        <v>6.2786986603399999</v>
      </c>
      <c r="D47" s="56">
        <v>10.306943949140001</v>
      </c>
      <c r="E47" s="56">
        <v>68.964232901490007</v>
      </c>
    </row>
    <row r="48" spans="1:5">
      <c r="A48" s="59" t="s">
        <v>229</v>
      </c>
      <c r="B48" s="57">
        <v>2.3151999999999999</v>
      </c>
      <c r="C48" s="57">
        <v>6.0269578205999998</v>
      </c>
      <c r="D48" s="57">
        <v>10.10742681042</v>
      </c>
      <c r="E48" s="57">
        <v>63.614050100889997</v>
      </c>
    </row>
    <row r="49" spans="1:5">
      <c r="A49" s="58" t="s">
        <v>230</v>
      </c>
      <c r="B49" s="56">
        <v>2.0775000000000001</v>
      </c>
      <c r="C49" s="56">
        <v>5.5008338512300003</v>
      </c>
      <c r="D49" s="56">
        <v>9.5155859138499999</v>
      </c>
      <c r="E49" s="56">
        <v>57.82542281205</v>
      </c>
    </row>
    <row r="50" spans="1:5">
      <c r="A50" s="59" t="s">
        <v>231</v>
      </c>
      <c r="B50" s="57">
        <v>1.9228000000000001</v>
      </c>
      <c r="C50" s="57">
        <v>5.09276298262</v>
      </c>
      <c r="D50" s="57">
        <v>9.0801962921099992</v>
      </c>
      <c r="E50" s="57">
        <v>53.711911475459999</v>
      </c>
    </row>
    <row r="51" spans="1:5">
      <c r="A51" s="58" t="s">
        <v>232</v>
      </c>
      <c r="B51" s="56">
        <v>2.2744</v>
      </c>
      <c r="C51" s="56">
        <v>4.3981862754099996</v>
      </c>
      <c r="D51" s="56">
        <v>8.4023022052700007</v>
      </c>
      <c r="E51" s="56">
        <v>54.220253687570001</v>
      </c>
    </row>
    <row r="52" spans="1:5">
      <c r="A52" s="59" t="s">
        <v>233</v>
      </c>
      <c r="B52" s="57">
        <v>1.9572000000000001</v>
      </c>
      <c r="C52" s="57">
        <v>3.9683785892799999</v>
      </c>
      <c r="D52" s="57">
        <v>8.5618581322799994</v>
      </c>
      <c r="E52" s="57">
        <v>48.433180105040002</v>
      </c>
    </row>
    <row r="53" spans="1:5">
      <c r="A53" s="58" t="s">
        <v>234</v>
      </c>
      <c r="B53" s="56">
        <v>1.7017</v>
      </c>
      <c r="C53" s="56">
        <v>3.9101802431000001</v>
      </c>
      <c r="D53" s="56">
        <v>7.7366980955100004</v>
      </c>
      <c r="E53" s="56">
        <v>44.494833931949998</v>
      </c>
    </row>
    <row r="54" spans="1:5">
      <c r="A54" s="59" t="s">
        <v>235</v>
      </c>
      <c r="B54" s="57">
        <v>1.9047000000000001</v>
      </c>
      <c r="C54" s="57">
        <v>3.9700750897899999</v>
      </c>
      <c r="D54" s="57">
        <v>6.8249795642500004</v>
      </c>
      <c r="E54" s="57">
        <v>46.626993177279999</v>
      </c>
    </row>
    <row r="55" spans="1:5">
      <c r="A55" s="58" t="s">
        <v>236</v>
      </c>
      <c r="B55" s="56">
        <v>1.9219999999999999</v>
      </c>
      <c r="C55" s="56">
        <v>4.3291918650600003</v>
      </c>
      <c r="D55" s="56">
        <v>6.2688925069200003</v>
      </c>
      <c r="E55" s="56">
        <v>48.16755906969</v>
      </c>
    </row>
    <row r="56" spans="1:5">
      <c r="A56" s="59" t="s">
        <v>237</v>
      </c>
      <c r="B56" s="57">
        <v>2.5666000000000002</v>
      </c>
      <c r="C56" s="57">
        <v>4.7557204668899997</v>
      </c>
      <c r="D56" s="57">
        <v>6.4018011694899997</v>
      </c>
      <c r="E56" s="57">
        <v>58.112927318339999</v>
      </c>
    </row>
    <row r="57" spans="1:5">
      <c r="A57" s="58" t="s">
        <v>238</v>
      </c>
      <c r="B57" s="56">
        <v>2.7879</v>
      </c>
      <c r="C57" s="56">
        <v>4.6747376913499998</v>
      </c>
      <c r="D57" s="56">
        <v>6.7571186470500004</v>
      </c>
      <c r="E57" s="56">
        <v>60.655991369200002</v>
      </c>
    </row>
    <row r="58" spans="1:5">
      <c r="A58" s="59" t="s">
        <v>239</v>
      </c>
      <c r="B58" s="57">
        <v>2.7913000000000001</v>
      </c>
      <c r="C58" s="57">
        <v>4.0474899302000003</v>
      </c>
      <c r="D58" s="57">
        <v>7.1386747240500004</v>
      </c>
      <c r="E58" s="57">
        <v>57.973862286150002</v>
      </c>
    </row>
    <row r="59" spans="1:5">
      <c r="A59" s="58" t="s">
        <v>240</v>
      </c>
      <c r="B59" s="56">
        <v>2.9689000000000001</v>
      </c>
      <c r="C59" s="56">
        <v>4.2536141699499996</v>
      </c>
      <c r="D59" s="56">
        <v>7.5397929008100002</v>
      </c>
      <c r="E59" s="56">
        <v>61.382189464619998</v>
      </c>
    </row>
    <row r="60" spans="1:5">
      <c r="A60" s="59" t="s">
        <v>241</v>
      </c>
      <c r="B60" s="57">
        <v>2.9491999999999998</v>
      </c>
      <c r="C60" s="57">
        <v>5.3368188834500003</v>
      </c>
      <c r="D60" s="57">
        <v>7.6528666460099997</v>
      </c>
      <c r="E60" s="57">
        <v>66.369097111390005</v>
      </c>
    </row>
    <row r="61" spans="1:5">
      <c r="A61" s="58" t="s">
        <v>242</v>
      </c>
      <c r="B61" s="56">
        <v>2.5009000000000001</v>
      </c>
      <c r="C61" s="56">
        <v>5.6931795011500004</v>
      </c>
      <c r="D61" s="56">
        <v>7.5925887519600002</v>
      </c>
      <c r="E61" s="56">
        <v>62.578513627669999</v>
      </c>
    </row>
    <row r="62" spans="1:5">
      <c r="A62" s="59" t="s">
        <v>243</v>
      </c>
      <c r="B62" s="57">
        <v>3.5817999999999999</v>
      </c>
      <c r="C62" s="57">
        <v>5.4235014224000002</v>
      </c>
      <c r="D62" s="57">
        <v>7.5917541522900001</v>
      </c>
      <c r="E62" s="57">
        <v>74.4216778981</v>
      </c>
    </row>
    <row r="63" spans="1:5">
      <c r="A63" s="58" t="s">
        <v>244</v>
      </c>
      <c r="B63" s="56">
        <v>3.2608000000000001</v>
      </c>
      <c r="C63" s="56">
        <v>6.1443492547999998</v>
      </c>
      <c r="D63" s="56">
        <v>8.0422768605100003</v>
      </c>
      <c r="E63" s="56">
        <v>74.255772337750003</v>
      </c>
    </row>
    <row r="64" spans="1:5">
      <c r="A64" s="59" t="s">
        <v>245</v>
      </c>
      <c r="B64" s="57">
        <v>2.8233000000000001</v>
      </c>
      <c r="C64" s="57">
        <v>6.0515836448</v>
      </c>
      <c r="D64" s="57">
        <v>8.4149873154599995</v>
      </c>
      <c r="E64" s="57">
        <v>68.754550643249999</v>
      </c>
    </row>
    <row r="65" spans="1:5">
      <c r="A65" s="58" t="s">
        <v>246</v>
      </c>
      <c r="B65" s="56">
        <v>2.8875000000000002</v>
      </c>
      <c r="C65" s="56">
        <v>5.0009450765399999</v>
      </c>
      <c r="D65" s="56">
        <v>8.2459830610699996</v>
      </c>
      <c r="E65" s="56">
        <v>64.424949059750006</v>
      </c>
    </row>
    <row r="66" spans="1:5">
      <c r="A66" s="59" t="s">
        <v>247</v>
      </c>
      <c r="B66" s="57">
        <v>3.0819999999999999</v>
      </c>
      <c r="C66" s="57">
        <v>5.0109139183</v>
      </c>
      <c r="D66" s="57">
        <v>8.7631187546899998</v>
      </c>
      <c r="E66" s="57">
        <v>67.184583077260001</v>
      </c>
    </row>
    <row r="67" spans="1:5">
      <c r="A67" s="58" t="s">
        <v>248</v>
      </c>
      <c r="B67" s="56">
        <v>3.1248</v>
      </c>
      <c r="C67" s="56">
        <v>5.0584359784700004</v>
      </c>
      <c r="D67" s="56">
        <v>9.0968085204900007</v>
      </c>
      <c r="E67" s="56">
        <v>68.156310846389999</v>
      </c>
    </row>
    <row r="68" spans="1:5">
      <c r="A68" s="59" t="s">
        <v>249</v>
      </c>
      <c r="B68" s="57">
        <v>2.9409999999999998</v>
      </c>
      <c r="C68" s="57">
        <v>4.8867667856299999</v>
      </c>
      <c r="D68" s="57">
        <v>8.8827097046999999</v>
      </c>
      <c r="E68" s="57">
        <v>64.963197608740003</v>
      </c>
    </row>
    <row r="69" spans="1:5">
      <c r="A69" s="58" t="s">
        <v>250</v>
      </c>
      <c r="B69" s="56">
        <v>2.9613999999999998</v>
      </c>
      <c r="C69" s="56">
        <v>5.0039208322600004</v>
      </c>
      <c r="D69" s="56">
        <v>8.8584823273400009</v>
      </c>
      <c r="E69" s="56">
        <v>65.751455615490002</v>
      </c>
    </row>
    <row r="70" spans="1:5">
      <c r="A70" s="59" t="s">
        <v>251</v>
      </c>
      <c r="B70" s="57">
        <v>2.8757000000000001</v>
      </c>
      <c r="C70" s="57">
        <v>5.4766011818699996</v>
      </c>
      <c r="D70" s="57">
        <v>8.9154154071599994</v>
      </c>
      <c r="E70" s="57">
        <v>66.996449707880004</v>
      </c>
    </row>
    <row r="71" spans="1:5">
      <c r="A71" s="58" t="s">
        <v>252</v>
      </c>
      <c r="B71" s="56">
        <v>2.9630000000000001</v>
      </c>
      <c r="C71" s="56">
        <v>5.9611499719900003</v>
      </c>
      <c r="D71" s="56">
        <v>8.6420299979399999</v>
      </c>
      <c r="E71" s="56">
        <v>70.174880739399995</v>
      </c>
    </row>
    <row r="72" spans="1:5">
      <c r="A72" s="59" t="s">
        <v>253</v>
      </c>
      <c r="B72" s="57">
        <v>2.8637999999999999</v>
      </c>
      <c r="C72" s="57">
        <v>6.17632034854</v>
      </c>
      <c r="D72" s="57">
        <v>8.3138988925999993</v>
      </c>
      <c r="E72" s="57">
        <v>69.770865285300005</v>
      </c>
    </row>
    <row r="73" spans="1:5">
      <c r="A73" s="58" t="s">
        <v>254</v>
      </c>
      <c r="B73" s="56">
        <v>2.9912999999999998</v>
      </c>
      <c r="C73" s="56">
        <v>6.6945990398199999</v>
      </c>
      <c r="D73" s="56">
        <v>8.4506656764100008</v>
      </c>
      <c r="E73" s="56">
        <v>73.87568661553</v>
      </c>
    </row>
    <row r="74" spans="1:5">
      <c r="A74" s="59" t="s">
        <v>255</v>
      </c>
      <c r="B74" s="57">
        <v>2.7583000000000002</v>
      </c>
      <c r="C74" s="57">
        <v>7.1389336141299999</v>
      </c>
      <c r="D74" s="57">
        <v>8.6471138152999991</v>
      </c>
      <c r="E74" s="57">
        <v>73.291727463640001</v>
      </c>
    </row>
    <row r="75" spans="1:5">
      <c r="A75" s="58" t="s">
        <v>256</v>
      </c>
      <c r="B75" s="56">
        <v>3.8555999999999999</v>
      </c>
      <c r="C75" s="56">
        <v>6.6622550131400002</v>
      </c>
      <c r="D75" s="56">
        <v>9.3424638758499992</v>
      </c>
      <c r="E75" s="56">
        <v>84.821629275619998</v>
      </c>
    </row>
    <row r="76" spans="1:5">
      <c r="A76" s="59" t="s">
        <v>257</v>
      </c>
      <c r="B76" s="57">
        <v>2.6707999999999998</v>
      </c>
      <c r="C76" s="57">
        <v>6.7187497665000002</v>
      </c>
      <c r="D76" s="57">
        <v>9.8256931101900005</v>
      </c>
      <c r="E76" s="57">
        <v>71.030120423979994</v>
      </c>
    </row>
    <row r="77" spans="1:5">
      <c r="A77" s="58" t="s">
        <v>258</v>
      </c>
      <c r="B77" s="56">
        <v>2.6989000000000001</v>
      </c>
      <c r="C77" s="56">
        <v>6.6973876403599997</v>
      </c>
      <c r="D77" s="56">
        <v>10.110069091050001</v>
      </c>
      <c r="E77" s="56">
        <v>71.462457292739998</v>
      </c>
    </row>
    <row r="78" spans="1:5">
      <c r="A78" s="59" t="s">
        <v>259</v>
      </c>
      <c r="B78" s="57">
        <v>2.7791000000000001</v>
      </c>
      <c r="C78" s="57">
        <v>6.9278582024200004</v>
      </c>
      <c r="D78" s="57">
        <v>10.09046974822</v>
      </c>
      <c r="E78" s="57">
        <v>73.518728054999997</v>
      </c>
    </row>
    <row r="79" spans="1:5">
      <c r="A79" s="58" t="s">
        <v>260</v>
      </c>
      <c r="B79" s="56">
        <v>2.7972000000000001</v>
      </c>
      <c r="C79" s="56">
        <v>7.4873540573200001</v>
      </c>
      <c r="D79" s="56">
        <v>10.25151696204</v>
      </c>
      <c r="E79" s="56">
        <v>76.507459487579993</v>
      </c>
    </row>
    <row r="80" spans="1:5">
      <c r="A80" s="59" t="s">
        <v>261</v>
      </c>
      <c r="B80" s="57">
        <v>2.9523000000000001</v>
      </c>
      <c r="C80" s="57">
        <v>7.4489428440400003</v>
      </c>
      <c r="D80" s="57">
        <v>10.44298762979</v>
      </c>
      <c r="E80" s="57">
        <v>78.338011034039994</v>
      </c>
    </row>
    <row r="81" spans="1:5">
      <c r="A81" s="58" t="s">
        <v>262</v>
      </c>
      <c r="B81" s="56">
        <v>2.8250999999999999</v>
      </c>
      <c r="C81" s="56">
        <v>7.5988392302500003</v>
      </c>
      <c r="D81" s="56">
        <v>10.44079690313</v>
      </c>
      <c r="E81" s="56">
        <v>77.504493068749994</v>
      </c>
    </row>
    <row r="82" spans="1:5">
      <c r="A82" s="59" t="s">
        <v>263</v>
      </c>
      <c r="B82" s="57">
        <v>2.9571999999999998</v>
      </c>
      <c r="C82" s="57">
        <v>8.0849099384399992</v>
      </c>
      <c r="D82" s="57">
        <v>10.875000000069999</v>
      </c>
      <c r="E82" s="57">
        <v>81.71356939636</v>
      </c>
    </row>
    <row r="83" spans="1:5">
      <c r="A83" s="58" t="s">
        <v>264</v>
      </c>
      <c r="B83" s="56">
        <v>2.9847000000000001</v>
      </c>
      <c r="C83" s="56">
        <v>9.5215770312100005</v>
      </c>
      <c r="D83" s="56">
        <v>11.30331690113</v>
      </c>
      <c r="E83" s="56">
        <v>89.167570014020001</v>
      </c>
    </row>
    <row r="84" spans="1:5">
      <c r="A84" s="59" t="s">
        <v>265</v>
      </c>
      <c r="B84" s="57">
        <v>3.2839999999999998</v>
      </c>
      <c r="C84" s="57">
        <v>8.7909607297400001</v>
      </c>
      <c r="D84" s="57">
        <v>11.66058023421</v>
      </c>
      <c r="E84" s="57">
        <v>89.570795616780003</v>
      </c>
    </row>
    <row r="85" spans="1:5">
      <c r="A85" s="58" t="s">
        <v>266</v>
      </c>
      <c r="B85" s="56">
        <v>4.1292999999999997</v>
      </c>
      <c r="C85" s="56">
        <v>8.2650790129100002</v>
      </c>
      <c r="D85" s="56">
        <v>11.700294621619999</v>
      </c>
      <c r="E85" s="56">
        <v>97.362467892140003</v>
      </c>
    </row>
    <row r="86" spans="1:5">
      <c r="A86" s="59" t="s">
        <v>267</v>
      </c>
      <c r="B86" s="57">
        <v>3.9824999999999999</v>
      </c>
      <c r="C86" s="57">
        <v>7.9762423800900004</v>
      </c>
      <c r="D86" s="57">
        <v>11.995320796110001</v>
      </c>
      <c r="E86" s="57">
        <v>94.406577851349994</v>
      </c>
    </row>
    <row r="87" spans="1:5">
      <c r="A87" s="58" t="s">
        <v>268</v>
      </c>
      <c r="B87" s="56">
        <v>3.0794999999999999</v>
      </c>
      <c r="C87" s="56">
        <v>7.2623432334500002</v>
      </c>
      <c r="D87" s="56">
        <v>12.007292617259999</v>
      </c>
      <c r="E87" s="56">
        <v>80.055366062069993</v>
      </c>
    </row>
    <row r="88" spans="1:5">
      <c r="A88" s="59" t="s">
        <v>269</v>
      </c>
      <c r="B88" s="57">
        <v>2.7170999999999998</v>
      </c>
      <c r="C88" s="57">
        <v>6.0057971221999997</v>
      </c>
      <c r="D88" s="57">
        <v>11.806581648330001</v>
      </c>
      <c r="E88" s="57">
        <v>69.545041682090002</v>
      </c>
    </row>
    <row r="89" spans="1:5">
      <c r="A89" s="58" t="s">
        <v>270</v>
      </c>
      <c r="B89" s="56">
        <v>2.9350000000000001</v>
      </c>
      <c r="C89" s="56">
        <v>5.1787356741300004</v>
      </c>
      <c r="D89" s="56">
        <v>11.2941866074</v>
      </c>
      <c r="E89" s="56">
        <v>67.912110752890001</v>
      </c>
    </row>
    <row r="90" spans="1:5">
      <c r="A90" s="59" t="s">
        <v>271</v>
      </c>
      <c r="B90" s="57">
        <v>2.6459999999999999</v>
      </c>
      <c r="C90" s="57">
        <v>4.9221808196800003</v>
      </c>
      <c r="D90" s="57">
        <v>10.26546106987</v>
      </c>
      <c r="E90" s="57">
        <v>62.486065798120002</v>
      </c>
    </row>
    <row r="91" spans="1:5">
      <c r="A91" s="58" t="s">
        <v>272</v>
      </c>
      <c r="B91" s="56">
        <v>2.6278999999999999</v>
      </c>
      <c r="C91" s="56">
        <v>4.3410552940500002</v>
      </c>
      <c r="D91" s="56">
        <v>10.145488494269999</v>
      </c>
      <c r="E91" s="56">
        <v>59.422335332700001</v>
      </c>
    </row>
    <row r="92" spans="1:5">
      <c r="A92" s="59" t="s">
        <v>273</v>
      </c>
      <c r="B92" s="57">
        <v>2.3965000000000001</v>
      </c>
      <c r="C92" s="57">
        <v>3.5880065122699998</v>
      </c>
      <c r="D92" s="57">
        <v>10.04237787692</v>
      </c>
      <c r="E92" s="57">
        <v>52.962528876139999</v>
      </c>
    </row>
    <row r="93" spans="1:5">
      <c r="A93" s="58" t="s">
        <v>274</v>
      </c>
      <c r="B93" s="56">
        <v>2.36</v>
      </c>
      <c r="C93" s="56">
        <v>3.6203714056099998</v>
      </c>
      <c r="D93" s="56">
        <v>10.127811224269999</v>
      </c>
      <c r="E93" s="56">
        <v>52.731038159759997</v>
      </c>
    </row>
    <row r="94" spans="1:5">
      <c r="A94" s="59" t="s">
        <v>275</v>
      </c>
      <c r="B94" s="57">
        <v>2.2242999999999999</v>
      </c>
      <c r="C94" s="57">
        <v>3.6767751604100001</v>
      </c>
      <c r="D94" s="57">
        <v>10.86099863824</v>
      </c>
      <c r="E94" s="57">
        <v>51.848054479319998</v>
      </c>
    </row>
    <row r="95" spans="1:5">
      <c r="A95" s="58" t="s">
        <v>276</v>
      </c>
      <c r="B95" s="56">
        <v>2.58</v>
      </c>
      <c r="C95" s="56">
        <v>4.20525568494</v>
      </c>
      <c r="D95" s="56">
        <v>10.141700406329999</v>
      </c>
      <c r="E95" s="56">
        <v>58.192513767820003</v>
      </c>
    </row>
    <row r="96" spans="1:5">
      <c r="A96" s="59" t="s">
        <v>277</v>
      </c>
      <c r="B96" s="57">
        <v>2.3313000000000001</v>
      </c>
      <c r="C96" s="57">
        <v>5.0572178578700004</v>
      </c>
      <c r="D96" s="57">
        <v>9.9835240858399992</v>
      </c>
      <c r="E96" s="57">
        <v>59.115498034280002</v>
      </c>
    </row>
    <row r="97" spans="1:5">
      <c r="A97" s="58" t="s">
        <v>278</v>
      </c>
      <c r="B97" s="56">
        <v>2.6505000000000001</v>
      </c>
      <c r="C97" s="56">
        <v>5.1500042173100002</v>
      </c>
      <c r="D97" s="56">
        <v>10.03950330791</v>
      </c>
      <c r="E97" s="56">
        <v>63.47069207042</v>
      </c>
    </row>
    <row r="98" spans="1:5">
      <c r="A98" s="59" t="s">
        <v>279</v>
      </c>
      <c r="B98" s="57">
        <v>2.2425000000000002</v>
      </c>
      <c r="C98" s="57">
        <v>4.6204722123900002</v>
      </c>
      <c r="D98" s="57">
        <v>10.05669681144</v>
      </c>
      <c r="E98" s="57">
        <v>56.010463863330003</v>
      </c>
    </row>
    <row r="99" spans="1:5">
      <c r="A99" s="58" t="s">
        <v>280</v>
      </c>
      <c r="B99" s="56">
        <v>2.0305</v>
      </c>
      <c r="C99" s="56">
        <v>3.6333843472699998</v>
      </c>
      <c r="D99" s="56">
        <v>9.8869500632699996</v>
      </c>
      <c r="E99" s="56">
        <v>48.628477917429997</v>
      </c>
    </row>
    <row r="100" spans="1:5">
      <c r="A100" s="59" t="s">
        <v>281</v>
      </c>
      <c r="B100" s="57">
        <v>1.9157999999999999</v>
      </c>
      <c r="C100" s="57">
        <v>2.9077736410599999</v>
      </c>
      <c r="D100" s="57">
        <v>9.8944305055299999</v>
      </c>
      <c r="E100" s="57">
        <v>43.791167729800001</v>
      </c>
    </row>
    <row r="101" spans="1:5">
      <c r="A101" s="58" t="s">
        <v>282</v>
      </c>
      <c r="B101" s="56">
        <v>1.7927</v>
      </c>
      <c r="C101" s="56">
        <v>2.7188683817500001</v>
      </c>
      <c r="D101" s="56">
        <v>10.21299199713</v>
      </c>
      <c r="E101" s="56">
        <v>41.614091657240003</v>
      </c>
    </row>
    <row r="102" spans="1:5">
      <c r="A102" s="59" t="s">
        <v>283</v>
      </c>
      <c r="B102" s="57">
        <v>1.7385999999999999</v>
      </c>
      <c r="C102" s="57">
        <v>2.1203186673199999</v>
      </c>
      <c r="D102" s="57">
        <v>10.00988126196</v>
      </c>
      <c r="E102" s="57">
        <v>37.97404004066</v>
      </c>
    </row>
    <row r="103" spans="1:5">
      <c r="A103" s="58" t="s">
        <v>284</v>
      </c>
      <c r="B103" s="56">
        <v>1.7524999999999999</v>
      </c>
      <c r="C103" s="56">
        <v>1.5751649779200001</v>
      </c>
      <c r="D103" s="56">
        <v>10.07552703066</v>
      </c>
      <c r="E103" s="56">
        <v>35.595661957700003</v>
      </c>
    </row>
    <row r="104" spans="1:5">
      <c r="A104" s="59" t="s">
        <v>285</v>
      </c>
      <c r="B104" s="57">
        <v>1.6128</v>
      </c>
      <c r="C104" s="57">
        <v>1.7521711121800001</v>
      </c>
      <c r="D104" s="57">
        <v>8.9708190918700002</v>
      </c>
      <c r="E104" s="57">
        <v>33.992281929710003</v>
      </c>
    </row>
    <row r="105" spans="1:5">
      <c r="A105" s="58" t="s">
        <v>286</v>
      </c>
      <c r="B105" s="56">
        <v>1.7352000000000001</v>
      </c>
      <c r="C105" s="56">
        <v>1.8010354964699999</v>
      </c>
      <c r="D105" s="56">
        <v>7.7864455010600002</v>
      </c>
      <c r="E105" s="56">
        <v>34.908524608450001</v>
      </c>
    </row>
    <row r="106" spans="1:5">
      <c r="A106" s="59" t="s">
        <v>287</v>
      </c>
      <c r="B106" s="57">
        <v>2.3016999999999999</v>
      </c>
      <c r="C106" s="57">
        <v>2.8618966767299998</v>
      </c>
      <c r="D106" s="57">
        <v>6.3435648953200001</v>
      </c>
      <c r="E106" s="57">
        <v>45.85350707672</v>
      </c>
    </row>
    <row r="107" spans="1:5">
      <c r="A107" s="58" t="s">
        <v>288</v>
      </c>
      <c r="B107" s="56">
        <v>1.9186000000000001</v>
      </c>
      <c r="C107" s="56">
        <v>3.9521394626699999</v>
      </c>
      <c r="D107" s="56">
        <v>5.8838474311300004</v>
      </c>
      <c r="E107" s="56">
        <v>46.072909128329997</v>
      </c>
    </row>
    <row r="108" spans="1:5">
      <c r="A108" s="59" t="s">
        <v>289</v>
      </c>
      <c r="B108" s="57">
        <v>2.2473000000000001</v>
      </c>
      <c r="C108" s="57">
        <v>4.8895904081600001</v>
      </c>
      <c r="D108" s="57">
        <v>6.1792051617599997</v>
      </c>
      <c r="E108" s="57">
        <v>54.721154852959998</v>
      </c>
    </row>
    <row r="109" spans="1:5">
      <c r="A109" s="58" t="s">
        <v>290</v>
      </c>
      <c r="B109" s="56">
        <v>2.5880999999999998</v>
      </c>
      <c r="C109" s="56">
        <v>4.8358390051600004</v>
      </c>
      <c r="D109" s="56">
        <v>6.8555053474400003</v>
      </c>
      <c r="E109" s="56">
        <v>59.062273054830001</v>
      </c>
    </row>
    <row r="110" spans="1:5">
      <c r="A110" s="59" t="s">
        <v>291</v>
      </c>
      <c r="B110" s="57">
        <v>2.5387</v>
      </c>
      <c r="C110" s="57">
        <v>5.8561062960400001</v>
      </c>
      <c r="D110" s="57">
        <v>7.6610025630500003</v>
      </c>
      <c r="E110" s="57">
        <v>63.858432563169998</v>
      </c>
    </row>
    <row r="111" spans="1:5">
      <c r="A111" s="58" t="s">
        <v>292</v>
      </c>
      <c r="B111" s="56">
        <v>2.6655000000000002</v>
      </c>
      <c r="C111" s="56">
        <v>7.2683017492999999</v>
      </c>
      <c r="D111" s="56">
        <v>9.0037875279499993</v>
      </c>
      <c r="E111" s="56">
        <v>73.021479326420007</v>
      </c>
    </row>
    <row r="112" spans="1:5">
      <c r="A112" s="59" t="s">
        <v>293</v>
      </c>
      <c r="B112" s="57">
        <v>5.0651000000000002</v>
      </c>
      <c r="C112" s="57">
        <v>6.1585071665199997</v>
      </c>
      <c r="D112" s="57">
        <v>9.8794278121599994</v>
      </c>
      <c r="E112" s="57">
        <v>97.478025425929999</v>
      </c>
    </row>
    <row r="113" spans="1:5">
      <c r="A113" s="58" t="s">
        <v>294</v>
      </c>
      <c r="B113" s="56">
        <v>2.5644999999999998</v>
      </c>
      <c r="C113" s="56">
        <v>6.1270695793499996</v>
      </c>
      <c r="D113" s="56">
        <v>7.8950515719499998</v>
      </c>
      <c r="E113" s="56">
        <v>65.618450373450003</v>
      </c>
    </row>
    <row r="114" spans="1:5">
      <c r="A114" s="59" t="s">
        <v>295</v>
      </c>
      <c r="B114" s="57">
        <v>2.61</v>
      </c>
      <c r="C114" s="57">
        <v>7.1468162880900001</v>
      </c>
      <c r="D114" s="57">
        <v>8.2767941960999991</v>
      </c>
      <c r="E114" s="57">
        <v>71.277449912950004</v>
      </c>
    </row>
    <row r="115" spans="1:5">
      <c r="A115" s="58" t="s">
        <v>296</v>
      </c>
      <c r="B115" s="56">
        <v>2.8883999999999999</v>
      </c>
      <c r="C115" s="56">
        <v>8.9087569243899996</v>
      </c>
      <c r="D115" s="56">
        <v>8.9156945129699992</v>
      </c>
      <c r="E115" s="56">
        <v>83.467233274210002</v>
      </c>
    </row>
    <row r="116" spans="1:5">
      <c r="A116" s="59" t="s">
        <v>297</v>
      </c>
      <c r="B116" s="57">
        <v>3.2317999999999998</v>
      </c>
      <c r="C116" s="57">
        <v>10.30105100564</v>
      </c>
      <c r="D116" s="57">
        <v>9.6160122963700001</v>
      </c>
      <c r="E116" s="57">
        <v>94.730656332630005</v>
      </c>
    </row>
    <row r="117" spans="1:5">
      <c r="A117" s="58" t="s">
        <v>298</v>
      </c>
      <c r="B117" s="56">
        <v>3.8035999999999999</v>
      </c>
      <c r="C117" s="56">
        <v>12.50994243239</v>
      </c>
      <c r="D117" s="56">
        <v>10.35918836698</v>
      </c>
      <c r="E117" s="56">
        <v>112.6787432485</v>
      </c>
    </row>
    <row r="118" spans="1:5">
      <c r="A118" s="59" t="s">
        <v>299</v>
      </c>
      <c r="B118" s="57">
        <v>4.0486000000000004</v>
      </c>
      <c r="C118" s="57">
        <v>15.42647593843</v>
      </c>
      <c r="D118" s="57">
        <v>10.80139654747</v>
      </c>
      <c r="E118" s="57">
        <v>129.81858281674999</v>
      </c>
    </row>
    <row r="119" spans="1:5">
      <c r="A119" s="58" t="s">
        <v>300</v>
      </c>
      <c r="B119" s="56">
        <v>5.1111000000000004</v>
      </c>
      <c r="C119" s="56">
        <v>22.840596077920001</v>
      </c>
      <c r="D119" s="56">
        <v>11.43899050402</v>
      </c>
      <c r="E119" s="56">
        <v>178.39940517491999</v>
      </c>
    </row>
    <row r="120" spans="1:5">
      <c r="A120" s="59" t="s">
        <v>301</v>
      </c>
      <c r="B120" s="57">
        <v>5.4779999999999998</v>
      </c>
      <c r="C120" s="57">
        <v>31.052466367539999</v>
      </c>
      <c r="D120" s="57">
        <v>12.3769153834</v>
      </c>
      <c r="E120" s="57">
        <v>222.52925190517001</v>
      </c>
    </row>
    <row r="121" spans="1:5">
      <c r="A121" s="58" t="s">
        <v>302</v>
      </c>
      <c r="B121" s="56">
        <v>5.0175999999999998</v>
      </c>
      <c r="C121" s="56">
        <v>27.623432007750001</v>
      </c>
      <c r="D121" s="56">
        <v>15.25400265088</v>
      </c>
      <c r="E121" s="56">
        <v>202.58611793577001</v>
      </c>
    </row>
    <row r="122" spans="1:5">
      <c r="A122" s="59" t="s">
        <v>303</v>
      </c>
      <c r="B122" s="57">
        <v>3.7326999999999999</v>
      </c>
      <c r="C122" s="57">
        <v>38.027119843180003</v>
      </c>
      <c r="D122" s="57">
        <v>15.322526915879999</v>
      </c>
      <c r="E122" s="57">
        <v>236.48836750686999</v>
      </c>
    </row>
    <row r="123" spans="1:5">
      <c r="A123" s="58" t="s">
        <v>304</v>
      </c>
      <c r="B123" s="56">
        <v>4.3324999999999996</v>
      </c>
      <c r="C123" s="56">
        <v>28.260673316550001</v>
      </c>
      <c r="D123" s="56">
        <v>14.68575980736</v>
      </c>
      <c r="E123" s="56">
        <v>196.91113953145</v>
      </c>
    </row>
    <row r="124" spans="1:5">
      <c r="A124" s="59" t="s">
        <v>305</v>
      </c>
      <c r="B124" s="57">
        <v>4.6577000000000002</v>
      </c>
      <c r="C124" s="57">
        <v>27.229715906700001</v>
      </c>
      <c r="D124" s="57">
        <v>16.995238319599999</v>
      </c>
      <c r="E124" s="57">
        <v>197.52367940190001</v>
      </c>
    </row>
    <row r="125" spans="1:5">
      <c r="A125" s="58" t="s">
        <v>306</v>
      </c>
      <c r="B125" s="56">
        <v>4.8838999999999997</v>
      </c>
      <c r="C125" s="56">
        <v>42.392970796119997</v>
      </c>
      <c r="D125" s="56">
        <v>15.11138495446</v>
      </c>
      <c r="E125" s="56">
        <v>271.07990593108002</v>
      </c>
    </row>
    <row r="126" spans="1:5">
      <c r="A126" s="59" t="s">
        <v>307</v>
      </c>
      <c r="B126" s="57">
        <v>6.5305999999999997</v>
      </c>
      <c r="C126" s="57">
        <v>32.204187228709998</v>
      </c>
      <c r="D126" s="57">
        <v>16.287523919009999</v>
      </c>
      <c r="E126" s="57">
        <v>243.43602963927</v>
      </c>
    </row>
    <row r="127" spans="1:5">
      <c r="A127" s="58" t="s">
        <v>308</v>
      </c>
      <c r="B127" s="56">
        <v>8.1372999999999998</v>
      </c>
      <c r="C127" s="56">
        <v>29.170722673810001</v>
      </c>
      <c r="D127" s="56">
        <v>16.679091287910001</v>
      </c>
      <c r="E127" s="56">
        <v>248.79106483488999</v>
      </c>
    </row>
    <row r="128" spans="1:5">
      <c r="A128" s="59" t="s">
        <v>309</v>
      </c>
      <c r="B128" s="57">
        <v>7.6740000000000004</v>
      </c>
      <c r="C128" s="57">
        <v>33.55773104275</v>
      </c>
      <c r="D128" s="57">
        <v>15.53392071335</v>
      </c>
      <c r="E128" s="57">
        <v>263.24491050026</v>
      </c>
    </row>
    <row r="129" spans="1:5">
      <c r="A129" s="58" t="s">
        <v>310</v>
      </c>
      <c r="B129" s="56">
        <v>7.2561</v>
      </c>
      <c r="C129" s="56">
        <v>51.330030472979999</v>
      </c>
      <c r="D129" s="56">
        <v>18.880754361280001</v>
      </c>
      <c r="E129" s="56">
        <v>344.92667574040001</v>
      </c>
    </row>
    <row r="130" spans="1:5">
      <c r="A130" s="59" t="s">
        <v>311</v>
      </c>
      <c r="B130" s="57">
        <v>8.7853999999999992</v>
      </c>
      <c r="C130" s="57">
        <v>70.043639803389993</v>
      </c>
      <c r="D130" s="57">
        <v>21.210847976659998</v>
      </c>
      <c r="E130" s="57">
        <v>454.04014274839</v>
      </c>
    </row>
    <row r="131" spans="1:5">
      <c r="A131" s="58" t="s">
        <v>312</v>
      </c>
      <c r="B131" s="56">
        <v>7.7629000000000001</v>
      </c>
      <c r="C131" s="56">
        <v>59.102622250380001</v>
      </c>
      <c r="D131" s="56">
        <v>23.733790735749999</v>
      </c>
      <c r="E131" s="56">
        <v>391.31952732705003</v>
      </c>
    </row>
    <row r="132" spans="1:5">
      <c r="A132" s="59" t="s">
        <v>313</v>
      </c>
      <c r="B132" s="57">
        <v>5.6195000000000004</v>
      </c>
      <c r="C132" s="57">
        <v>39.022049938450003</v>
      </c>
      <c r="D132" s="57">
        <v>21.84177616254</v>
      </c>
      <c r="E132" s="57">
        <v>268.54710666569002</v>
      </c>
    </row>
    <row r="133" spans="1:5">
      <c r="A133" s="58" t="s">
        <v>314</v>
      </c>
      <c r="B133" s="56">
        <v>5.2769000000000004</v>
      </c>
      <c r="C133" s="56">
        <v>35.72328224044</v>
      </c>
      <c r="D133" s="56">
        <v>19.586267422630002</v>
      </c>
      <c r="E133" s="56">
        <v>247.17644268952</v>
      </c>
    </row>
    <row r="134" spans="1:5">
      <c r="A134" s="59" t="s">
        <v>315</v>
      </c>
      <c r="B134" s="57">
        <v>5.5030000000000001</v>
      </c>
      <c r="C134" s="57">
        <v>36.044260036140003</v>
      </c>
      <c r="D134" s="57">
        <v>20.576742402939999</v>
      </c>
      <c r="E134" s="57">
        <v>252.11901984184999</v>
      </c>
    </row>
    <row r="135" spans="1:5">
      <c r="A135" s="58" t="s">
        <v>316</v>
      </c>
      <c r="B135" s="56">
        <v>3.2728000000000002</v>
      </c>
      <c r="C135" s="56">
        <v>20.183970921349999</v>
      </c>
      <c r="D135" s="56">
        <v>20.19478822332</v>
      </c>
      <c r="E135" s="56">
        <v>149.37872119292999</v>
      </c>
    </row>
    <row r="136" spans="1:5">
      <c r="A136" s="59" t="s">
        <v>317</v>
      </c>
      <c r="B136" s="57">
        <v>2.3835999999999999</v>
      </c>
      <c r="C136" s="57">
        <v>16.537137278909999</v>
      </c>
      <c r="D136" s="57">
        <v>18.415329793600002</v>
      </c>
      <c r="E136" s="57">
        <v>120.03831493101001</v>
      </c>
    </row>
    <row r="137" spans="1:5">
      <c r="A137" s="58" t="s">
        <v>318</v>
      </c>
      <c r="B137" s="56">
        <v>2.3048999999999999</v>
      </c>
      <c r="C137" s="56">
        <v>13.812076862290001</v>
      </c>
      <c r="D137" s="56">
        <v>16.033125947769999</v>
      </c>
      <c r="E137" s="56">
        <v>104.51384047273</v>
      </c>
    </row>
    <row r="138" spans="1:5">
      <c r="A138" s="59" t="s">
        <v>319</v>
      </c>
      <c r="B138" s="57">
        <v>2.1610999999999998</v>
      </c>
      <c r="C138" s="57">
        <v>13.52052961513</v>
      </c>
      <c r="D138" s="57">
        <v>14.366062552300001</v>
      </c>
      <c r="E138" s="57">
        <v>100.25219027939001</v>
      </c>
    </row>
    <row r="139" spans="1:5">
      <c r="A139" s="58" t="s">
        <v>320</v>
      </c>
      <c r="B139" s="56">
        <v>2.1463999999999999</v>
      </c>
      <c r="C139" s="56">
        <v>10.10875599841</v>
      </c>
      <c r="D139" s="56">
        <v>13.4302962772</v>
      </c>
      <c r="E139" s="56">
        <v>83.220229002829996</v>
      </c>
    </row>
    <row r="140" spans="1:5">
      <c r="A140" s="59" t="s">
        <v>321</v>
      </c>
      <c r="B140" s="57">
        <v>2.1833999999999998</v>
      </c>
      <c r="C140" s="57">
        <v>10.35062473915</v>
      </c>
      <c r="D140" s="57">
        <v>13.17</v>
      </c>
      <c r="E140" s="57">
        <v>84.643021929059998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Historical Price_Methanol </vt:lpstr>
      <vt:lpstr>Hist_Weighted Average Price </vt:lpstr>
      <vt:lpstr>Sheet7</vt:lpstr>
      <vt:lpstr>Nat_Gas World Bank Forec</vt:lpstr>
      <vt:lpstr>Country Demand</vt:lpstr>
      <vt:lpstr>Nominal Price_Methanol</vt:lpstr>
      <vt:lpstr>Sheet4</vt:lpstr>
      <vt:lpstr>Natural Gas Forecast Price</vt:lpstr>
      <vt:lpstr>World Bank Data Natural gas </vt:lpstr>
      <vt:lpstr>Sheet6</vt:lpstr>
      <vt:lpstr>Sheet5</vt:lpstr>
      <vt:lpstr>ALFRED Graph</vt:lpstr>
      <vt:lpstr>Feedstock Price_Crude Oil</vt:lpstr>
      <vt:lpstr>Feedstock Price_Natural Gas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Sharma</dc:creator>
  <cp:lastModifiedBy>Hardik Malhotra</cp:lastModifiedBy>
  <dcterms:created xsi:type="dcterms:W3CDTF">2023-06-14T05:58:37Z</dcterms:created>
  <dcterms:modified xsi:type="dcterms:W3CDTF">2023-08-02T06:31:14Z</dcterms:modified>
</cp:coreProperties>
</file>