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501"/>
  <workbookPr/>
  <mc:AlternateContent xmlns:mc="http://schemas.openxmlformats.org/markup-compatibility/2006">
    <mc:Choice Requires="x15">
      <x15ac:absPath xmlns:x15ac="http://schemas.microsoft.com/office/spreadsheetml/2010/11/ac" url="C:\Users\hardik.malhotra\Desktop\Desktop Data\Global Methanol - Russia\"/>
    </mc:Choice>
  </mc:AlternateContent>
  <xr:revisionPtr revIDLastSave="0" documentId="8_{FDC8C5F3-0016-4052-B46C-8634587E1DF4}" xr6:coauthVersionLast="47" xr6:coauthVersionMax="47" xr10:uidLastSave="{00000000-0000-0000-0000-000000000000}"/>
  <bookViews>
    <workbookView xWindow="-120" yWindow="-120" windowWidth="20730" windowHeight="11160" firstSheet="3" activeTab="3" xr2:uid="{00000000-000D-0000-FFFF-FFFF00000000}"/>
  </bookViews>
  <sheets>
    <sheet name="Sheet1" sheetId="1" r:id="rId1"/>
    <sheet name="Methanex" sheetId="4" r:id="rId2"/>
    <sheet name="Sheet2" sheetId="2" r:id="rId3"/>
    <sheet name="Capacity By Location" sheetId="6" r:id="rId4"/>
    <sheet name="Capacity By Company" sheetId="10" r:id="rId5"/>
    <sheet name="Production By Company" sheetId="11" r:id="rId6"/>
    <sheet name="Operating Efficiency" sheetId="12" r:id="rId7"/>
    <sheet name="Demand Supply gap" sheetId="13" r:id="rId8"/>
    <sheet name="Pricing" sheetId="19" r:id="rId9"/>
    <sheet name="Demand By End Use" sheetId="15" r:id="rId10"/>
    <sheet name="Demand By Region" sheetId="16" r:id="rId11"/>
    <sheet name="Demand By Sales Channel" sheetId="17" r:id="rId12"/>
    <sheet name="Demand By Company Share" sheetId="18" r:id="rId13"/>
    <sheet name="Trade" sheetId="7" r:id="rId14"/>
    <sheet name="Sheet3" sheetId="14" r:id="rId15"/>
    <sheet name="Import" sheetId="9" r:id="rId16"/>
    <sheet name="Export" sheetId="8" r:id="rId17"/>
    <sheet name="Snapshot" sheetId="3" r:id="rId18"/>
    <sheet name="Sheet5" sheetId="5" r:id="rId19"/>
  </sheets>
  <definedNames>
    <definedName name="_xlnm._FilterDatabase" localSheetId="3" hidden="1">'Capacity By Location'!$A$1:$V$97</definedName>
    <definedName name="_xlnm._FilterDatabase" localSheetId="6" hidden="1">'Operating Efficiency'!$A$1:$W$84</definedName>
    <definedName name="_xlnm._FilterDatabase" localSheetId="2" hidden="1">Sheet2!$A$1:$X$96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N101" i="6" l="1"/>
  <c r="N104" i="6"/>
  <c r="N102" i="6"/>
  <c r="L101" i="6"/>
  <c r="L102" i="6"/>
  <c r="L103" i="6"/>
  <c r="L104" i="6"/>
  <c r="L105" i="6"/>
  <c r="L100" i="6"/>
  <c r="N79" i="12"/>
  <c r="O79" i="12"/>
  <c r="P79" i="12"/>
  <c r="Q79" i="12"/>
  <c r="R79" i="12"/>
  <c r="S79" i="12"/>
  <c r="T79" i="12"/>
  <c r="U79" i="12"/>
  <c r="V79" i="12"/>
  <c r="W79" i="12"/>
  <c r="M79" i="12"/>
  <c r="C79" i="12"/>
  <c r="D79" i="12"/>
  <c r="E79" i="12"/>
  <c r="F79" i="12"/>
  <c r="G79" i="12"/>
  <c r="H79" i="12"/>
  <c r="B79" i="12"/>
  <c r="N79" i="10"/>
  <c r="O79" i="10"/>
  <c r="P79" i="10"/>
  <c r="Q79" i="10"/>
  <c r="R79" i="10"/>
  <c r="S79" i="10"/>
  <c r="T79" i="10"/>
  <c r="U79" i="10"/>
  <c r="V79" i="10"/>
  <c r="W79" i="10"/>
  <c r="N80" i="10"/>
  <c r="O80" i="10"/>
  <c r="P80" i="10"/>
  <c r="Q80" i="10"/>
  <c r="R80" i="10"/>
  <c r="S80" i="10"/>
  <c r="T80" i="10"/>
  <c r="U80" i="10"/>
  <c r="V80" i="10"/>
  <c r="W80" i="10"/>
  <c r="N81" i="10"/>
  <c r="O81" i="10"/>
  <c r="P81" i="10"/>
  <c r="Q81" i="10"/>
  <c r="R81" i="10"/>
  <c r="S81" i="10"/>
  <c r="T81" i="10"/>
  <c r="U81" i="10"/>
  <c r="V81" i="10"/>
  <c r="W81" i="10"/>
  <c r="N82" i="10"/>
  <c r="O82" i="10"/>
  <c r="P82" i="10"/>
  <c r="Q82" i="10"/>
  <c r="R82" i="10"/>
  <c r="S82" i="10"/>
  <c r="T82" i="10"/>
  <c r="U82" i="10"/>
  <c r="V82" i="10"/>
  <c r="W82" i="10"/>
  <c r="M82" i="10"/>
  <c r="M80" i="10"/>
  <c r="M81" i="10"/>
  <c r="M79" i="10"/>
  <c r="B79" i="10"/>
  <c r="C79" i="10"/>
  <c r="D79" i="10"/>
  <c r="E79" i="10"/>
  <c r="F79" i="10"/>
  <c r="G79" i="10"/>
  <c r="H79" i="10"/>
  <c r="B80" i="10"/>
  <c r="C80" i="10"/>
  <c r="D80" i="10"/>
  <c r="E80" i="10"/>
  <c r="F80" i="10"/>
  <c r="G80" i="10"/>
  <c r="H80" i="10"/>
  <c r="B81" i="10"/>
  <c r="C81" i="10"/>
  <c r="D81" i="10"/>
  <c r="E81" i="10"/>
  <c r="F81" i="10"/>
  <c r="G81" i="10"/>
  <c r="H81" i="10"/>
  <c r="B82" i="10"/>
  <c r="C82" i="10"/>
  <c r="D82" i="10"/>
  <c r="E82" i="10"/>
  <c r="F82" i="10"/>
  <c r="G82" i="10"/>
  <c r="H82" i="10"/>
  <c r="A82" i="10"/>
  <c r="A80" i="10"/>
  <c r="A81" i="10"/>
  <c r="A79" i="10"/>
  <c r="M4" i="10"/>
  <c r="C4" i="10"/>
  <c r="D4" i="10"/>
  <c r="E4" i="10"/>
  <c r="F4" i="10"/>
  <c r="G4" i="10"/>
  <c r="H4" i="10"/>
  <c r="B4" i="10"/>
  <c r="L97" i="6"/>
  <c r="M4" i="6"/>
  <c r="N4" i="10" s="1"/>
  <c r="N4" i="6"/>
  <c r="O4" i="10" s="1"/>
  <c r="O4" i="6"/>
  <c r="P4" i="10" s="1"/>
  <c r="K16" i="13"/>
  <c r="L16" i="13" s="1"/>
  <c r="M16" i="13" s="1"/>
  <c r="N16" i="13" s="1"/>
  <c r="O16" i="13" s="1"/>
  <c r="P16" i="13" s="1"/>
  <c r="Q16" i="13" s="1"/>
  <c r="R16" i="13" s="1"/>
  <c r="S16" i="13" s="1"/>
  <c r="J16" i="13"/>
  <c r="C16" i="13"/>
  <c r="D16" i="13"/>
  <c r="E16" i="13"/>
  <c r="F16" i="13"/>
  <c r="G16" i="13"/>
  <c r="H16" i="13"/>
  <c r="I16" i="13"/>
  <c r="B16" i="13"/>
  <c r="R3" i="19"/>
  <c r="R4" i="19"/>
  <c r="R5" i="19"/>
  <c r="R6" i="19"/>
  <c r="R7" i="19"/>
  <c r="R8" i="19"/>
  <c r="R9" i="19"/>
  <c r="R2" i="19"/>
  <c r="K8" i="19"/>
  <c r="J8" i="19"/>
  <c r="I8" i="19"/>
  <c r="K3" i="19"/>
  <c r="K4" i="19"/>
  <c r="K5" i="19"/>
  <c r="K6" i="19"/>
  <c r="K7" i="19"/>
  <c r="K2" i="19"/>
  <c r="J7" i="19"/>
  <c r="J3" i="19"/>
  <c r="J4" i="19"/>
  <c r="J5" i="19"/>
  <c r="J6" i="19"/>
  <c r="J2" i="19"/>
  <c r="I3" i="19"/>
  <c r="I4" i="19"/>
  <c r="I5" i="19"/>
  <c r="I6" i="19"/>
  <c r="I7" i="19"/>
  <c r="I2" i="19"/>
  <c r="H3" i="19"/>
  <c r="H4" i="19"/>
  <c r="H5" i="19"/>
  <c r="H6" i="19"/>
  <c r="H7" i="19"/>
  <c r="H8" i="19"/>
  <c r="H2" i="19"/>
  <c r="J20" i="15"/>
  <c r="K20" i="15"/>
  <c r="L20" i="15"/>
  <c r="M20" i="15"/>
  <c r="J21" i="15"/>
  <c r="K21" i="15"/>
  <c r="L21" i="15"/>
  <c r="M21" i="15"/>
  <c r="J22" i="15"/>
  <c r="K22" i="15"/>
  <c r="L22" i="15"/>
  <c r="M22" i="15"/>
  <c r="J23" i="15"/>
  <c r="K23" i="15"/>
  <c r="L23" i="15"/>
  <c r="M23" i="15"/>
  <c r="K19" i="15"/>
  <c r="L19" i="15"/>
  <c r="M19" i="15"/>
  <c r="J19" i="15"/>
  <c r="M3" i="15"/>
  <c r="M4" i="15"/>
  <c r="M5" i="15"/>
  <c r="M6" i="15"/>
  <c r="M2" i="15"/>
  <c r="E82" i="11" l="1"/>
  <c r="P79" i="11"/>
  <c r="J79" i="10"/>
  <c r="J79" i="11" s="1"/>
  <c r="B79" i="11"/>
  <c r="H79" i="11"/>
  <c r="G81" i="11"/>
  <c r="A81" i="11"/>
  <c r="A81" i="12" s="1"/>
  <c r="T79" i="11"/>
  <c r="D79" i="11"/>
  <c r="C81" i="11"/>
  <c r="J81" i="10"/>
  <c r="J81" i="11" s="1"/>
  <c r="J82" i="10"/>
  <c r="J82" i="11" s="1"/>
  <c r="Q79" i="11"/>
  <c r="M82" i="11"/>
  <c r="E80" i="11"/>
  <c r="W81" i="11"/>
  <c r="O81" i="11"/>
  <c r="Q80" i="11"/>
  <c r="M80" i="11"/>
  <c r="I82" i="10"/>
  <c r="I82" i="11" s="1"/>
  <c r="I81" i="10"/>
  <c r="I81" i="11" s="1"/>
  <c r="I80" i="10"/>
  <c r="I80" i="11" s="1"/>
  <c r="I79" i="10"/>
  <c r="I79" i="11" s="1"/>
  <c r="A80" i="11"/>
  <c r="A80" i="12" s="1"/>
  <c r="W79" i="11"/>
  <c r="S79" i="11"/>
  <c r="O79" i="11"/>
  <c r="G79" i="11"/>
  <c r="C79" i="11"/>
  <c r="T82" i="11"/>
  <c r="P82" i="11"/>
  <c r="H82" i="11"/>
  <c r="D82" i="11"/>
  <c r="V81" i="11"/>
  <c r="R81" i="11"/>
  <c r="N81" i="11"/>
  <c r="F81" i="11"/>
  <c r="B81" i="11"/>
  <c r="T80" i="11"/>
  <c r="P80" i="11"/>
  <c r="H80" i="11"/>
  <c r="D80" i="11"/>
  <c r="J80" i="10"/>
  <c r="J80" i="11" s="1"/>
  <c r="U82" i="11"/>
  <c r="Q82" i="11"/>
  <c r="S81" i="11"/>
  <c r="U80" i="11"/>
  <c r="L82" i="10"/>
  <c r="L82" i="11" s="1"/>
  <c r="L81" i="10"/>
  <c r="L81" i="11" s="1"/>
  <c r="L80" i="10"/>
  <c r="L80" i="11" s="1"/>
  <c r="L79" i="10"/>
  <c r="L79" i="11" s="1"/>
  <c r="A79" i="11"/>
  <c r="A79" i="12" s="1"/>
  <c r="V79" i="11"/>
  <c r="R79" i="11"/>
  <c r="N79" i="11"/>
  <c r="F79" i="11"/>
  <c r="W82" i="11"/>
  <c r="S82" i="11"/>
  <c r="O82" i="11"/>
  <c r="G82" i="11"/>
  <c r="C82" i="11"/>
  <c r="U81" i="11"/>
  <c r="Q81" i="11"/>
  <c r="M81" i="11"/>
  <c r="C7" i="18" s="1"/>
  <c r="E81" i="11"/>
  <c r="W80" i="11"/>
  <c r="S80" i="11"/>
  <c r="O80" i="11"/>
  <c r="G80" i="11"/>
  <c r="C80" i="11"/>
  <c r="K82" i="10"/>
  <c r="K82" i="11" s="1"/>
  <c r="K81" i="10"/>
  <c r="K81" i="11" s="1"/>
  <c r="K80" i="10"/>
  <c r="K80" i="11" s="1"/>
  <c r="K79" i="10"/>
  <c r="K79" i="11" s="1"/>
  <c r="A82" i="11"/>
  <c r="A82" i="12" s="1"/>
  <c r="U79" i="11"/>
  <c r="M79" i="11"/>
  <c r="E79" i="11"/>
  <c r="V82" i="11"/>
  <c r="R82" i="11"/>
  <c r="N82" i="11"/>
  <c r="F82" i="11"/>
  <c r="B82" i="11"/>
  <c r="T81" i="11"/>
  <c r="P81" i="11"/>
  <c r="H81" i="11"/>
  <c r="B7" i="18" s="1"/>
  <c r="D81" i="11"/>
  <c r="V80" i="11"/>
  <c r="R80" i="11"/>
  <c r="N80" i="11"/>
  <c r="F80" i="11"/>
  <c r="B80" i="11"/>
  <c r="M97" i="6"/>
  <c r="N97" i="6"/>
  <c r="O97" i="6"/>
  <c r="I3" i="11"/>
  <c r="J3" i="11"/>
  <c r="I2" i="17" l="1"/>
  <c r="C23" i="16"/>
  <c r="D23" i="16"/>
  <c r="E23" i="16"/>
  <c r="F23" i="16"/>
  <c r="G23" i="16"/>
  <c r="H23" i="16"/>
  <c r="I23" i="16"/>
  <c r="I27" i="16" s="1"/>
  <c r="J23" i="16"/>
  <c r="K23" i="16"/>
  <c r="L23" i="16"/>
  <c r="M23" i="16"/>
  <c r="N23" i="16"/>
  <c r="O23" i="16"/>
  <c r="P23" i="16"/>
  <c r="Q23" i="16"/>
  <c r="R23" i="16"/>
  <c r="S23" i="16"/>
  <c r="C24" i="16"/>
  <c r="C27" i="16" s="1"/>
  <c r="D24" i="16"/>
  <c r="D27" i="16" s="1"/>
  <c r="E24" i="16"/>
  <c r="E27" i="16" s="1"/>
  <c r="F24" i="16"/>
  <c r="G24" i="16"/>
  <c r="G27" i="16" s="1"/>
  <c r="H24" i="16"/>
  <c r="H27" i="16" s="1"/>
  <c r="I24" i="16"/>
  <c r="J24" i="16"/>
  <c r="K24" i="16"/>
  <c r="K27" i="16" s="1"/>
  <c r="L24" i="16"/>
  <c r="L27" i="16" s="1"/>
  <c r="M24" i="16"/>
  <c r="M27" i="16" s="1"/>
  <c r="N24" i="16"/>
  <c r="O24" i="16"/>
  <c r="O27" i="16" s="1"/>
  <c r="P24" i="16"/>
  <c r="P27" i="16" s="1"/>
  <c r="Q24" i="16"/>
  <c r="Q27" i="16" s="1"/>
  <c r="R24" i="16"/>
  <c r="S24" i="16"/>
  <c r="S27" i="16" s="1"/>
  <c r="C25" i="16"/>
  <c r="D25" i="16"/>
  <c r="E25" i="16"/>
  <c r="F25" i="16"/>
  <c r="G25" i="16"/>
  <c r="H25" i="16"/>
  <c r="I25" i="16"/>
  <c r="J25" i="16"/>
  <c r="K25" i="16"/>
  <c r="L25" i="16"/>
  <c r="M25" i="16"/>
  <c r="N25" i="16"/>
  <c r="O25" i="16"/>
  <c r="P25" i="16"/>
  <c r="Q25" i="16"/>
  <c r="R25" i="16"/>
  <c r="S25" i="16"/>
  <c r="C26" i="16"/>
  <c r="D26" i="16"/>
  <c r="E26" i="16"/>
  <c r="F26" i="16"/>
  <c r="G26" i="16"/>
  <c r="H26" i="16"/>
  <c r="I26" i="16"/>
  <c r="J26" i="16"/>
  <c r="K26" i="16"/>
  <c r="L26" i="16"/>
  <c r="M26" i="16"/>
  <c r="N26" i="16"/>
  <c r="O26" i="16"/>
  <c r="P26" i="16"/>
  <c r="Q26" i="16"/>
  <c r="R26" i="16"/>
  <c r="S26" i="16"/>
  <c r="F27" i="16"/>
  <c r="J27" i="16"/>
  <c r="N27" i="16"/>
  <c r="R27" i="16"/>
  <c r="B23" i="16"/>
  <c r="B27" i="16" s="1"/>
  <c r="B26" i="16"/>
  <c r="B25" i="16"/>
  <c r="B24" i="16"/>
  <c r="S6" i="16"/>
  <c r="R6" i="16"/>
  <c r="Q6" i="16"/>
  <c r="P6" i="16"/>
  <c r="O6" i="16"/>
  <c r="N6" i="16"/>
  <c r="M6" i="16"/>
  <c r="L6" i="16"/>
  <c r="K6" i="16"/>
  <c r="J6" i="16"/>
  <c r="I6" i="16"/>
  <c r="H6" i="16"/>
  <c r="G6" i="16"/>
  <c r="F6" i="16"/>
  <c r="E6" i="16"/>
  <c r="D6" i="16"/>
  <c r="C6" i="16"/>
  <c r="B6" i="16"/>
  <c r="D19" i="15"/>
  <c r="E19" i="15"/>
  <c r="F19" i="15"/>
  <c r="G19" i="15"/>
  <c r="H19" i="15"/>
  <c r="I19" i="15"/>
  <c r="N19" i="15"/>
  <c r="O19" i="15"/>
  <c r="O23" i="15" s="1"/>
  <c r="P19" i="15"/>
  <c r="Q19" i="15"/>
  <c r="R19" i="15"/>
  <c r="S19" i="15"/>
  <c r="T19" i="15"/>
  <c r="U19" i="15"/>
  <c r="V19" i="15"/>
  <c r="W19" i="15"/>
  <c r="X19" i="15"/>
  <c r="D20" i="15"/>
  <c r="E20" i="15"/>
  <c r="F20" i="15"/>
  <c r="G20" i="15"/>
  <c r="H20" i="15"/>
  <c r="I20" i="15"/>
  <c r="N20" i="15"/>
  <c r="O20" i="15"/>
  <c r="P20" i="15"/>
  <c r="Q20" i="15"/>
  <c r="R20" i="15"/>
  <c r="S20" i="15"/>
  <c r="T20" i="15"/>
  <c r="U20" i="15"/>
  <c r="V20" i="15"/>
  <c r="W20" i="15"/>
  <c r="X20" i="15"/>
  <c r="D21" i="15"/>
  <c r="E21" i="15"/>
  <c r="F21" i="15"/>
  <c r="G21" i="15"/>
  <c r="H21" i="15"/>
  <c r="I21" i="15"/>
  <c r="N21" i="15"/>
  <c r="O21" i="15"/>
  <c r="P21" i="15"/>
  <c r="Q21" i="15"/>
  <c r="R21" i="15"/>
  <c r="S21" i="15"/>
  <c r="T21" i="15"/>
  <c r="U21" i="15"/>
  <c r="V21" i="15"/>
  <c r="W21" i="15"/>
  <c r="X21" i="15"/>
  <c r="D22" i="15"/>
  <c r="E22" i="15"/>
  <c r="F22" i="15"/>
  <c r="G22" i="15"/>
  <c r="H22" i="15"/>
  <c r="I22" i="15"/>
  <c r="N22" i="15"/>
  <c r="O22" i="15"/>
  <c r="P22" i="15"/>
  <c r="Q22" i="15"/>
  <c r="R22" i="15"/>
  <c r="S22" i="15"/>
  <c r="T22" i="15"/>
  <c r="U22" i="15"/>
  <c r="V22" i="15"/>
  <c r="W22" i="15"/>
  <c r="X22" i="15"/>
  <c r="C22" i="15"/>
  <c r="C21" i="15"/>
  <c r="C20" i="15"/>
  <c r="C19" i="15"/>
  <c r="D6" i="15"/>
  <c r="E6" i="15"/>
  <c r="F6" i="15"/>
  <c r="G6" i="15"/>
  <c r="H6" i="15"/>
  <c r="I6" i="15"/>
  <c r="N6" i="15"/>
  <c r="O6" i="15"/>
  <c r="P6" i="15"/>
  <c r="Q6" i="15"/>
  <c r="R6" i="15"/>
  <c r="S6" i="15"/>
  <c r="T6" i="15"/>
  <c r="U6" i="15"/>
  <c r="V6" i="15"/>
  <c r="W6" i="15"/>
  <c r="X6" i="15"/>
  <c r="C6" i="15"/>
  <c r="S23" i="15" l="1"/>
  <c r="T23" i="15"/>
  <c r="P23" i="15"/>
  <c r="H23" i="15"/>
  <c r="D23" i="15"/>
  <c r="X23" i="15"/>
  <c r="C23" i="15"/>
  <c r="G23" i="15"/>
  <c r="W23" i="15"/>
  <c r="V23" i="15"/>
  <c r="R23" i="15"/>
  <c r="N23" i="15"/>
  <c r="F23" i="15"/>
  <c r="U23" i="15"/>
  <c r="Q23" i="15"/>
  <c r="I23" i="15"/>
  <c r="E23" i="15"/>
  <c r="F6" i="13" l="1"/>
  <c r="C5" i="13"/>
  <c r="C6" i="13" s="1"/>
  <c r="D5" i="13"/>
  <c r="D6" i="13" s="1"/>
  <c r="E5" i="13"/>
  <c r="E6" i="13" s="1"/>
  <c r="F5" i="13"/>
  <c r="G5" i="13"/>
  <c r="G6" i="13" s="1"/>
  <c r="H5" i="13"/>
  <c r="H6" i="13" s="1"/>
  <c r="B5" i="13"/>
  <c r="B6" i="13" s="1"/>
  <c r="A84" i="12" l="1"/>
  <c r="A83" i="12"/>
  <c r="A78" i="12"/>
  <c r="A77" i="12"/>
  <c r="A76" i="12"/>
  <c r="A75" i="12"/>
  <c r="A74" i="12"/>
  <c r="A73" i="12"/>
  <c r="A72" i="12"/>
  <c r="A71" i="12"/>
  <c r="A70" i="12"/>
  <c r="A69" i="12"/>
  <c r="F68" i="12"/>
  <c r="E68" i="12"/>
  <c r="D68" i="12"/>
  <c r="C68" i="12"/>
  <c r="B68" i="12"/>
  <c r="A68" i="12"/>
  <c r="A67" i="12"/>
  <c r="A66" i="12"/>
  <c r="A65" i="12"/>
  <c r="A64" i="12"/>
  <c r="A63" i="12"/>
  <c r="A62" i="12"/>
  <c r="A61" i="12"/>
  <c r="A60" i="12"/>
  <c r="A59" i="12"/>
  <c r="A58" i="12"/>
  <c r="A57" i="12"/>
  <c r="A56" i="12"/>
  <c r="A55" i="12"/>
  <c r="A54" i="12"/>
  <c r="A53" i="12"/>
  <c r="A52" i="12"/>
  <c r="A51" i="12"/>
  <c r="A50" i="12"/>
  <c r="A49" i="12"/>
  <c r="A48" i="12"/>
  <c r="A47" i="12"/>
  <c r="A46" i="12"/>
  <c r="A45" i="12"/>
  <c r="A44" i="12"/>
  <c r="A43" i="12"/>
  <c r="A42" i="12"/>
  <c r="A41" i="12"/>
  <c r="A40" i="12"/>
  <c r="A39" i="12"/>
  <c r="A38" i="12"/>
  <c r="A37" i="12"/>
  <c r="A36" i="12"/>
  <c r="A35" i="12"/>
  <c r="A34" i="12"/>
  <c r="A33" i="12"/>
  <c r="A32" i="12"/>
  <c r="A31" i="12"/>
  <c r="A30" i="12"/>
  <c r="A29" i="12"/>
  <c r="A28" i="12"/>
  <c r="A27" i="12"/>
  <c r="A26" i="12"/>
  <c r="A25" i="12"/>
  <c r="A24" i="12"/>
  <c r="A23" i="12"/>
  <c r="A22" i="12"/>
  <c r="D21" i="12"/>
  <c r="C21" i="12"/>
  <c r="B21" i="12"/>
  <c r="A21" i="12"/>
  <c r="A20" i="12"/>
  <c r="A19" i="12"/>
  <c r="A18" i="12"/>
  <c r="A17" i="12"/>
  <c r="A16" i="12"/>
  <c r="A15" i="12"/>
  <c r="A14" i="12"/>
  <c r="A13" i="12"/>
  <c r="A12" i="12"/>
  <c r="D11" i="12"/>
  <c r="C11" i="12"/>
  <c r="B11" i="12"/>
  <c r="A11" i="12"/>
  <c r="A10" i="12"/>
  <c r="M9" i="12"/>
  <c r="H9" i="12"/>
  <c r="G9" i="12"/>
  <c r="F9" i="12"/>
  <c r="E9" i="12"/>
  <c r="D9" i="12"/>
  <c r="C9" i="12"/>
  <c r="B9" i="12"/>
  <c r="A9" i="12"/>
  <c r="D8" i="12"/>
  <c r="C8" i="12"/>
  <c r="B8" i="12"/>
  <c r="A8" i="12"/>
  <c r="A7" i="12"/>
  <c r="A5" i="12"/>
  <c r="A4" i="12"/>
  <c r="H3" i="12"/>
  <c r="G3" i="12"/>
  <c r="F3" i="12"/>
  <c r="E3" i="12"/>
  <c r="D3" i="12"/>
  <c r="C3" i="12"/>
  <c r="B3" i="12"/>
  <c r="A3" i="12"/>
  <c r="A2" i="12"/>
  <c r="U1" i="12"/>
  <c r="T1" i="12"/>
  <c r="S1" i="12"/>
  <c r="R1" i="12"/>
  <c r="Q1" i="12"/>
  <c r="P1" i="12"/>
  <c r="O1" i="12"/>
  <c r="N1" i="12"/>
  <c r="M1" i="12"/>
  <c r="H1" i="12"/>
  <c r="G1" i="12"/>
  <c r="F1" i="12"/>
  <c r="E1" i="12"/>
  <c r="D1" i="12"/>
  <c r="C1" i="12"/>
  <c r="B1" i="12"/>
  <c r="A1" i="12"/>
  <c r="A84" i="11"/>
  <c r="A83" i="11"/>
  <c r="A78" i="11"/>
  <c r="A77" i="11"/>
  <c r="A76" i="11"/>
  <c r="A75" i="11"/>
  <c r="A74" i="11"/>
  <c r="A73" i="11"/>
  <c r="A72" i="11"/>
  <c r="A71" i="11"/>
  <c r="A70" i="11"/>
  <c r="A69" i="11"/>
  <c r="A68" i="11"/>
  <c r="A67" i="11"/>
  <c r="A66" i="11"/>
  <c r="A65" i="11"/>
  <c r="A64" i="11"/>
  <c r="A63" i="11"/>
  <c r="A62" i="11"/>
  <c r="A61" i="11"/>
  <c r="A60" i="11"/>
  <c r="A59" i="11"/>
  <c r="A58" i="11"/>
  <c r="A57" i="11"/>
  <c r="A56" i="11"/>
  <c r="A55" i="11"/>
  <c r="A54" i="11"/>
  <c r="A53" i="11"/>
  <c r="A52" i="11"/>
  <c r="A51" i="11"/>
  <c r="A50" i="11"/>
  <c r="A49" i="11"/>
  <c r="A48" i="11"/>
  <c r="A47" i="11"/>
  <c r="A46" i="11"/>
  <c r="A45" i="11"/>
  <c r="A44" i="11"/>
  <c r="A43" i="11"/>
  <c r="A42" i="11"/>
  <c r="A41" i="11"/>
  <c r="A40" i="11"/>
  <c r="A39" i="11"/>
  <c r="A38" i="11"/>
  <c r="A37" i="11"/>
  <c r="A36" i="11"/>
  <c r="A35" i="11"/>
  <c r="A34" i="11"/>
  <c r="A33" i="11"/>
  <c r="A32" i="11"/>
  <c r="A31" i="11"/>
  <c r="A30" i="11"/>
  <c r="A29" i="11"/>
  <c r="A28" i="11"/>
  <c r="A27" i="11"/>
  <c r="A26" i="11"/>
  <c r="A25" i="11"/>
  <c r="A24" i="11"/>
  <c r="A23" i="11"/>
  <c r="A22" i="11"/>
  <c r="A21" i="11"/>
  <c r="A20" i="11"/>
  <c r="A19" i="11"/>
  <c r="A18" i="11"/>
  <c r="A17" i="11"/>
  <c r="A16" i="11"/>
  <c r="A15" i="11"/>
  <c r="A14" i="11"/>
  <c r="A13" i="11"/>
  <c r="A12" i="11"/>
  <c r="A11" i="11"/>
  <c r="A10" i="11"/>
  <c r="A9" i="11"/>
  <c r="A8" i="11"/>
  <c r="A7" i="11"/>
  <c r="A5" i="11"/>
  <c r="A4" i="11"/>
  <c r="A3" i="11"/>
  <c r="A2" i="11"/>
  <c r="U1" i="11"/>
  <c r="T1" i="11"/>
  <c r="S1" i="11"/>
  <c r="R1" i="11"/>
  <c r="Q1" i="11"/>
  <c r="P1" i="11"/>
  <c r="O1" i="11"/>
  <c r="N1" i="11"/>
  <c r="M1" i="11"/>
  <c r="H1" i="11"/>
  <c r="G1" i="11"/>
  <c r="F1" i="11"/>
  <c r="E1" i="11"/>
  <c r="D1" i="11"/>
  <c r="C1" i="11"/>
  <c r="B1" i="11"/>
  <c r="A1" i="11"/>
  <c r="C20" i="10"/>
  <c r="D20" i="10"/>
  <c r="E20" i="10"/>
  <c r="F20" i="10"/>
  <c r="G20" i="10"/>
  <c r="H20" i="10"/>
  <c r="M20" i="10"/>
  <c r="N20" i="10"/>
  <c r="O20" i="10"/>
  <c r="P20" i="10"/>
  <c r="Q20" i="10"/>
  <c r="R20" i="10"/>
  <c r="S20" i="10"/>
  <c r="T20" i="10"/>
  <c r="U20" i="10"/>
  <c r="V20" i="10"/>
  <c r="W20" i="10"/>
  <c r="B20" i="10"/>
  <c r="C18" i="10"/>
  <c r="D18" i="10"/>
  <c r="E18" i="10"/>
  <c r="F18" i="10"/>
  <c r="G18" i="10"/>
  <c r="H18" i="10"/>
  <c r="M18" i="10"/>
  <c r="N18" i="10"/>
  <c r="O18" i="10"/>
  <c r="P18" i="10"/>
  <c r="Q18" i="10"/>
  <c r="R18" i="10"/>
  <c r="S18" i="10"/>
  <c r="T18" i="10"/>
  <c r="U18" i="10"/>
  <c r="V18" i="10"/>
  <c r="W18" i="10"/>
  <c r="B18" i="10"/>
  <c r="C15" i="10"/>
  <c r="D15" i="10"/>
  <c r="E15" i="10"/>
  <c r="F15" i="10"/>
  <c r="G15" i="10"/>
  <c r="H15" i="10"/>
  <c r="M15" i="10"/>
  <c r="N15" i="10"/>
  <c r="O15" i="10"/>
  <c r="P15" i="10"/>
  <c r="Q15" i="10"/>
  <c r="R15" i="10"/>
  <c r="S15" i="10"/>
  <c r="T15" i="10"/>
  <c r="U15" i="10"/>
  <c r="V15" i="10"/>
  <c r="W15" i="10"/>
  <c r="B15" i="10"/>
  <c r="C6" i="10"/>
  <c r="D6" i="10"/>
  <c r="E6" i="10"/>
  <c r="F6" i="10"/>
  <c r="G6" i="10"/>
  <c r="H6" i="10"/>
  <c r="M6" i="10"/>
  <c r="N6" i="10"/>
  <c r="O6" i="10"/>
  <c r="P6" i="10"/>
  <c r="Q6" i="10"/>
  <c r="R6" i="10"/>
  <c r="S6" i="10"/>
  <c r="T6" i="10"/>
  <c r="U6" i="10"/>
  <c r="V6" i="10"/>
  <c r="W6" i="10"/>
  <c r="B6" i="10"/>
  <c r="C4" i="11"/>
  <c r="D4" i="11"/>
  <c r="E4" i="11"/>
  <c r="F4" i="11"/>
  <c r="G4" i="11"/>
  <c r="H4" i="11"/>
  <c r="B2" i="18" s="1"/>
  <c r="B4" i="11"/>
  <c r="U4" i="6"/>
  <c r="V4" i="10" s="1"/>
  <c r="V4" i="6"/>
  <c r="C2" i="10"/>
  <c r="D2" i="10"/>
  <c r="E2" i="10"/>
  <c r="F2" i="10"/>
  <c r="G2" i="10"/>
  <c r="H2" i="10"/>
  <c r="M2" i="10"/>
  <c r="N2" i="10"/>
  <c r="O2" i="10"/>
  <c r="P2" i="10"/>
  <c r="Q2" i="10"/>
  <c r="R2" i="10"/>
  <c r="S2" i="10"/>
  <c r="T2" i="10"/>
  <c r="U2" i="10"/>
  <c r="V2" i="10"/>
  <c r="W2" i="10"/>
  <c r="C3" i="10"/>
  <c r="D3" i="10"/>
  <c r="E3" i="10"/>
  <c r="F3" i="10"/>
  <c r="F3" i="11" s="1"/>
  <c r="G3" i="10"/>
  <c r="H3" i="10"/>
  <c r="M3" i="10"/>
  <c r="N3" i="10"/>
  <c r="O3" i="10"/>
  <c r="P3" i="10"/>
  <c r="Q3" i="10"/>
  <c r="R3" i="10"/>
  <c r="S3" i="10"/>
  <c r="T3" i="10"/>
  <c r="U3" i="10"/>
  <c r="V3" i="10"/>
  <c r="W3" i="10"/>
  <c r="C5" i="10"/>
  <c r="D5" i="10"/>
  <c r="E5" i="10"/>
  <c r="F5" i="10"/>
  <c r="G5" i="10"/>
  <c r="H5" i="10"/>
  <c r="M5" i="10"/>
  <c r="N5" i="10"/>
  <c r="O5" i="10"/>
  <c r="P5" i="10"/>
  <c r="Q5" i="10"/>
  <c r="R5" i="10"/>
  <c r="S5" i="10"/>
  <c r="T5" i="10"/>
  <c r="U5" i="10"/>
  <c r="V5" i="10"/>
  <c r="W5" i="10"/>
  <c r="C7" i="10"/>
  <c r="D7" i="10"/>
  <c r="E7" i="10"/>
  <c r="F7" i="10"/>
  <c r="G7" i="10"/>
  <c r="H7" i="10"/>
  <c r="M7" i="10"/>
  <c r="N7" i="10"/>
  <c r="O7" i="10"/>
  <c r="P7" i="10"/>
  <c r="Q7" i="10"/>
  <c r="R7" i="10"/>
  <c r="S7" i="10"/>
  <c r="T7" i="10"/>
  <c r="U7" i="10"/>
  <c r="V7" i="10"/>
  <c r="W7" i="10"/>
  <c r="C8" i="10"/>
  <c r="C8" i="11" s="1"/>
  <c r="D8" i="10"/>
  <c r="E8" i="10"/>
  <c r="F8" i="10"/>
  <c r="G8" i="10"/>
  <c r="H8" i="10"/>
  <c r="M8" i="10"/>
  <c r="N8" i="10"/>
  <c r="O8" i="10"/>
  <c r="P8" i="10"/>
  <c r="Q8" i="10"/>
  <c r="R8" i="10"/>
  <c r="S8" i="10"/>
  <c r="T8" i="10"/>
  <c r="U8" i="10"/>
  <c r="V8" i="10"/>
  <c r="W8" i="10"/>
  <c r="C9" i="10"/>
  <c r="D9" i="10"/>
  <c r="E9" i="10"/>
  <c r="F9" i="10"/>
  <c r="G9" i="10"/>
  <c r="H9" i="10"/>
  <c r="M9" i="10"/>
  <c r="N9" i="10"/>
  <c r="O9" i="10"/>
  <c r="P9" i="10"/>
  <c r="Q9" i="10"/>
  <c r="R9" i="10"/>
  <c r="S9" i="10"/>
  <c r="T9" i="10"/>
  <c r="U9" i="10"/>
  <c r="V9" i="10"/>
  <c r="W9" i="10"/>
  <c r="C10" i="10"/>
  <c r="D10" i="10"/>
  <c r="E10" i="10"/>
  <c r="F10" i="10"/>
  <c r="G10" i="10"/>
  <c r="H10" i="10"/>
  <c r="M10" i="10"/>
  <c r="N10" i="10"/>
  <c r="O10" i="10"/>
  <c r="P10" i="10"/>
  <c r="Q10" i="10"/>
  <c r="R10" i="10"/>
  <c r="S10" i="10"/>
  <c r="T10" i="10"/>
  <c r="U10" i="10"/>
  <c r="V10" i="10"/>
  <c r="W10" i="10"/>
  <c r="C11" i="10"/>
  <c r="D11" i="10"/>
  <c r="E11" i="10"/>
  <c r="F11" i="10"/>
  <c r="G11" i="10"/>
  <c r="H11" i="10"/>
  <c r="M11" i="10"/>
  <c r="N11" i="10"/>
  <c r="O11" i="10"/>
  <c r="P11" i="10"/>
  <c r="Q11" i="10"/>
  <c r="R11" i="10"/>
  <c r="S11" i="10"/>
  <c r="T11" i="10"/>
  <c r="U11" i="10"/>
  <c r="V11" i="10"/>
  <c r="W11" i="10"/>
  <c r="C12" i="10"/>
  <c r="D12" i="10"/>
  <c r="E12" i="10"/>
  <c r="F12" i="10"/>
  <c r="G12" i="10"/>
  <c r="H12" i="10"/>
  <c r="M12" i="10"/>
  <c r="N12" i="10"/>
  <c r="O12" i="10"/>
  <c r="P12" i="10"/>
  <c r="Q12" i="10"/>
  <c r="R12" i="10"/>
  <c r="S12" i="10"/>
  <c r="T12" i="10"/>
  <c r="U12" i="10"/>
  <c r="V12" i="10"/>
  <c r="W12" i="10"/>
  <c r="C13" i="10"/>
  <c r="D13" i="10"/>
  <c r="E13" i="10"/>
  <c r="F13" i="10"/>
  <c r="G13" i="10"/>
  <c r="H13" i="10"/>
  <c r="M13" i="10"/>
  <c r="N13" i="10"/>
  <c r="O13" i="10"/>
  <c r="P13" i="10"/>
  <c r="Q13" i="10"/>
  <c r="R13" i="10"/>
  <c r="S13" i="10"/>
  <c r="T13" i="10"/>
  <c r="U13" i="10"/>
  <c r="V13" i="10"/>
  <c r="W13" i="10"/>
  <c r="C14" i="10"/>
  <c r="D14" i="10"/>
  <c r="E14" i="10"/>
  <c r="F14" i="10"/>
  <c r="G14" i="10"/>
  <c r="H14" i="10"/>
  <c r="M14" i="10"/>
  <c r="N14" i="10"/>
  <c r="O14" i="10"/>
  <c r="P14" i="10"/>
  <c r="Q14" i="10"/>
  <c r="R14" i="10"/>
  <c r="S14" i="10"/>
  <c r="T14" i="10"/>
  <c r="U14" i="10"/>
  <c r="V14" i="10"/>
  <c r="W14" i="10"/>
  <c r="C16" i="10"/>
  <c r="D16" i="10"/>
  <c r="E16" i="10"/>
  <c r="F16" i="10"/>
  <c r="G16" i="10"/>
  <c r="H16" i="10"/>
  <c r="M16" i="10"/>
  <c r="N16" i="10"/>
  <c r="O16" i="10"/>
  <c r="P16" i="10"/>
  <c r="Q16" i="10"/>
  <c r="R16" i="10"/>
  <c r="S16" i="10"/>
  <c r="T16" i="10"/>
  <c r="U16" i="10"/>
  <c r="V16" i="10"/>
  <c r="W16" i="10"/>
  <c r="C17" i="10"/>
  <c r="D17" i="10"/>
  <c r="E17" i="10"/>
  <c r="F17" i="10"/>
  <c r="G17" i="10"/>
  <c r="H17" i="10"/>
  <c r="M17" i="10"/>
  <c r="N17" i="10"/>
  <c r="O17" i="10"/>
  <c r="P17" i="10"/>
  <c r="Q17" i="10"/>
  <c r="R17" i="10"/>
  <c r="S17" i="10"/>
  <c r="T17" i="10"/>
  <c r="U17" i="10"/>
  <c r="V17" i="10"/>
  <c r="W17" i="10"/>
  <c r="C19" i="10"/>
  <c r="D19" i="10"/>
  <c r="E19" i="10"/>
  <c r="F19" i="10"/>
  <c r="G19" i="10"/>
  <c r="H19" i="10"/>
  <c r="M19" i="10"/>
  <c r="N19" i="10"/>
  <c r="O19" i="10"/>
  <c r="P19" i="10"/>
  <c r="Q19" i="10"/>
  <c r="R19" i="10"/>
  <c r="S19" i="10"/>
  <c r="T19" i="10"/>
  <c r="U19" i="10"/>
  <c r="V19" i="10"/>
  <c r="W19" i="10"/>
  <c r="C21" i="10"/>
  <c r="D21" i="10"/>
  <c r="E21" i="10"/>
  <c r="F21" i="10"/>
  <c r="G21" i="10"/>
  <c r="H21" i="10"/>
  <c r="M21" i="10"/>
  <c r="N21" i="10"/>
  <c r="O21" i="10"/>
  <c r="P21" i="10"/>
  <c r="Q21" i="10"/>
  <c r="R21" i="10"/>
  <c r="S21" i="10"/>
  <c r="T21" i="10"/>
  <c r="U21" i="10"/>
  <c r="V21" i="10"/>
  <c r="W21" i="10"/>
  <c r="C22" i="10"/>
  <c r="D22" i="10"/>
  <c r="E22" i="10"/>
  <c r="F22" i="10"/>
  <c r="G22" i="10"/>
  <c r="H22" i="10"/>
  <c r="M22" i="10"/>
  <c r="N22" i="10"/>
  <c r="O22" i="10"/>
  <c r="P22" i="10"/>
  <c r="Q22" i="10"/>
  <c r="R22" i="10"/>
  <c r="S22" i="10"/>
  <c r="T22" i="10"/>
  <c r="U22" i="10"/>
  <c r="V22" i="10"/>
  <c r="W22" i="10"/>
  <c r="C23" i="10"/>
  <c r="D23" i="10"/>
  <c r="E23" i="10"/>
  <c r="F23" i="10"/>
  <c r="G23" i="10"/>
  <c r="H23" i="10"/>
  <c r="M23" i="10"/>
  <c r="N23" i="10"/>
  <c r="O23" i="10"/>
  <c r="P23" i="10"/>
  <c r="Q23" i="10"/>
  <c r="R23" i="10"/>
  <c r="S23" i="10"/>
  <c r="T23" i="10"/>
  <c r="U23" i="10"/>
  <c r="V23" i="10"/>
  <c r="W23" i="10"/>
  <c r="C24" i="10"/>
  <c r="D24" i="10"/>
  <c r="E24" i="10"/>
  <c r="F24" i="10"/>
  <c r="G24" i="10"/>
  <c r="H24" i="10"/>
  <c r="M24" i="10"/>
  <c r="N24" i="10"/>
  <c r="O24" i="10"/>
  <c r="P24" i="10"/>
  <c r="Q24" i="10"/>
  <c r="R24" i="10"/>
  <c r="S24" i="10"/>
  <c r="T24" i="10"/>
  <c r="U24" i="10"/>
  <c r="V24" i="10"/>
  <c r="W24" i="10"/>
  <c r="C25" i="10"/>
  <c r="D25" i="10"/>
  <c r="E25" i="10"/>
  <c r="F25" i="10"/>
  <c r="G25" i="10"/>
  <c r="H25" i="10"/>
  <c r="M25" i="10"/>
  <c r="N25" i="10"/>
  <c r="O25" i="10"/>
  <c r="P25" i="10"/>
  <c r="Q25" i="10"/>
  <c r="R25" i="10"/>
  <c r="S25" i="10"/>
  <c r="T25" i="10"/>
  <c r="U25" i="10"/>
  <c r="V25" i="10"/>
  <c r="W25" i="10"/>
  <c r="C26" i="10"/>
  <c r="D26" i="10"/>
  <c r="E26" i="10"/>
  <c r="F26" i="10"/>
  <c r="G26" i="10"/>
  <c r="H26" i="10"/>
  <c r="M26" i="10"/>
  <c r="N26" i="10"/>
  <c r="O26" i="10"/>
  <c r="P26" i="10"/>
  <c r="Q26" i="10"/>
  <c r="R26" i="10"/>
  <c r="S26" i="10"/>
  <c r="T26" i="10"/>
  <c r="U26" i="10"/>
  <c r="V26" i="10"/>
  <c r="W26" i="10"/>
  <c r="C27" i="10"/>
  <c r="D27" i="10"/>
  <c r="E27" i="10"/>
  <c r="F27" i="10"/>
  <c r="G27" i="10"/>
  <c r="H27" i="10"/>
  <c r="M27" i="10"/>
  <c r="N27" i="10"/>
  <c r="O27" i="10"/>
  <c r="P27" i="10"/>
  <c r="Q27" i="10"/>
  <c r="R27" i="10"/>
  <c r="S27" i="10"/>
  <c r="T27" i="10"/>
  <c r="U27" i="10"/>
  <c r="V27" i="10"/>
  <c r="W27" i="10"/>
  <c r="C28" i="10"/>
  <c r="D28" i="10"/>
  <c r="E28" i="10"/>
  <c r="F28" i="10"/>
  <c r="G28" i="10"/>
  <c r="H28" i="10"/>
  <c r="M28" i="10"/>
  <c r="N28" i="10"/>
  <c r="O28" i="10"/>
  <c r="P28" i="10"/>
  <c r="Q28" i="10"/>
  <c r="R28" i="10"/>
  <c r="S28" i="10"/>
  <c r="T28" i="10"/>
  <c r="U28" i="10"/>
  <c r="V28" i="10"/>
  <c r="W28" i="10"/>
  <c r="C29" i="10"/>
  <c r="D29" i="10"/>
  <c r="E29" i="10"/>
  <c r="F29" i="10"/>
  <c r="G29" i="10"/>
  <c r="H29" i="10"/>
  <c r="M29" i="10"/>
  <c r="N29" i="10"/>
  <c r="O29" i="10"/>
  <c r="P29" i="10"/>
  <c r="Q29" i="10"/>
  <c r="R29" i="10"/>
  <c r="S29" i="10"/>
  <c r="T29" i="10"/>
  <c r="U29" i="10"/>
  <c r="V29" i="10"/>
  <c r="W29" i="10"/>
  <c r="C30" i="10"/>
  <c r="D30" i="10"/>
  <c r="E30" i="10"/>
  <c r="F30" i="10"/>
  <c r="G30" i="10"/>
  <c r="H30" i="10"/>
  <c r="M30" i="10"/>
  <c r="N30" i="10"/>
  <c r="O30" i="10"/>
  <c r="P30" i="10"/>
  <c r="Q30" i="10"/>
  <c r="R30" i="10"/>
  <c r="S30" i="10"/>
  <c r="T30" i="10"/>
  <c r="U30" i="10"/>
  <c r="V30" i="10"/>
  <c r="W30" i="10"/>
  <c r="C31" i="10"/>
  <c r="D31" i="10"/>
  <c r="E31" i="10"/>
  <c r="F31" i="10"/>
  <c r="G31" i="10"/>
  <c r="H31" i="10"/>
  <c r="M31" i="10"/>
  <c r="N31" i="10"/>
  <c r="O31" i="10"/>
  <c r="P31" i="10"/>
  <c r="Q31" i="10"/>
  <c r="R31" i="10"/>
  <c r="S31" i="10"/>
  <c r="T31" i="10"/>
  <c r="U31" i="10"/>
  <c r="V31" i="10"/>
  <c r="W31" i="10"/>
  <c r="C32" i="10"/>
  <c r="D32" i="10"/>
  <c r="E32" i="10"/>
  <c r="F32" i="10"/>
  <c r="G32" i="10"/>
  <c r="H32" i="10"/>
  <c r="M32" i="10"/>
  <c r="N32" i="10"/>
  <c r="O32" i="10"/>
  <c r="P32" i="10"/>
  <c r="Q32" i="10"/>
  <c r="R32" i="10"/>
  <c r="S32" i="10"/>
  <c r="T32" i="10"/>
  <c r="U32" i="10"/>
  <c r="V32" i="10"/>
  <c r="W32" i="10"/>
  <c r="C33" i="10"/>
  <c r="D33" i="10"/>
  <c r="E33" i="10"/>
  <c r="F33" i="10"/>
  <c r="G33" i="10"/>
  <c r="H33" i="10"/>
  <c r="M33" i="10"/>
  <c r="N33" i="10"/>
  <c r="O33" i="10"/>
  <c r="P33" i="10"/>
  <c r="Q33" i="10"/>
  <c r="R33" i="10"/>
  <c r="S33" i="10"/>
  <c r="T33" i="10"/>
  <c r="U33" i="10"/>
  <c r="V33" i="10"/>
  <c r="W33" i="10"/>
  <c r="C34" i="10"/>
  <c r="D34" i="10"/>
  <c r="E34" i="10"/>
  <c r="F34" i="10"/>
  <c r="G34" i="10"/>
  <c r="H34" i="10"/>
  <c r="M34" i="10"/>
  <c r="N34" i="10"/>
  <c r="O34" i="10"/>
  <c r="P34" i="10"/>
  <c r="Q34" i="10"/>
  <c r="R34" i="10"/>
  <c r="S34" i="10"/>
  <c r="T34" i="10"/>
  <c r="U34" i="10"/>
  <c r="V34" i="10"/>
  <c r="W34" i="10"/>
  <c r="C35" i="10"/>
  <c r="D35" i="10"/>
  <c r="E35" i="10"/>
  <c r="F35" i="10"/>
  <c r="G35" i="10"/>
  <c r="H35" i="10"/>
  <c r="M35" i="10"/>
  <c r="N35" i="10"/>
  <c r="O35" i="10"/>
  <c r="P35" i="10"/>
  <c r="Q35" i="10"/>
  <c r="R35" i="10"/>
  <c r="S35" i="10"/>
  <c r="T35" i="10"/>
  <c r="U35" i="10"/>
  <c r="V35" i="10"/>
  <c r="W35" i="10"/>
  <c r="C36" i="10"/>
  <c r="D36" i="10"/>
  <c r="E36" i="10"/>
  <c r="F36" i="10"/>
  <c r="G36" i="10"/>
  <c r="H36" i="10"/>
  <c r="M36" i="10"/>
  <c r="N36" i="10"/>
  <c r="O36" i="10"/>
  <c r="P36" i="10"/>
  <c r="Q36" i="10"/>
  <c r="R36" i="10"/>
  <c r="S36" i="10"/>
  <c r="T36" i="10"/>
  <c r="U36" i="10"/>
  <c r="V36" i="10"/>
  <c r="W36" i="10"/>
  <c r="C37" i="10"/>
  <c r="D37" i="10"/>
  <c r="E37" i="10"/>
  <c r="F37" i="10"/>
  <c r="G37" i="10"/>
  <c r="H37" i="10"/>
  <c r="M37" i="10"/>
  <c r="N37" i="10"/>
  <c r="O37" i="10"/>
  <c r="P37" i="10"/>
  <c r="Q37" i="10"/>
  <c r="R37" i="10"/>
  <c r="S37" i="10"/>
  <c r="T37" i="10"/>
  <c r="U37" i="10"/>
  <c r="V37" i="10"/>
  <c r="W37" i="10"/>
  <c r="C38" i="10"/>
  <c r="D38" i="10"/>
  <c r="E38" i="10"/>
  <c r="F38" i="10"/>
  <c r="G38" i="10"/>
  <c r="H38" i="10"/>
  <c r="M38" i="10"/>
  <c r="N38" i="10"/>
  <c r="O38" i="10"/>
  <c r="P38" i="10"/>
  <c r="Q38" i="10"/>
  <c r="R38" i="10"/>
  <c r="S38" i="10"/>
  <c r="T38" i="10"/>
  <c r="U38" i="10"/>
  <c r="V38" i="10"/>
  <c r="W38" i="10"/>
  <c r="C39" i="10"/>
  <c r="D39" i="10"/>
  <c r="E39" i="10"/>
  <c r="F39" i="10"/>
  <c r="G39" i="10"/>
  <c r="H39" i="10"/>
  <c r="M39" i="10"/>
  <c r="N39" i="10"/>
  <c r="O39" i="10"/>
  <c r="P39" i="10"/>
  <c r="Q39" i="10"/>
  <c r="R39" i="10"/>
  <c r="S39" i="10"/>
  <c r="T39" i="10"/>
  <c r="U39" i="10"/>
  <c r="V39" i="10"/>
  <c r="W39" i="10"/>
  <c r="C40" i="10"/>
  <c r="D40" i="10"/>
  <c r="E40" i="10"/>
  <c r="F40" i="10"/>
  <c r="G40" i="10"/>
  <c r="H40" i="10"/>
  <c r="M40" i="10"/>
  <c r="N40" i="10"/>
  <c r="O40" i="10"/>
  <c r="P40" i="10"/>
  <c r="Q40" i="10"/>
  <c r="R40" i="10"/>
  <c r="S40" i="10"/>
  <c r="T40" i="10"/>
  <c r="U40" i="10"/>
  <c r="V40" i="10"/>
  <c r="W40" i="10"/>
  <c r="C41" i="10"/>
  <c r="D41" i="10"/>
  <c r="E41" i="10"/>
  <c r="F41" i="10"/>
  <c r="G41" i="10"/>
  <c r="H41" i="10"/>
  <c r="M41" i="10"/>
  <c r="N41" i="10"/>
  <c r="O41" i="10"/>
  <c r="P41" i="10"/>
  <c r="Q41" i="10"/>
  <c r="R41" i="10"/>
  <c r="S41" i="10"/>
  <c r="T41" i="10"/>
  <c r="U41" i="10"/>
  <c r="V41" i="10"/>
  <c r="W41" i="10"/>
  <c r="C42" i="10"/>
  <c r="D42" i="10"/>
  <c r="E42" i="10"/>
  <c r="F42" i="10"/>
  <c r="G42" i="10"/>
  <c r="H42" i="10"/>
  <c r="M42" i="10"/>
  <c r="N42" i="10"/>
  <c r="O42" i="10"/>
  <c r="P42" i="10"/>
  <c r="Q42" i="10"/>
  <c r="R42" i="10"/>
  <c r="S42" i="10"/>
  <c r="T42" i="10"/>
  <c r="U42" i="10"/>
  <c r="V42" i="10"/>
  <c r="W42" i="10"/>
  <c r="C43" i="10"/>
  <c r="D43" i="10"/>
  <c r="E43" i="10"/>
  <c r="F43" i="10"/>
  <c r="G43" i="10"/>
  <c r="H43" i="10"/>
  <c r="M43" i="10"/>
  <c r="N43" i="10"/>
  <c r="O43" i="10"/>
  <c r="P43" i="10"/>
  <c r="Q43" i="10"/>
  <c r="R43" i="10"/>
  <c r="S43" i="10"/>
  <c r="T43" i="10"/>
  <c r="U43" i="10"/>
  <c r="V43" i="10"/>
  <c r="W43" i="10"/>
  <c r="C44" i="10"/>
  <c r="D44" i="10"/>
  <c r="E44" i="10"/>
  <c r="F44" i="10"/>
  <c r="G44" i="10"/>
  <c r="H44" i="10"/>
  <c r="M44" i="10"/>
  <c r="N44" i="10"/>
  <c r="O44" i="10"/>
  <c r="P44" i="10"/>
  <c r="Q44" i="10"/>
  <c r="R44" i="10"/>
  <c r="S44" i="10"/>
  <c r="T44" i="10"/>
  <c r="U44" i="10"/>
  <c r="V44" i="10"/>
  <c r="W44" i="10"/>
  <c r="C45" i="10"/>
  <c r="D45" i="10"/>
  <c r="E45" i="10"/>
  <c r="F45" i="10"/>
  <c r="G45" i="10"/>
  <c r="H45" i="10"/>
  <c r="M45" i="10"/>
  <c r="N45" i="10"/>
  <c r="O45" i="10"/>
  <c r="P45" i="10"/>
  <c r="Q45" i="10"/>
  <c r="R45" i="10"/>
  <c r="S45" i="10"/>
  <c r="T45" i="10"/>
  <c r="U45" i="10"/>
  <c r="V45" i="10"/>
  <c r="W45" i="10"/>
  <c r="C46" i="10"/>
  <c r="D46" i="10"/>
  <c r="E46" i="10"/>
  <c r="F46" i="10"/>
  <c r="G46" i="10"/>
  <c r="H46" i="10"/>
  <c r="M46" i="10"/>
  <c r="N46" i="10"/>
  <c r="O46" i="10"/>
  <c r="P46" i="10"/>
  <c r="Q46" i="10"/>
  <c r="R46" i="10"/>
  <c r="S46" i="10"/>
  <c r="T46" i="10"/>
  <c r="U46" i="10"/>
  <c r="V46" i="10"/>
  <c r="W46" i="10"/>
  <c r="C47" i="10"/>
  <c r="D47" i="10"/>
  <c r="E47" i="10"/>
  <c r="F47" i="10"/>
  <c r="G47" i="10"/>
  <c r="H47" i="10"/>
  <c r="M47" i="10"/>
  <c r="N47" i="10"/>
  <c r="O47" i="10"/>
  <c r="P47" i="10"/>
  <c r="Q47" i="10"/>
  <c r="R47" i="10"/>
  <c r="S47" i="10"/>
  <c r="T47" i="10"/>
  <c r="U47" i="10"/>
  <c r="V47" i="10"/>
  <c r="W47" i="10"/>
  <c r="C48" i="10"/>
  <c r="D48" i="10"/>
  <c r="E48" i="10"/>
  <c r="F48" i="10"/>
  <c r="G48" i="10"/>
  <c r="H48" i="10"/>
  <c r="M48" i="10"/>
  <c r="N48" i="10"/>
  <c r="O48" i="10"/>
  <c r="P48" i="10"/>
  <c r="Q48" i="10"/>
  <c r="R48" i="10"/>
  <c r="S48" i="10"/>
  <c r="T48" i="10"/>
  <c r="U48" i="10"/>
  <c r="V48" i="10"/>
  <c r="W48" i="10"/>
  <c r="C49" i="10"/>
  <c r="D49" i="10"/>
  <c r="E49" i="10"/>
  <c r="F49" i="10"/>
  <c r="G49" i="10"/>
  <c r="H49" i="10"/>
  <c r="M49" i="10"/>
  <c r="N49" i="10"/>
  <c r="O49" i="10"/>
  <c r="P49" i="10"/>
  <c r="Q49" i="10"/>
  <c r="R49" i="10"/>
  <c r="S49" i="10"/>
  <c r="T49" i="10"/>
  <c r="U49" i="10"/>
  <c r="V49" i="10"/>
  <c r="W49" i="10"/>
  <c r="C50" i="10"/>
  <c r="D50" i="10"/>
  <c r="E50" i="10"/>
  <c r="F50" i="10"/>
  <c r="G50" i="10"/>
  <c r="H50" i="10"/>
  <c r="M50" i="10"/>
  <c r="N50" i="10"/>
  <c r="O50" i="10"/>
  <c r="P50" i="10"/>
  <c r="Q50" i="10"/>
  <c r="R50" i="10"/>
  <c r="S50" i="10"/>
  <c r="T50" i="10"/>
  <c r="U50" i="10"/>
  <c r="V50" i="10"/>
  <c r="W50" i="10"/>
  <c r="C51" i="10"/>
  <c r="D51" i="10"/>
  <c r="E51" i="10"/>
  <c r="F51" i="10"/>
  <c r="G51" i="10"/>
  <c r="H51" i="10"/>
  <c r="M51" i="10"/>
  <c r="N51" i="10"/>
  <c r="O51" i="10"/>
  <c r="P51" i="10"/>
  <c r="Q51" i="10"/>
  <c r="R51" i="10"/>
  <c r="S51" i="10"/>
  <c r="T51" i="10"/>
  <c r="U51" i="10"/>
  <c r="V51" i="10"/>
  <c r="W51" i="10"/>
  <c r="C52" i="10"/>
  <c r="D52" i="10"/>
  <c r="E52" i="10"/>
  <c r="F52" i="10"/>
  <c r="G52" i="10"/>
  <c r="H52" i="10"/>
  <c r="M52" i="10"/>
  <c r="N52" i="10"/>
  <c r="O52" i="10"/>
  <c r="P52" i="10"/>
  <c r="Q52" i="10"/>
  <c r="R52" i="10"/>
  <c r="S52" i="10"/>
  <c r="T52" i="10"/>
  <c r="U52" i="10"/>
  <c r="V52" i="10"/>
  <c r="W52" i="10"/>
  <c r="C53" i="10"/>
  <c r="D53" i="10"/>
  <c r="E53" i="10"/>
  <c r="F53" i="10"/>
  <c r="G53" i="10"/>
  <c r="H53" i="10"/>
  <c r="M53" i="10"/>
  <c r="N53" i="10"/>
  <c r="O53" i="10"/>
  <c r="P53" i="10"/>
  <c r="Q53" i="10"/>
  <c r="R53" i="10"/>
  <c r="S53" i="10"/>
  <c r="T53" i="10"/>
  <c r="U53" i="10"/>
  <c r="V53" i="10"/>
  <c r="W53" i="10"/>
  <c r="C54" i="10"/>
  <c r="D54" i="10"/>
  <c r="E54" i="10"/>
  <c r="F54" i="10"/>
  <c r="G54" i="10"/>
  <c r="H54" i="10"/>
  <c r="M54" i="10"/>
  <c r="N54" i="10"/>
  <c r="O54" i="10"/>
  <c r="P54" i="10"/>
  <c r="Q54" i="10"/>
  <c r="R54" i="10"/>
  <c r="S54" i="10"/>
  <c r="T54" i="10"/>
  <c r="U54" i="10"/>
  <c r="V54" i="10"/>
  <c r="W54" i="10"/>
  <c r="C55" i="10"/>
  <c r="D55" i="10"/>
  <c r="E55" i="10"/>
  <c r="F55" i="10"/>
  <c r="G55" i="10"/>
  <c r="H55" i="10"/>
  <c r="M55" i="10"/>
  <c r="N55" i="10"/>
  <c r="O55" i="10"/>
  <c r="P55" i="10"/>
  <c r="Q55" i="10"/>
  <c r="R55" i="10"/>
  <c r="S55" i="10"/>
  <c r="T55" i="10"/>
  <c r="U55" i="10"/>
  <c r="V55" i="10"/>
  <c r="W55" i="10"/>
  <c r="C56" i="10"/>
  <c r="D56" i="10"/>
  <c r="E56" i="10"/>
  <c r="F56" i="10"/>
  <c r="G56" i="10"/>
  <c r="H56" i="10"/>
  <c r="M56" i="10"/>
  <c r="N56" i="10"/>
  <c r="O56" i="10"/>
  <c r="P56" i="10"/>
  <c r="Q56" i="10"/>
  <c r="R56" i="10"/>
  <c r="S56" i="10"/>
  <c r="T56" i="10"/>
  <c r="U56" i="10"/>
  <c r="V56" i="10"/>
  <c r="W56" i="10"/>
  <c r="C57" i="10"/>
  <c r="D57" i="10"/>
  <c r="E57" i="10"/>
  <c r="F57" i="10"/>
  <c r="G57" i="10"/>
  <c r="H57" i="10"/>
  <c r="M57" i="10"/>
  <c r="N57" i="10"/>
  <c r="O57" i="10"/>
  <c r="P57" i="10"/>
  <c r="Q57" i="10"/>
  <c r="R57" i="10"/>
  <c r="S57" i="10"/>
  <c r="T57" i="10"/>
  <c r="U57" i="10"/>
  <c r="V57" i="10"/>
  <c r="W57" i="10"/>
  <c r="C58" i="10"/>
  <c r="D58" i="10"/>
  <c r="E58" i="10"/>
  <c r="F58" i="10"/>
  <c r="G58" i="10"/>
  <c r="H58" i="10"/>
  <c r="M58" i="10"/>
  <c r="N58" i="10"/>
  <c r="O58" i="10"/>
  <c r="P58" i="10"/>
  <c r="Q58" i="10"/>
  <c r="R58" i="10"/>
  <c r="S58" i="10"/>
  <c r="T58" i="10"/>
  <c r="U58" i="10"/>
  <c r="V58" i="10"/>
  <c r="W58" i="10"/>
  <c r="C59" i="10"/>
  <c r="D59" i="10"/>
  <c r="E59" i="10"/>
  <c r="F59" i="10"/>
  <c r="G59" i="10"/>
  <c r="H59" i="10"/>
  <c r="M59" i="10"/>
  <c r="N59" i="10"/>
  <c r="O59" i="10"/>
  <c r="P59" i="10"/>
  <c r="Q59" i="10"/>
  <c r="R59" i="10"/>
  <c r="S59" i="10"/>
  <c r="T59" i="10"/>
  <c r="U59" i="10"/>
  <c r="V59" i="10"/>
  <c r="W59" i="10"/>
  <c r="C60" i="10"/>
  <c r="D60" i="10"/>
  <c r="E60" i="10"/>
  <c r="F60" i="10"/>
  <c r="G60" i="10"/>
  <c r="H60" i="10"/>
  <c r="M60" i="10"/>
  <c r="N60" i="10"/>
  <c r="O60" i="10"/>
  <c r="P60" i="10"/>
  <c r="Q60" i="10"/>
  <c r="R60" i="10"/>
  <c r="S60" i="10"/>
  <c r="T60" i="10"/>
  <c r="U60" i="10"/>
  <c r="V60" i="10"/>
  <c r="W60" i="10"/>
  <c r="C61" i="10"/>
  <c r="D61" i="10"/>
  <c r="E61" i="10"/>
  <c r="F61" i="10"/>
  <c r="G61" i="10"/>
  <c r="H61" i="10"/>
  <c r="M61" i="10"/>
  <c r="N61" i="10"/>
  <c r="O61" i="10"/>
  <c r="P61" i="10"/>
  <c r="Q61" i="10"/>
  <c r="R61" i="10"/>
  <c r="S61" i="10"/>
  <c r="T61" i="10"/>
  <c r="U61" i="10"/>
  <c r="V61" i="10"/>
  <c r="W61" i="10"/>
  <c r="C62" i="10"/>
  <c r="D62" i="10"/>
  <c r="E62" i="10"/>
  <c r="F62" i="10"/>
  <c r="G62" i="10"/>
  <c r="H62" i="10"/>
  <c r="M62" i="10"/>
  <c r="N62" i="10"/>
  <c r="O62" i="10"/>
  <c r="P62" i="10"/>
  <c r="Q62" i="10"/>
  <c r="R62" i="10"/>
  <c r="S62" i="10"/>
  <c r="T62" i="10"/>
  <c r="U62" i="10"/>
  <c r="V62" i="10"/>
  <c r="W62" i="10"/>
  <c r="C63" i="10"/>
  <c r="D63" i="10"/>
  <c r="E63" i="10"/>
  <c r="F63" i="10"/>
  <c r="G63" i="10"/>
  <c r="H63" i="10"/>
  <c r="M63" i="10"/>
  <c r="N63" i="10"/>
  <c r="O63" i="10"/>
  <c r="P63" i="10"/>
  <c r="Q63" i="10"/>
  <c r="R63" i="10"/>
  <c r="S63" i="10"/>
  <c r="T63" i="10"/>
  <c r="U63" i="10"/>
  <c r="V63" i="10"/>
  <c r="W63" i="10"/>
  <c r="C64" i="10"/>
  <c r="D64" i="10"/>
  <c r="E64" i="10"/>
  <c r="F64" i="10"/>
  <c r="G64" i="10"/>
  <c r="H64" i="10"/>
  <c r="M64" i="10"/>
  <c r="N64" i="10"/>
  <c r="O64" i="10"/>
  <c r="P64" i="10"/>
  <c r="Q64" i="10"/>
  <c r="R64" i="10"/>
  <c r="S64" i="10"/>
  <c r="T64" i="10"/>
  <c r="U64" i="10"/>
  <c r="V64" i="10"/>
  <c r="W64" i="10"/>
  <c r="C65" i="10"/>
  <c r="D65" i="10"/>
  <c r="E65" i="10"/>
  <c r="F65" i="10"/>
  <c r="G65" i="10"/>
  <c r="H65" i="10"/>
  <c r="M65" i="10"/>
  <c r="N65" i="10"/>
  <c r="O65" i="10"/>
  <c r="P65" i="10"/>
  <c r="Q65" i="10"/>
  <c r="R65" i="10"/>
  <c r="S65" i="10"/>
  <c r="T65" i="10"/>
  <c r="U65" i="10"/>
  <c r="V65" i="10"/>
  <c r="W65" i="10"/>
  <c r="C66" i="10"/>
  <c r="D66" i="10"/>
  <c r="E66" i="10"/>
  <c r="F66" i="10"/>
  <c r="G66" i="10"/>
  <c r="H66" i="10"/>
  <c r="M66" i="10"/>
  <c r="N66" i="10"/>
  <c r="O66" i="10"/>
  <c r="P66" i="10"/>
  <c r="Q66" i="10"/>
  <c r="R66" i="10"/>
  <c r="S66" i="10"/>
  <c r="T66" i="10"/>
  <c r="U66" i="10"/>
  <c r="V66" i="10"/>
  <c r="W66" i="10"/>
  <c r="C67" i="10"/>
  <c r="D67" i="10"/>
  <c r="E67" i="10"/>
  <c r="F67" i="10"/>
  <c r="G67" i="10"/>
  <c r="H67" i="10"/>
  <c r="M67" i="10"/>
  <c r="N67" i="10"/>
  <c r="O67" i="10"/>
  <c r="P67" i="10"/>
  <c r="Q67" i="10"/>
  <c r="R67" i="10"/>
  <c r="S67" i="10"/>
  <c r="T67" i="10"/>
  <c r="U67" i="10"/>
  <c r="V67" i="10"/>
  <c r="W67" i="10"/>
  <c r="C68" i="10"/>
  <c r="D68" i="10"/>
  <c r="E68" i="10"/>
  <c r="E68" i="11" s="1"/>
  <c r="F68" i="10"/>
  <c r="F68" i="11" s="1"/>
  <c r="G68" i="10"/>
  <c r="H68" i="10"/>
  <c r="M68" i="10"/>
  <c r="N68" i="10"/>
  <c r="O68" i="10"/>
  <c r="P68" i="10"/>
  <c r="Q68" i="10"/>
  <c r="R68" i="10"/>
  <c r="S68" i="10"/>
  <c r="T68" i="10"/>
  <c r="U68" i="10"/>
  <c r="V68" i="10"/>
  <c r="W68" i="10"/>
  <c r="C69" i="10"/>
  <c r="D69" i="10"/>
  <c r="E69" i="10"/>
  <c r="F69" i="10"/>
  <c r="G69" i="10"/>
  <c r="H69" i="10"/>
  <c r="M69" i="10"/>
  <c r="N69" i="10"/>
  <c r="O69" i="10"/>
  <c r="P69" i="10"/>
  <c r="Q69" i="10"/>
  <c r="R69" i="10"/>
  <c r="S69" i="10"/>
  <c r="T69" i="10"/>
  <c r="U69" i="10"/>
  <c r="V69" i="10"/>
  <c r="W69" i="10"/>
  <c r="C70" i="10"/>
  <c r="D70" i="10"/>
  <c r="E70" i="10"/>
  <c r="F70" i="10"/>
  <c r="G70" i="10"/>
  <c r="H70" i="10"/>
  <c r="M70" i="10"/>
  <c r="N70" i="10"/>
  <c r="O70" i="10"/>
  <c r="P70" i="10"/>
  <c r="Q70" i="10"/>
  <c r="R70" i="10"/>
  <c r="S70" i="10"/>
  <c r="T70" i="10"/>
  <c r="U70" i="10"/>
  <c r="V70" i="10"/>
  <c r="W70" i="10"/>
  <c r="C71" i="10"/>
  <c r="D71" i="10"/>
  <c r="E71" i="10"/>
  <c r="F71" i="10"/>
  <c r="G71" i="10"/>
  <c r="H71" i="10"/>
  <c r="M71" i="10"/>
  <c r="N71" i="10"/>
  <c r="O71" i="10"/>
  <c r="P71" i="10"/>
  <c r="Q71" i="10"/>
  <c r="R71" i="10"/>
  <c r="S71" i="10"/>
  <c r="T71" i="10"/>
  <c r="U71" i="10"/>
  <c r="V71" i="10"/>
  <c r="W71" i="10"/>
  <c r="C72" i="10"/>
  <c r="D72" i="10"/>
  <c r="E72" i="10"/>
  <c r="F72" i="10"/>
  <c r="G72" i="10"/>
  <c r="H72" i="10"/>
  <c r="M72" i="10"/>
  <c r="N72" i="10"/>
  <c r="O72" i="10"/>
  <c r="P72" i="10"/>
  <c r="Q72" i="10"/>
  <c r="R72" i="10"/>
  <c r="S72" i="10"/>
  <c r="T72" i="10"/>
  <c r="U72" i="10"/>
  <c r="V72" i="10"/>
  <c r="W72" i="10"/>
  <c r="C73" i="10"/>
  <c r="D73" i="10"/>
  <c r="E73" i="10"/>
  <c r="F73" i="10"/>
  <c r="G73" i="10"/>
  <c r="H73" i="10"/>
  <c r="M73" i="10"/>
  <c r="N73" i="10"/>
  <c r="O73" i="10"/>
  <c r="P73" i="10"/>
  <c r="Q73" i="10"/>
  <c r="R73" i="10"/>
  <c r="S73" i="10"/>
  <c r="T73" i="10"/>
  <c r="U73" i="10"/>
  <c r="V73" i="10"/>
  <c r="W73" i="10"/>
  <c r="C74" i="10"/>
  <c r="D74" i="10"/>
  <c r="E74" i="10"/>
  <c r="F74" i="10"/>
  <c r="G74" i="10"/>
  <c r="H74" i="10"/>
  <c r="M74" i="10"/>
  <c r="N74" i="10"/>
  <c r="O74" i="10"/>
  <c r="P74" i="10"/>
  <c r="Q74" i="10"/>
  <c r="R74" i="10"/>
  <c r="S74" i="10"/>
  <c r="T74" i="10"/>
  <c r="U74" i="10"/>
  <c r="V74" i="10"/>
  <c r="W74" i="10"/>
  <c r="C75" i="10"/>
  <c r="D75" i="10"/>
  <c r="E75" i="10"/>
  <c r="F75" i="10"/>
  <c r="G75" i="10"/>
  <c r="H75" i="10"/>
  <c r="M75" i="10"/>
  <c r="N75" i="10"/>
  <c r="O75" i="10"/>
  <c r="P75" i="10"/>
  <c r="Q75" i="10"/>
  <c r="R75" i="10"/>
  <c r="S75" i="10"/>
  <c r="T75" i="10"/>
  <c r="U75" i="10"/>
  <c r="V75" i="10"/>
  <c r="W75" i="10"/>
  <c r="C76" i="10"/>
  <c r="D76" i="10"/>
  <c r="E76" i="10"/>
  <c r="F76" i="10"/>
  <c r="G76" i="10"/>
  <c r="H76" i="10"/>
  <c r="M76" i="10"/>
  <c r="N76" i="10"/>
  <c r="O76" i="10"/>
  <c r="P76" i="10"/>
  <c r="Q76" i="10"/>
  <c r="R76" i="10"/>
  <c r="S76" i="10"/>
  <c r="T76" i="10"/>
  <c r="U76" i="10"/>
  <c r="V76" i="10"/>
  <c r="W76" i="10"/>
  <c r="C77" i="10"/>
  <c r="D77" i="10"/>
  <c r="E77" i="10"/>
  <c r="F77" i="10"/>
  <c r="G77" i="10"/>
  <c r="H77" i="10"/>
  <c r="M77" i="10"/>
  <c r="N77" i="10"/>
  <c r="O77" i="10"/>
  <c r="P77" i="10"/>
  <c r="Q77" i="10"/>
  <c r="R77" i="10"/>
  <c r="S77" i="10"/>
  <c r="T77" i="10"/>
  <c r="U77" i="10"/>
  <c r="V77" i="10"/>
  <c r="W77" i="10"/>
  <c r="C78" i="10"/>
  <c r="D78" i="10"/>
  <c r="E78" i="10"/>
  <c r="F78" i="10"/>
  <c r="G78" i="10"/>
  <c r="H78" i="10"/>
  <c r="M78" i="10"/>
  <c r="N78" i="10"/>
  <c r="O78" i="10"/>
  <c r="P78" i="10"/>
  <c r="Q78" i="10"/>
  <c r="R78" i="10"/>
  <c r="S78" i="10"/>
  <c r="T78" i="10"/>
  <c r="U78" i="10"/>
  <c r="V78" i="10"/>
  <c r="W78" i="10"/>
  <c r="C83" i="10"/>
  <c r="D83" i="10"/>
  <c r="E83" i="10"/>
  <c r="F83" i="10"/>
  <c r="G83" i="10"/>
  <c r="H83" i="10"/>
  <c r="M83" i="10"/>
  <c r="N83" i="10"/>
  <c r="O83" i="10"/>
  <c r="P83" i="10"/>
  <c r="Q83" i="10"/>
  <c r="R83" i="10"/>
  <c r="S83" i="10"/>
  <c r="T83" i="10"/>
  <c r="U83" i="10"/>
  <c r="V83" i="10"/>
  <c r="W83" i="10"/>
  <c r="B3" i="10"/>
  <c r="B5" i="10"/>
  <c r="B7" i="10"/>
  <c r="B8" i="10"/>
  <c r="B9" i="10"/>
  <c r="B9" i="11" s="1"/>
  <c r="B10" i="10"/>
  <c r="B11" i="10"/>
  <c r="B12" i="10"/>
  <c r="B13" i="10"/>
  <c r="B14" i="10"/>
  <c r="B16" i="10"/>
  <c r="B17" i="10"/>
  <c r="B19" i="10"/>
  <c r="B21" i="10"/>
  <c r="B22" i="10"/>
  <c r="B23" i="10"/>
  <c r="B24" i="10"/>
  <c r="B25" i="10"/>
  <c r="B26" i="10"/>
  <c r="B27" i="10"/>
  <c r="B28" i="10"/>
  <c r="B29" i="10"/>
  <c r="B30" i="10"/>
  <c r="B31" i="10"/>
  <c r="B32" i="10"/>
  <c r="B33" i="10"/>
  <c r="B34" i="10"/>
  <c r="B35" i="10"/>
  <c r="B36" i="10"/>
  <c r="B37" i="10"/>
  <c r="B38" i="10"/>
  <c r="B39" i="10"/>
  <c r="B40" i="10"/>
  <c r="B41" i="10"/>
  <c r="B42" i="10"/>
  <c r="B43" i="10"/>
  <c r="B44" i="10"/>
  <c r="B45" i="10"/>
  <c r="B46" i="10"/>
  <c r="B47" i="10"/>
  <c r="B48" i="10"/>
  <c r="B49" i="10"/>
  <c r="B50" i="10"/>
  <c r="B51" i="10"/>
  <c r="B52" i="10"/>
  <c r="B53" i="10"/>
  <c r="B54" i="10"/>
  <c r="B55" i="10"/>
  <c r="B56" i="10"/>
  <c r="B57" i="10"/>
  <c r="B58" i="10"/>
  <c r="B59" i="10"/>
  <c r="B60" i="10"/>
  <c r="B61" i="10"/>
  <c r="B62" i="10"/>
  <c r="B63" i="10"/>
  <c r="B64" i="10"/>
  <c r="B65" i="10"/>
  <c r="B66" i="10"/>
  <c r="B67" i="10"/>
  <c r="B68" i="10"/>
  <c r="B69" i="10"/>
  <c r="B70" i="10"/>
  <c r="B71" i="10"/>
  <c r="B72" i="10"/>
  <c r="B73" i="10"/>
  <c r="B74" i="10"/>
  <c r="B75" i="10"/>
  <c r="B76" i="10"/>
  <c r="B77" i="10"/>
  <c r="B78" i="10"/>
  <c r="B83" i="10"/>
  <c r="B2" i="10"/>
  <c r="A49" i="10"/>
  <c r="A50" i="10"/>
  <c r="A51" i="10"/>
  <c r="A52" i="10"/>
  <c r="A53" i="10"/>
  <c r="A54" i="10"/>
  <c r="A55" i="10"/>
  <c r="A56" i="10"/>
  <c r="A57" i="10"/>
  <c r="A58" i="10"/>
  <c r="A59" i="10"/>
  <c r="A60" i="10"/>
  <c r="A61" i="10"/>
  <c r="A62" i="10"/>
  <c r="A63" i="10"/>
  <c r="A64" i="10"/>
  <c r="A65" i="10"/>
  <c r="A66" i="10"/>
  <c r="A67" i="10"/>
  <c r="A68" i="10"/>
  <c r="A69" i="10"/>
  <c r="A70" i="10"/>
  <c r="A71" i="10"/>
  <c r="A72" i="10"/>
  <c r="A73" i="10"/>
  <c r="A74" i="10"/>
  <c r="A75" i="10"/>
  <c r="A76" i="10"/>
  <c r="A77" i="10"/>
  <c r="A78" i="10"/>
  <c r="A83" i="10"/>
  <c r="A84" i="10"/>
  <c r="A3" i="10"/>
  <c r="A4" i="10"/>
  <c r="A5" i="10"/>
  <c r="A7" i="10"/>
  <c r="A8" i="10"/>
  <c r="A9" i="10"/>
  <c r="A10" i="10"/>
  <c r="A11" i="10"/>
  <c r="A12" i="10"/>
  <c r="A13" i="10"/>
  <c r="A14" i="10"/>
  <c r="A15" i="10"/>
  <c r="A16" i="10"/>
  <c r="A17" i="10"/>
  <c r="A18" i="10"/>
  <c r="A19" i="10"/>
  <c r="A20" i="10"/>
  <c r="A21" i="10"/>
  <c r="A22" i="10"/>
  <c r="A23" i="10"/>
  <c r="A24" i="10"/>
  <c r="A25" i="10"/>
  <c r="A26" i="10"/>
  <c r="A27" i="10"/>
  <c r="A28" i="10"/>
  <c r="A29" i="10"/>
  <c r="A30" i="10"/>
  <c r="A31" i="10"/>
  <c r="A32" i="10"/>
  <c r="A33" i="10"/>
  <c r="A34" i="10"/>
  <c r="A35" i="10"/>
  <c r="A36" i="10"/>
  <c r="A37" i="10"/>
  <c r="A38" i="10"/>
  <c r="A39" i="10"/>
  <c r="A40" i="10"/>
  <c r="A41" i="10"/>
  <c r="A42" i="10"/>
  <c r="A43" i="10"/>
  <c r="A44" i="10"/>
  <c r="A45" i="10"/>
  <c r="A46" i="10"/>
  <c r="A47" i="10"/>
  <c r="A48" i="10"/>
  <c r="A2" i="10"/>
  <c r="B1" i="10"/>
  <c r="C1" i="10"/>
  <c r="D1" i="10"/>
  <c r="E1" i="10"/>
  <c r="F1" i="10"/>
  <c r="G1" i="10"/>
  <c r="H1" i="10"/>
  <c r="M1" i="10"/>
  <c r="N1" i="10"/>
  <c r="O1" i="10"/>
  <c r="P1" i="10"/>
  <c r="Q1" i="10"/>
  <c r="R1" i="10"/>
  <c r="S1" i="10"/>
  <c r="T1" i="10"/>
  <c r="U1" i="10"/>
  <c r="A1" i="10"/>
  <c r="F97" i="6"/>
  <c r="G97" i="6"/>
  <c r="H97" i="6"/>
  <c r="I97" i="6"/>
  <c r="J97" i="6"/>
  <c r="K97" i="6"/>
  <c r="E97" i="6"/>
  <c r="L21" i="7"/>
  <c r="L20" i="7"/>
  <c r="K19" i="7"/>
  <c r="AE13" i="7"/>
  <c r="AD13" i="7"/>
  <c r="AC13" i="7"/>
  <c r="AB13" i="7"/>
  <c r="AA13" i="7"/>
  <c r="Z13" i="7"/>
  <c r="Y13" i="7"/>
  <c r="X13" i="7"/>
  <c r="W13" i="7"/>
  <c r="V13" i="7"/>
  <c r="U13" i="7"/>
  <c r="T13" i="7"/>
  <c r="S13" i="7"/>
  <c r="R13" i="7"/>
  <c r="C13" i="7"/>
  <c r="D13" i="7"/>
  <c r="E13" i="7"/>
  <c r="F13" i="7"/>
  <c r="G13" i="7"/>
  <c r="H13" i="7"/>
  <c r="I13" i="7"/>
  <c r="J13" i="7"/>
  <c r="K13" i="7"/>
  <c r="L13" i="7"/>
  <c r="M13" i="7"/>
  <c r="N13" i="7"/>
  <c r="O13" i="7"/>
  <c r="B13" i="7"/>
  <c r="C21" i="11" l="1"/>
  <c r="V97" i="6"/>
  <c r="W4" i="10"/>
  <c r="B78" i="11"/>
  <c r="B70" i="11"/>
  <c r="B62" i="11"/>
  <c r="B46" i="11"/>
  <c r="P77" i="11"/>
  <c r="B38" i="11"/>
  <c r="B74" i="11"/>
  <c r="B66" i="11"/>
  <c r="B58" i="11"/>
  <c r="B54" i="11"/>
  <c r="B50" i="11"/>
  <c r="B42" i="11"/>
  <c r="B34" i="11"/>
  <c r="B30" i="11"/>
  <c r="B16" i="11"/>
  <c r="V83" i="11"/>
  <c r="W78" i="11"/>
  <c r="G78" i="11"/>
  <c r="Q76" i="11"/>
  <c r="N71" i="11"/>
  <c r="T49" i="11"/>
  <c r="P49" i="11"/>
  <c r="H49" i="11"/>
  <c r="U48" i="11"/>
  <c r="Q48" i="11"/>
  <c r="E48" i="11"/>
  <c r="R47" i="11"/>
  <c r="F47" i="11"/>
  <c r="S46" i="11"/>
  <c r="O46" i="11"/>
  <c r="C46" i="11"/>
  <c r="H45" i="11"/>
  <c r="V43" i="11"/>
  <c r="N43" i="11"/>
  <c r="F43" i="11"/>
  <c r="O42" i="11"/>
  <c r="P41" i="11"/>
  <c r="V39" i="11"/>
  <c r="N39" i="11"/>
  <c r="W38" i="11"/>
  <c r="O38" i="11"/>
  <c r="C38" i="11"/>
  <c r="P37" i="11"/>
  <c r="H37" i="11"/>
  <c r="D37" i="11"/>
  <c r="U36" i="11"/>
  <c r="Q36" i="11"/>
  <c r="E36" i="11"/>
  <c r="R35" i="11"/>
  <c r="F35" i="11"/>
  <c r="S34" i="11"/>
  <c r="O34" i="11"/>
  <c r="C34" i="11"/>
  <c r="T33" i="11"/>
  <c r="H33" i="11"/>
  <c r="D33" i="11"/>
  <c r="U32" i="11"/>
  <c r="Q32" i="11"/>
  <c r="E32" i="11"/>
  <c r="R31" i="11"/>
  <c r="F31" i="11"/>
  <c r="W30" i="11"/>
  <c r="G30" i="11"/>
  <c r="P29" i="11"/>
  <c r="R27" i="11"/>
  <c r="F27" i="11"/>
  <c r="S26" i="11"/>
  <c r="C26" i="11"/>
  <c r="V23" i="11"/>
  <c r="N23" i="11"/>
  <c r="W22" i="11"/>
  <c r="S22" i="11"/>
  <c r="G22" i="11"/>
  <c r="T21" i="11"/>
  <c r="H21" i="11"/>
  <c r="U19" i="11"/>
  <c r="Q19" i="11"/>
  <c r="E19" i="11"/>
  <c r="R17" i="11"/>
  <c r="W16" i="11"/>
  <c r="O16" i="11"/>
  <c r="G16" i="11"/>
  <c r="T14" i="11"/>
  <c r="P14" i="11"/>
  <c r="H14" i="11"/>
  <c r="D14" i="11"/>
  <c r="U13" i="11"/>
  <c r="Q13" i="11"/>
  <c r="E13" i="11"/>
  <c r="V12" i="11"/>
  <c r="N12" i="11"/>
  <c r="W11" i="11"/>
  <c r="O11" i="11"/>
  <c r="G11" i="11"/>
  <c r="T10" i="11"/>
  <c r="H10" i="11"/>
  <c r="U9" i="11"/>
  <c r="V8" i="11"/>
  <c r="N8" i="11"/>
  <c r="W7" i="11"/>
  <c r="G7" i="11"/>
  <c r="H5" i="11"/>
  <c r="U6" i="11"/>
  <c r="Q6" i="11"/>
  <c r="E6" i="11"/>
  <c r="S15" i="11"/>
  <c r="O15" i="11"/>
  <c r="C15" i="11"/>
  <c r="U18" i="11"/>
  <c r="Q18" i="11"/>
  <c r="E18" i="11"/>
  <c r="S20" i="11"/>
  <c r="O20" i="11"/>
  <c r="C20" i="11"/>
  <c r="B73" i="11"/>
  <c r="B65" i="11"/>
  <c r="B53" i="11"/>
  <c r="B45" i="11"/>
  <c r="B37" i="11"/>
  <c r="B29" i="11"/>
  <c r="B14" i="11"/>
  <c r="B10" i="11"/>
  <c r="B5" i="11"/>
  <c r="U83" i="11"/>
  <c r="E83" i="11"/>
  <c r="V78" i="11"/>
  <c r="R78" i="11"/>
  <c r="N78" i="11"/>
  <c r="F78" i="11"/>
  <c r="W77" i="11"/>
  <c r="S77" i="11"/>
  <c r="O77" i="11"/>
  <c r="G77" i="11"/>
  <c r="C77" i="11"/>
  <c r="T76" i="11"/>
  <c r="P76" i="11"/>
  <c r="H76" i="11"/>
  <c r="D76" i="11"/>
  <c r="U75" i="11"/>
  <c r="Q75" i="11"/>
  <c r="E75" i="11"/>
  <c r="V74" i="11"/>
  <c r="R74" i="11"/>
  <c r="N74" i="11"/>
  <c r="F74" i="11"/>
  <c r="W73" i="11"/>
  <c r="S73" i="11"/>
  <c r="O73" i="11"/>
  <c r="G73" i="11"/>
  <c r="C73" i="11"/>
  <c r="T72" i="11"/>
  <c r="P72" i="11"/>
  <c r="H72" i="11"/>
  <c r="D72" i="11"/>
  <c r="U71" i="11"/>
  <c r="Q71" i="11"/>
  <c r="E71" i="11"/>
  <c r="V70" i="11"/>
  <c r="R70" i="11"/>
  <c r="N70" i="11"/>
  <c r="F70" i="11"/>
  <c r="W69" i="11"/>
  <c r="S69" i="11"/>
  <c r="O69" i="11"/>
  <c r="G69" i="11"/>
  <c r="C69" i="11"/>
  <c r="T68" i="11"/>
  <c r="P68" i="11"/>
  <c r="H68" i="11"/>
  <c r="U67" i="11"/>
  <c r="Q67" i="11"/>
  <c r="E67" i="11"/>
  <c r="V66" i="11"/>
  <c r="R66" i="11"/>
  <c r="N66" i="11"/>
  <c r="F66" i="11"/>
  <c r="W65" i="11"/>
  <c r="S65" i="11"/>
  <c r="O65" i="11"/>
  <c r="G65" i="11"/>
  <c r="C65" i="11"/>
  <c r="T64" i="11"/>
  <c r="P64" i="11"/>
  <c r="H64" i="11"/>
  <c r="D64" i="11"/>
  <c r="U63" i="11"/>
  <c r="Q63" i="11"/>
  <c r="E63" i="11"/>
  <c r="V62" i="11"/>
  <c r="R62" i="11"/>
  <c r="N62" i="11"/>
  <c r="F62" i="11"/>
  <c r="W61" i="11"/>
  <c r="S61" i="11"/>
  <c r="O61" i="11"/>
  <c r="G61" i="11"/>
  <c r="C61" i="11"/>
  <c r="T60" i="11"/>
  <c r="P60" i="11"/>
  <c r="H60" i="11"/>
  <c r="D60" i="11"/>
  <c r="U59" i="11"/>
  <c r="Q59" i="11"/>
  <c r="E59" i="11"/>
  <c r="V58" i="11"/>
  <c r="R58" i="11"/>
  <c r="N58" i="11"/>
  <c r="F58" i="11"/>
  <c r="W57" i="11"/>
  <c r="S57" i="11"/>
  <c r="O57" i="11"/>
  <c r="G57" i="11"/>
  <c r="C57" i="11"/>
  <c r="T56" i="11"/>
  <c r="P56" i="11"/>
  <c r="H56" i="11"/>
  <c r="D56" i="11"/>
  <c r="U55" i="11"/>
  <c r="Q55" i="11"/>
  <c r="E55" i="11"/>
  <c r="V54" i="11"/>
  <c r="R54" i="11"/>
  <c r="N54" i="11"/>
  <c r="F54" i="11"/>
  <c r="W53" i="11"/>
  <c r="S53" i="11"/>
  <c r="O53" i="11"/>
  <c r="G53" i="11"/>
  <c r="C53" i="11"/>
  <c r="T52" i="11"/>
  <c r="P52" i="11"/>
  <c r="H52" i="11"/>
  <c r="D52" i="11"/>
  <c r="U51" i="11"/>
  <c r="Q51" i="11"/>
  <c r="E51" i="11"/>
  <c r="V50" i="11"/>
  <c r="R50" i="11"/>
  <c r="N50" i="11"/>
  <c r="F50" i="11"/>
  <c r="W49" i="11"/>
  <c r="S49" i="11"/>
  <c r="O49" i="11"/>
  <c r="G49" i="11"/>
  <c r="C49" i="11"/>
  <c r="T48" i="11"/>
  <c r="P48" i="11"/>
  <c r="H48" i="11"/>
  <c r="D48" i="11"/>
  <c r="U47" i="11"/>
  <c r="Q47" i="11"/>
  <c r="E47" i="11"/>
  <c r="V46" i="11"/>
  <c r="R46" i="11"/>
  <c r="N46" i="11"/>
  <c r="F46" i="11"/>
  <c r="W45" i="11"/>
  <c r="S45" i="11"/>
  <c r="O45" i="11"/>
  <c r="G45" i="11"/>
  <c r="C45" i="11"/>
  <c r="T44" i="11"/>
  <c r="P44" i="11"/>
  <c r="H44" i="11"/>
  <c r="D44" i="11"/>
  <c r="U43" i="11"/>
  <c r="Q43" i="11"/>
  <c r="E43" i="11"/>
  <c r="V42" i="11"/>
  <c r="R42" i="11"/>
  <c r="N42" i="11"/>
  <c r="F42" i="11"/>
  <c r="W41" i="11"/>
  <c r="S41" i="11"/>
  <c r="O41" i="11"/>
  <c r="G41" i="11"/>
  <c r="C41" i="11"/>
  <c r="T40" i="11"/>
  <c r="P40" i="11"/>
  <c r="H40" i="11"/>
  <c r="D40" i="11"/>
  <c r="U39" i="11"/>
  <c r="Q39" i="11"/>
  <c r="E39" i="11"/>
  <c r="V38" i="11"/>
  <c r="R38" i="11"/>
  <c r="N38" i="11"/>
  <c r="F38" i="11"/>
  <c r="W37" i="11"/>
  <c r="S37" i="11"/>
  <c r="O37" i="11"/>
  <c r="G37" i="11"/>
  <c r="C37" i="11"/>
  <c r="T36" i="11"/>
  <c r="P36" i="11"/>
  <c r="H36" i="11"/>
  <c r="D36" i="11"/>
  <c r="U35" i="11"/>
  <c r="Q35" i="11"/>
  <c r="E35" i="11"/>
  <c r="V34" i="11"/>
  <c r="R34" i="11"/>
  <c r="N34" i="11"/>
  <c r="F34" i="11"/>
  <c r="W33" i="11"/>
  <c r="S33" i="11"/>
  <c r="O33" i="11"/>
  <c r="G33" i="11"/>
  <c r="C33" i="11"/>
  <c r="T32" i="11"/>
  <c r="P32" i="11"/>
  <c r="H32" i="11"/>
  <c r="D32" i="11"/>
  <c r="U31" i="11"/>
  <c r="Q31" i="11"/>
  <c r="E31" i="11"/>
  <c r="V30" i="11"/>
  <c r="R30" i="11"/>
  <c r="N30" i="11"/>
  <c r="F30" i="11"/>
  <c r="W29" i="11"/>
  <c r="S29" i="11"/>
  <c r="O29" i="11"/>
  <c r="G29" i="11"/>
  <c r="C29" i="11"/>
  <c r="T28" i="11"/>
  <c r="P28" i="11"/>
  <c r="H28" i="11"/>
  <c r="D28" i="11"/>
  <c r="U27" i="11"/>
  <c r="Q27" i="11"/>
  <c r="E27" i="11"/>
  <c r="V26" i="11"/>
  <c r="R26" i="11"/>
  <c r="N26" i="11"/>
  <c r="F26" i="11"/>
  <c r="W25" i="11"/>
  <c r="S25" i="11"/>
  <c r="O25" i="11"/>
  <c r="G25" i="11"/>
  <c r="C25" i="11"/>
  <c r="T24" i="11"/>
  <c r="P24" i="11"/>
  <c r="H24" i="11"/>
  <c r="D24" i="11"/>
  <c r="U23" i="11"/>
  <c r="Q23" i="11"/>
  <c r="E23" i="11"/>
  <c r="V22" i="11"/>
  <c r="R22" i="11"/>
  <c r="N22" i="11"/>
  <c r="F22" i="11"/>
  <c r="W21" i="11"/>
  <c r="S21" i="11"/>
  <c r="O21" i="11"/>
  <c r="G21" i="11"/>
  <c r="T19" i="11"/>
  <c r="P19" i="11"/>
  <c r="H19" i="11"/>
  <c r="D19" i="11"/>
  <c r="U17" i="11"/>
  <c r="Q17" i="11"/>
  <c r="E17" i="11"/>
  <c r="V16" i="11"/>
  <c r="R16" i="11"/>
  <c r="N16" i="11"/>
  <c r="F16" i="11"/>
  <c r="W14" i="11"/>
  <c r="S14" i="11"/>
  <c r="O14" i="11"/>
  <c r="G14" i="11"/>
  <c r="C14" i="11"/>
  <c r="T13" i="11"/>
  <c r="P13" i="11"/>
  <c r="H13" i="11"/>
  <c r="D13" i="11"/>
  <c r="U12" i="11"/>
  <c r="Q12" i="11"/>
  <c r="E12" i="11"/>
  <c r="V11" i="11"/>
  <c r="R11" i="11"/>
  <c r="N11" i="11"/>
  <c r="F11" i="11"/>
  <c r="W10" i="11"/>
  <c r="S10" i="11"/>
  <c r="O10" i="11"/>
  <c r="G10" i="11"/>
  <c r="C10" i="11"/>
  <c r="T9" i="11"/>
  <c r="P9" i="11"/>
  <c r="U8" i="11"/>
  <c r="Q8" i="11"/>
  <c r="E8" i="11"/>
  <c r="V7" i="11"/>
  <c r="R7" i="11"/>
  <c r="N7" i="11"/>
  <c r="F7" i="11"/>
  <c r="W5" i="11"/>
  <c r="S5" i="11"/>
  <c r="O5" i="11"/>
  <c r="G5" i="11"/>
  <c r="C5" i="11"/>
  <c r="T3" i="11"/>
  <c r="P3" i="11"/>
  <c r="U2" i="11"/>
  <c r="Q2" i="11"/>
  <c r="E2" i="11"/>
  <c r="B6" i="11"/>
  <c r="T6" i="11"/>
  <c r="P6" i="11"/>
  <c r="H6" i="11"/>
  <c r="D6" i="11"/>
  <c r="V15" i="11"/>
  <c r="R15" i="11"/>
  <c r="N15" i="11"/>
  <c r="F15" i="11"/>
  <c r="B18" i="11"/>
  <c r="T18" i="11"/>
  <c r="P18" i="11"/>
  <c r="H18" i="11"/>
  <c r="D18" i="11"/>
  <c r="V20" i="11"/>
  <c r="R20" i="11"/>
  <c r="N20" i="11"/>
  <c r="F20" i="11"/>
  <c r="B26" i="11"/>
  <c r="R83" i="11"/>
  <c r="F83" i="11"/>
  <c r="O78" i="11"/>
  <c r="C78" i="11"/>
  <c r="H77" i="11"/>
  <c r="D77" i="11"/>
  <c r="U76" i="11"/>
  <c r="V75" i="11"/>
  <c r="N75" i="11"/>
  <c r="W74" i="11"/>
  <c r="O74" i="11"/>
  <c r="C74" i="11"/>
  <c r="T73" i="11"/>
  <c r="H73" i="11"/>
  <c r="D73" i="11"/>
  <c r="U72" i="11"/>
  <c r="Q72" i="11"/>
  <c r="E72" i="11"/>
  <c r="R71" i="11"/>
  <c r="W70" i="11"/>
  <c r="O70" i="11"/>
  <c r="C70" i="11"/>
  <c r="P69" i="11"/>
  <c r="D69" i="11"/>
  <c r="U68" i="11"/>
  <c r="R67" i="11"/>
  <c r="F67" i="11"/>
  <c r="S66" i="11"/>
  <c r="G66" i="11"/>
  <c r="T65" i="11"/>
  <c r="V63" i="11"/>
  <c r="N63" i="11"/>
  <c r="W62" i="11"/>
  <c r="O62" i="11"/>
  <c r="T61" i="11"/>
  <c r="V59" i="11"/>
  <c r="N59" i="11"/>
  <c r="W58" i="11"/>
  <c r="O58" i="11"/>
  <c r="T57" i="11"/>
  <c r="V55" i="11"/>
  <c r="N55" i="11"/>
  <c r="O54" i="11"/>
  <c r="V51" i="11"/>
  <c r="N51" i="11"/>
  <c r="W50" i="11"/>
  <c r="O50" i="11"/>
  <c r="C50" i="11"/>
  <c r="D49" i="11"/>
  <c r="G42" i="11"/>
  <c r="B76" i="11"/>
  <c r="B72" i="11"/>
  <c r="B64" i="11"/>
  <c r="B60" i="11"/>
  <c r="B56" i="11"/>
  <c r="B52" i="11"/>
  <c r="B48" i="11"/>
  <c r="B44" i="11"/>
  <c r="B40" i="11"/>
  <c r="B36" i="11"/>
  <c r="B32" i="11"/>
  <c r="B28" i="11"/>
  <c r="B24" i="11"/>
  <c r="B19" i="11"/>
  <c r="B13" i="11"/>
  <c r="T83" i="11"/>
  <c r="P83" i="11"/>
  <c r="H83" i="11"/>
  <c r="D83" i="11"/>
  <c r="U78" i="11"/>
  <c r="Q78" i="11"/>
  <c r="E78" i="11"/>
  <c r="V77" i="11"/>
  <c r="R77" i="11"/>
  <c r="N77" i="11"/>
  <c r="F77" i="11"/>
  <c r="W76" i="11"/>
  <c r="S76" i="11"/>
  <c r="O76" i="11"/>
  <c r="G76" i="11"/>
  <c r="C76" i="11"/>
  <c r="T75" i="11"/>
  <c r="P75" i="11"/>
  <c r="H75" i="11"/>
  <c r="D75" i="11"/>
  <c r="U74" i="11"/>
  <c r="Q74" i="11"/>
  <c r="E74" i="11"/>
  <c r="V73" i="11"/>
  <c r="R73" i="11"/>
  <c r="N73" i="11"/>
  <c r="F73" i="11"/>
  <c r="W72" i="11"/>
  <c r="S72" i="11"/>
  <c r="O72" i="11"/>
  <c r="G72" i="11"/>
  <c r="C72" i="11"/>
  <c r="T71" i="11"/>
  <c r="P71" i="11"/>
  <c r="H71" i="11"/>
  <c r="D71" i="11"/>
  <c r="U70" i="11"/>
  <c r="Q70" i="11"/>
  <c r="E70" i="11"/>
  <c r="V69" i="11"/>
  <c r="R69" i="11"/>
  <c r="N69" i="11"/>
  <c r="F69" i="11"/>
  <c r="W68" i="11"/>
  <c r="S68" i="11"/>
  <c r="O68" i="11"/>
  <c r="G68" i="11"/>
  <c r="T67" i="11"/>
  <c r="P67" i="11"/>
  <c r="H67" i="11"/>
  <c r="D67" i="11"/>
  <c r="U66" i="11"/>
  <c r="Q66" i="11"/>
  <c r="E66" i="11"/>
  <c r="V65" i="11"/>
  <c r="R65" i="11"/>
  <c r="N65" i="11"/>
  <c r="F65" i="11"/>
  <c r="W64" i="11"/>
  <c r="S64" i="11"/>
  <c r="O64" i="11"/>
  <c r="G64" i="11"/>
  <c r="C64" i="11"/>
  <c r="T63" i="11"/>
  <c r="P63" i="11"/>
  <c r="H63" i="11"/>
  <c r="D63" i="11"/>
  <c r="U62" i="11"/>
  <c r="Q62" i="11"/>
  <c r="E62" i="11"/>
  <c r="V61" i="11"/>
  <c r="R61" i="11"/>
  <c r="N61" i="11"/>
  <c r="F61" i="11"/>
  <c r="W60" i="11"/>
  <c r="S60" i="11"/>
  <c r="O60" i="11"/>
  <c r="G60" i="11"/>
  <c r="C60" i="11"/>
  <c r="T59" i="11"/>
  <c r="P59" i="11"/>
  <c r="H59" i="11"/>
  <c r="D59" i="11"/>
  <c r="U58" i="11"/>
  <c r="Q58" i="11"/>
  <c r="E58" i="11"/>
  <c r="V57" i="11"/>
  <c r="R57" i="11"/>
  <c r="N57" i="11"/>
  <c r="F57" i="11"/>
  <c r="W56" i="11"/>
  <c r="S56" i="11"/>
  <c r="O56" i="11"/>
  <c r="G56" i="11"/>
  <c r="C56" i="11"/>
  <c r="T55" i="11"/>
  <c r="P55" i="11"/>
  <c r="H55" i="11"/>
  <c r="D55" i="11"/>
  <c r="U54" i="11"/>
  <c r="Q54" i="11"/>
  <c r="E54" i="11"/>
  <c r="V53" i="11"/>
  <c r="R53" i="11"/>
  <c r="N53" i="11"/>
  <c r="F53" i="11"/>
  <c r="W52" i="11"/>
  <c r="S52" i="11"/>
  <c r="O52" i="11"/>
  <c r="G52" i="11"/>
  <c r="C52" i="11"/>
  <c r="T51" i="11"/>
  <c r="P51" i="11"/>
  <c r="H51" i="11"/>
  <c r="D51" i="11"/>
  <c r="U50" i="11"/>
  <c r="Q50" i="11"/>
  <c r="E50" i="11"/>
  <c r="V49" i="11"/>
  <c r="R49" i="11"/>
  <c r="N49" i="11"/>
  <c r="F49" i="11"/>
  <c r="W48" i="11"/>
  <c r="S48" i="11"/>
  <c r="O48" i="11"/>
  <c r="G48" i="11"/>
  <c r="C48" i="11"/>
  <c r="T47" i="11"/>
  <c r="P47" i="11"/>
  <c r="H47" i="11"/>
  <c r="D47" i="11"/>
  <c r="U46" i="11"/>
  <c r="Q46" i="11"/>
  <c r="E46" i="11"/>
  <c r="V45" i="11"/>
  <c r="R45" i="11"/>
  <c r="N45" i="11"/>
  <c r="F45" i="11"/>
  <c r="W44" i="11"/>
  <c r="S44" i="11"/>
  <c r="O44" i="11"/>
  <c r="G44" i="11"/>
  <c r="C44" i="11"/>
  <c r="T43" i="11"/>
  <c r="P43" i="11"/>
  <c r="H43" i="11"/>
  <c r="D43" i="11"/>
  <c r="U42" i="11"/>
  <c r="Q42" i="11"/>
  <c r="E42" i="11"/>
  <c r="V41" i="11"/>
  <c r="R41" i="11"/>
  <c r="N41" i="11"/>
  <c r="F41" i="11"/>
  <c r="W40" i="11"/>
  <c r="S40" i="11"/>
  <c r="O40" i="11"/>
  <c r="G40" i="11"/>
  <c r="C40" i="11"/>
  <c r="T39" i="11"/>
  <c r="P39" i="11"/>
  <c r="H39" i="11"/>
  <c r="D39" i="11"/>
  <c r="U38" i="11"/>
  <c r="Q38" i="11"/>
  <c r="E38" i="11"/>
  <c r="V37" i="11"/>
  <c r="R37" i="11"/>
  <c r="N37" i="11"/>
  <c r="F37" i="11"/>
  <c r="W36" i="11"/>
  <c r="S36" i="11"/>
  <c r="O36" i="11"/>
  <c r="G36" i="11"/>
  <c r="C36" i="11"/>
  <c r="T35" i="11"/>
  <c r="P35" i="11"/>
  <c r="H35" i="11"/>
  <c r="D35" i="11"/>
  <c r="U34" i="11"/>
  <c r="Q34" i="11"/>
  <c r="E34" i="11"/>
  <c r="V33" i="11"/>
  <c r="R33" i="11"/>
  <c r="N33" i="11"/>
  <c r="F33" i="11"/>
  <c r="W32" i="11"/>
  <c r="S32" i="11"/>
  <c r="O32" i="11"/>
  <c r="G32" i="11"/>
  <c r="C32" i="11"/>
  <c r="T31" i="11"/>
  <c r="P31" i="11"/>
  <c r="H31" i="11"/>
  <c r="D31" i="11"/>
  <c r="U30" i="11"/>
  <c r="Q30" i="11"/>
  <c r="E30" i="11"/>
  <c r="V29" i="11"/>
  <c r="R29" i="11"/>
  <c r="N29" i="11"/>
  <c r="F29" i="11"/>
  <c r="W28" i="11"/>
  <c r="S28" i="11"/>
  <c r="O28" i="11"/>
  <c r="G28" i="11"/>
  <c r="C28" i="11"/>
  <c r="T27" i="11"/>
  <c r="P27" i="11"/>
  <c r="H27" i="11"/>
  <c r="D27" i="11"/>
  <c r="U26" i="11"/>
  <c r="Q26" i="11"/>
  <c r="E26" i="11"/>
  <c r="V25" i="11"/>
  <c r="R25" i="11"/>
  <c r="N25" i="11"/>
  <c r="F25" i="11"/>
  <c r="W24" i="11"/>
  <c r="S24" i="11"/>
  <c r="O24" i="11"/>
  <c r="G24" i="11"/>
  <c r="C24" i="11"/>
  <c r="T23" i="11"/>
  <c r="P23" i="11"/>
  <c r="H23" i="11"/>
  <c r="D23" i="11"/>
  <c r="U22" i="11"/>
  <c r="Q22" i="11"/>
  <c r="E22" i="11"/>
  <c r="V21" i="11"/>
  <c r="R21" i="11"/>
  <c r="N21" i="11"/>
  <c r="F21" i="11"/>
  <c r="W19" i="11"/>
  <c r="S19" i="11"/>
  <c r="O19" i="11"/>
  <c r="G19" i="11"/>
  <c r="C19" i="11"/>
  <c r="T17" i="11"/>
  <c r="P17" i="11"/>
  <c r="H17" i="11"/>
  <c r="D17" i="11"/>
  <c r="U16" i="11"/>
  <c r="Q16" i="11"/>
  <c r="E16" i="11"/>
  <c r="V14" i="11"/>
  <c r="R14" i="11"/>
  <c r="N14" i="11"/>
  <c r="F14" i="11"/>
  <c r="W13" i="11"/>
  <c r="S13" i="11"/>
  <c r="O13" i="11"/>
  <c r="G13" i="11"/>
  <c r="C13" i="11"/>
  <c r="T12" i="11"/>
  <c r="P12" i="11"/>
  <c r="H12" i="11"/>
  <c r="D12" i="11"/>
  <c r="U11" i="11"/>
  <c r="Q11" i="11"/>
  <c r="E11" i="11"/>
  <c r="V10" i="11"/>
  <c r="R10" i="11"/>
  <c r="N10" i="11"/>
  <c r="F10" i="11"/>
  <c r="W9" i="11"/>
  <c r="S9" i="11"/>
  <c r="O9" i="11"/>
  <c r="T8" i="11"/>
  <c r="P8" i="11"/>
  <c r="H8" i="11"/>
  <c r="U7" i="11"/>
  <c r="Q7" i="11"/>
  <c r="E7" i="11"/>
  <c r="V5" i="11"/>
  <c r="R5" i="11"/>
  <c r="N5" i="11"/>
  <c r="F5" i="11"/>
  <c r="W3" i="11"/>
  <c r="S3" i="11"/>
  <c r="O3" i="11"/>
  <c r="T2" i="11"/>
  <c r="P2" i="11"/>
  <c r="H2" i="11"/>
  <c r="D2" i="11"/>
  <c r="W6" i="11"/>
  <c r="S6" i="11"/>
  <c r="O6" i="11"/>
  <c r="G6" i="11"/>
  <c r="C6" i="11"/>
  <c r="U15" i="11"/>
  <c r="Q15" i="11"/>
  <c r="E15" i="11"/>
  <c r="W18" i="11"/>
  <c r="S18" i="11"/>
  <c r="O18" i="11"/>
  <c r="G18" i="11"/>
  <c r="C18" i="11"/>
  <c r="U20" i="11"/>
  <c r="Q20" i="11"/>
  <c r="E20" i="11"/>
  <c r="B22" i="11"/>
  <c r="B7" i="11"/>
  <c r="N83" i="11"/>
  <c r="S78" i="11"/>
  <c r="T77" i="11"/>
  <c r="E76" i="11"/>
  <c r="R75" i="11"/>
  <c r="F75" i="11"/>
  <c r="S74" i="11"/>
  <c r="G74" i="11"/>
  <c r="P73" i="11"/>
  <c r="V71" i="11"/>
  <c r="F71" i="11"/>
  <c r="S70" i="11"/>
  <c r="G70" i="11"/>
  <c r="T69" i="11"/>
  <c r="H69" i="11"/>
  <c r="Q68" i="11"/>
  <c r="V67" i="11"/>
  <c r="N67" i="11"/>
  <c r="W66" i="11"/>
  <c r="O66" i="11"/>
  <c r="C66" i="11"/>
  <c r="P65" i="11"/>
  <c r="H65" i="11"/>
  <c r="D65" i="11"/>
  <c r="U64" i="11"/>
  <c r="Q64" i="11"/>
  <c r="E64" i="11"/>
  <c r="R63" i="11"/>
  <c r="F63" i="11"/>
  <c r="S62" i="11"/>
  <c r="G62" i="11"/>
  <c r="C62" i="11"/>
  <c r="P61" i="11"/>
  <c r="H61" i="11"/>
  <c r="D61" i="11"/>
  <c r="U60" i="11"/>
  <c r="Q60" i="11"/>
  <c r="E60" i="11"/>
  <c r="R59" i="11"/>
  <c r="F59" i="11"/>
  <c r="S58" i="11"/>
  <c r="G58" i="11"/>
  <c r="C58" i="11"/>
  <c r="P57" i="11"/>
  <c r="H57" i="11"/>
  <c r="D57" i="11"/>
  <c r="U56" i="11"/>
  <c r="Q56" i="11"/>
  <c r="E56" i="11"/>
  <c r="R55" i="11"/>
  <c r="F55" i="11"/>
  <c r="W54" i="11"/>
  <c r="S54" i="11"/>
  <c r="G54" i="11"/>
  <c r="C54" i="11"/>
  <c r="T53" i="11"/>
  <c r="P53" i="11"/>
  <c r="H53" i="11"/>
  <c r="D53" i="11"/>
  <c r="U52" i="11"/>
  <c r="Q52" i="11"/>
  <c r="E52" i="11"/>
  <c r="R51" i="11"/>
  <c r="F51" i="11"/>
  <c r="S50" i="11"/>
  <c r="G50" i="11"/>
  <c r="V47" i="11"/>
  <c r="N47" i="11"/>
  <c r="W46" i="11"/>
  <c r="G46" i="11"/>
  <c r="T45" i="11"/>
  <c r="P45" i="11"/>
  <c r="D45" i="11"/>
  <c r="U44" i="11"/>
  <c r="Q44" i="11"/>
  <c r="E44" i="11"/>
  <c r="R43" i="11"/>
  <c r="W42" i="11"/>
  <c r="S42" i="11"/>
  <c r="C42" i="11"/>
  <c r="T41" i="11"/>
  <c r="H41" i="11"/>
  <c r="B8" i="18" s="1"/>
  <c r="D41" i="11"/>
  <c r="U40" i="11"/>
  <c r="Q40" i="11"/>
  <c r="E40" i="11"/>
  <c r="R39" i="11"/>
  <c r="F39" i="11"/>
  <c r="S38" i="11"/>
  <c r="G38" i="11"/>
  <c r="T37" i="11"/>
  <c r="V35" i="11"/>
  <c r="N35" i="11"/>
  <c r="W34" i="11"/>
  <c r="G34" i="11"/>
  <c r="P33" i="11"/>
  <c r="V31" i="11"/>
  <c r="N31" i="11"/>
  <c r="S30" i="11"/>
  <c r="O30" i="11"/>
  <c r="C30" i="11"/>
  <c r="T29" i="11"/>
  <c r="H29" i="11"/>
  <c r="D29" i="11"/>
  <c r="U28" i="11"/>
  <c r="Q28" i="11"/>
  <c r="E28" i="11"/>
  <c r="V27" i="11"/>
  <c r="N27" i="11"/>
  <c r="W26" i="11"/>
  <c r="O26" i="11"/>
  <c r="G26" i="11"/>
  <c r="T25" i="11"/>
  <c r="P25" i="11"/>
  <c r="H25" i="11"/>
  <c r="D25" i="11"/>
  <c r="U24" i="11"/>
  <c r="Q24" i="11"/>
  <c r="E24" i="11"/>
  <c r="R23" i="11"/>
  <c r="F23" i="11"/>
  <c r="O22" i="11"/>
  <c r="C22" i="11"/>
  <c r="P21" i="11"/>
  <c r="V17" i="11"/>
  <c r="N17" i="11"/>
  <c r="F17" i="11"/>
  <c r="S16" i="11"/>
  <c r="C16" i="11"/>
  <c r="R12" i="11"/>
  <c r="F12" i="11"/>
  <c r="S11" i="11"/>
  <c r="P10" i="11"/>
  <c r="D10" i="11"/>
  <c r="Q9" i="11"/>
  <c r="R8" i="11"/>
  <c r="F8" i="11"/>
  <c r="S7" i="11"/>
  <c r="O7" i="11"/>
  <c r="C7" i="11"/>
  <c r="T5" i="11"/>
  <c r="P5" i="11"/>
  <c r="D5" i="11"/>
  <c r="U3" i="11"/>
  <c r="Q3" i="11"/>
  <c r="V2" i="11"/>
  <c r="R2" i="11"/>
  <c r="N2" i="11"/>
  <c r="F2" i="11"/>
  <c r="W15" i="11"/>
  <c r="G15" i="11"/>
  <c r="W20" i="11"/>
  <c r="G20" i="11"/>
  <c r="B77" i="11"/>
  <c r="B69" i="11"/>
  <c r="B61" i="11"/>
  <c r="B57" i="11"/>
  <c r="B49" i="11"/>
  <c r="B41" i="11"/>
  <c r="B33" i="11"/>
  <c r="B25" i="11"/>
  <c r="Q83" i="11"/>
  <c r="B83" i="11"/>
  <c r="B75" i="11"/>
  <c r="B71" i="11"/>
  <c r="B67" i="11"/>
  <c r="B63" i="11"/>
  <c r="B59" i="11"/>
  <c r="B55" i="11"/>
  <c r="B51" i="11"/>
  <c r="B47" i="11"/>
  <c r="B43" i="11"/>
  <c r="B39" i="11"/>
  <c r="B35" i="11"/>
  <c r="B31" i="11"/>
  <c r="B27" i="11"/>
  <c r="B23" i="11"/>
  <c r="B17" i="11"/>
  <c r="B12" i="11"/>
  <c r="W83" i="11"/>
  <c r="S83" i="11"/>
  <c r="O83" i="11"/>
  <c r="G83" i="11"/>
  <c r="C83" i="11"/>
  <c r="T78" i="11"/>
  <c r="P78" i="11"/>
  <c r="H78" i="11"/>
  <c r="D78" i="11"/>
  <c r="U77" i="11"/>
  <c r="Q77" i="11"/>
  <c r="E77" i="11"/>
  <c r="V76" i="11"/>
  <c r="R76" i="11"/>
  <c r="N76" i="11"/>
  <c r="F76" i="11"/>
  <c r="W75" i="11"/>
  <c r="S75" i="11"/>
  <c r="O75" i="11"/>
  <c r="G75" i="11"/>
  <c r="C75" i="11"/>
  <c r="T74" i="11"/>
  <c r="P74" i="11"/>
  <c r="H74" i="11"/>
  <c r="D74" i="11"/>
  <c r="U73" i="11"/>
  <c r="Q73" i="11"/>
  <c r="E73" i="11"/>
  <c r="V72" i="11"/>
  <c r="R72" i="11"/>
  <c r="N72" i="11"/>
  <c r="F72" i="11"/>
  <c r="W71" i="11"/>
  <c r="S71" i="11"/>
  <c r="O71" i="11"/>
  <c r="G71" i="11"/>
  <c r="C71" i="11"/>
  <c r="T70" i="11"/>
  <c r="P70" i="11"/>
  <c r="H70" i="11"/>
  <c r="B6" i="18" s="1"/>
  <c r="D70" i="11"/>
  <c r="U69" i="11"/>
  <c r="Q69" i="11"/>
  <c r="E69" i="11"/>
  <c r="V68" i="11"/>
  <c r="R68" i="11"/>
  <c r="N68" i="11"/>
  <c r="W67" i="11"/>
  <c r="S67" i="11"/>
  <c r="O67" i="11"/>
  <c r="G67" i="11"/>
  <c r="C67" i="11"/>
  <c r="T66" i="11"/>
  <c r="P66" i="11"/>
  <c r="H66" i="11"/>
  <c r="D66" i="11"/>
  <c r="U65" i="11"/>
  <c r="Q65" i="11"/>
  <c r="E65" i="11"/>
  <c r="V64" i="11"/>
  <c r="R64" i="11"/>
  <c r="N64" i="11"/>
  <c r="F64" i="11"/>
  <c r="W63" i="11"/>
  <c r="S63" i="11"/>
  <c r="O63" i="11"/>
  <c r="G63" i="11"/>
  <c r="C63" i="11"/>
  <c r="T62" i="11"/>
  <c r="P62" i="11"/>
  <c r="H62" i="11"/>
  <c r="D62" i="11"/>
  <c r="U61" i="11"/>
  <c r="Q61" i="11"/>
  <c r="E61" i="11"/>
  <c r="V60" i="11"/>
  <c r="R60" i="11"/>
  <c r="N60" i="11"/>
  <c r="F60" i="11"/>
  <c r="W59" i="11"/>
  <c r="S59" i="11"/>
  <c r="O59" i="11"/>
  <c r="G59" i="11"/>
  <c r="C59" i="11"/>
  <c r="T58" i="11"/>
  <c r="P58" i="11"/>
  <c r="H58" i="11"/>
  <c r="D58" i="11"/>
  <c r="U57" i="11"/>
  <c r="Q57" i="11"/>
  <c r="E57" i="11"/>
  <c r="V56" i="11"/>
  <c r="R56" i="11"/>
  <c r="N56" i="11"/>
  <c r="F56" i="11"/>
  <c r="W55" i="11"/>
  <c r="S55" i="11"/>
  <c r="O55" i="11"/>
  <c r="G55" i="11"/>
  <c r="C55" i="11"/>
  <c r="T54" i="11"/>
  <c r="P54" i="11"/>
  <c r="H54" i="11"/>
  <c r="D54" i="11"/>
  <c r="U53" i="11"/>
  <c r="Q53" i="11"/>
  <c r="E53" i="11"/>
  <c r="V52" i="11"/>
  <c r="R52" i="11"/>
  <c r="N52" i="11"/>
  <c r="F52" i="11"/>
  <c r="W51" i="11"/>
  <c r="S51" i="11"/>
  <c r="O51" i="11"/>
  <c r="G51" i="11"/>
  <c r="C51" i="11"/>
  <c r="T50" i="11"/>
  <c r="P50" i="11"/>
  <c r="H50" i="11"/>
  <c r="D50" i="11"/>
  <c r="U49" i="11"/>
  <c r="Q49" i="11"/>
  <c r="E49" i="11"/>
  <c r="V48" i="11"/>
  <c r="R48" i="11"/>
  <c r="N48" i="11"/>
  <c r="F48" i="11"/>
  <c r="W47" i="11"/>
  <c r="S47" i="11"/>
  <c r="O47" i="11"/>
  <c r="G47" i="11"/>
  <c r="C47" i="11"/>
  <c r="T46" i="11"/>
  <c r="P46" i="11"/>
  <c r="H46" i="11"/>
  <c r="D46" i="11"/>
  <c r="U45" i="11"/>
  <c r="Q45" i="11"/>
  <c r="E45" i="11"/>
  <c r="V44" i="11"/>
  <c r="R44" i="11"/>
  <c r="N44" i="11"/>
  <c r="F44" i="11"/>
  <c r="W43" i="11"/>
  <c r="S43" i="11"/>
  <c r="O43" i="11"/>
  <c r="G43" i="11"/>
  <c r="C43" i="11"/>
  <c r="T42" i="11"/>
  <c r="P42" i="11"/>
  <c r="H42" i="11"/>
  <c r="D42" i="11"/>
  <c r="U41" i="11"/>
  <c r="Q41" i="11"/>
  <c r="E41" i="11"/>
  <c r="V40" i="11"/>
  <c r="R40" i="11"/>
  <c r="N40" i="11"/>
  <c r="F40" i="11"/>
  <c r="W39" i="11"/>
  <c r="S39" i="11"/>
  <c r="O39" i="11"/>
  <c r="G39" i="11"/>
  <c r="C39" i="11"/>
  <c r="T38" i="11"/>
  <c r="P38" i="11"/>
  <c r="H38" i="11"/>
  <c r="D38" i="11"/>
  <c r="U37" i="11"/>
  <c r="Q37" i="11"/>
  <c r="E37" i="11"/>
  <c r="V36" i="11"/>
  <c r="R36" i="11"/>
  <c r="N36" i="11"/>
  <c r="F36" i="11"/>
  <c r="W35" i="11"/>
  <c r="S35" i="11"/>
  <c r="O35" i="11"/>
  <c r="G35" i="11"/>
  <c r="C35" i="11"/>
  <c r="T34" i="11"/>
  <c r="P34" i="11"/>
  <c r="H34" i="11"/>
  <c r="B4" i="18" s="1"/>
  <c r="D34" i="11"/>
  <c r="U33" i="11"/>
  <c r="Q33" i="11"/>
  <c r="E33" i="11"/>
  <c r="V32" i="11"/>
  <c r="R32" i="11"/>
  <c r="N32" i="11"/>
  <c r="F32" i="11"/>
  <c r="W31" i="11"/>
  <c r="S31" i="11"/>
  <c r="O31" i="11"/>
  <c r="G31" i="11"/>
  <c r="C31" i="11"/>
  <c r="T30" i="11"/>
  <c r="P30" i="11"/>
  <c r="H30" i="11"/>
  <c r="D30" i="11"/>
  <c r="U29" i="11"/>
  <c r="Q29" i="11"/>
  <c r="E29" i="11"/>
  <c r="V28" i="11"/>
  <c r="R28" i="11"/>
  <c r="N28" i="11"/>
  <c r="F28" i="11"/>
  <c r="W27" i="11"/>
  <c r="S27" i="11"/>
  <c r="O27" i="11"/>
  <c r="G27" i="11"/>
  <c r="C27" i="11"/>
  <c r="T26" i="11"/>
  <c r="P26" i="11"/>
  <c r="H26" i="11"/>
  <c r="D26" i="11"/>
  <c r="U25" i="11"/>
  <c r="Q25" i="11"/>
  <c r="E25" i="11"/>
  <c r="V24" i="11"/>
  <c r="R24" i="11"/>
  <c r="N24" i="11"/>
  <c r="F24" i="11"/>
  <c r="W23" i="11"/>
  <c r="S23" i="11"/>
  <c r="O23" i="11"/>
  <c r="G23" i="11"/>
  <c r="C23" i="11"/>
  <c r="T22" i="11"/>
  <c r="P22" i="11"/>
  <c r="H22" i="11"/>
  <c r="D22" i="11"/>
  <c r="U21" i="11"/>
  <c r="Q21" i="11"/>
  <c r="E21" i="11"/>
  <c r="V19" i="11"/>
  <c r="R19" i="11"/>
  <c r="N19" i="11"/>
  <c r="F19" i="11"/>
  <c r="W17" i="11"/>
  <c r="S17" i="11"/>
  <c r="O17" i="11"/>
  <c r="G17" i="11"/>
  <c r="C17" i="11"/>
  <c r="T16" i="11"/>
  <c r="P16" i="11"/>
  <c r="H16" i="11"/>
  <c r="D16" i="11"/>
  <c r="U14" i="11"/>
  <c r="Q14" i="11"/>
  <c r="E14" i="11"/>
  <c r="V13" i="11"/>
  <c r="R13" i="11"/>
  <c r="N13" i="11"/>
  <c r="F13" i="11"/>
  <c r="W12" i="11"/>
  <c r="S12" i="11"/>
  <c r="O12" i="11"/>
  <c r="G12" i="11"/>
  <c r="C12" i="11"/>
  <c r="T11" i="11"/>
  <c r="P11" i="11"/>
  <c r="H11" i="11"/>
  <c r="U10" i="11"/>
  <c r="Q10" i="11"/>
  <c r="E10" i="11"/>
  <c r="V9" i="11"/>
  <c r="R9" i="11"/>
  <c r="N9" i="11"/>
  <c r="W8" i="11"/>
  <c r="S8" i="11"/>
  <c r="O8" i="11"/>
  <c r="G8" i="11"/>
  <c r="T7" i="11"/>
  <c r="P7" i="11"/>
  <c r="H7" i="11"/>
  <c r="D7" i="11"/>
  <c r="U5" i="11"/>
  <c r="Q5" i="11"/>
  <c r="E5" i="11"/>
  <c r="V3" i="11"/>
  <c r="R3" i="11"/>
  <c r="N3" i="11"/>
  <c r="W2" i="11"/>
  <c r="S2" i="11"/>
  <c r="O2" i="11"/>
  <c r="G2" i="11"/>
  <c r="V6" i="11"/>
  <c r="R6" i="11"/>
  <c r="N6" i="11"/>
  <c r="F6" i="11"/>
  <c r="B15" i="11"/>
  <c r="T15" i="11"/>
  <c r="P15" i="11"/>
  <c r="H15" i="11"/>
  <c r="B5" i="18" s="1"/>
  <c r="D15" i="11"/>
  <c r="V18" i="11"/>
  <c r="R18" i="11"/>
  <c r="N18" i="11"/>
  <c r="F18" i="11"/>
  <c r="B20" i="11"/>
  <c r="T20" i="11"/>
  <c r="P20" i="11"/>
  <c r="H20" i="11"/>
  <c r="B3" i="18" s="1"/>
  <c r="D20" i="11"/>
  <c r="B68" i="11"/>
  <c r="B3" i="11"/>
  <c r="G9" i="11"/>
  <c r="D21" i="11"/>
  <c r="C9" i="11"/>
  <c r="B8" i="11"/>
  <c r="D11" i="11"/>
  <c r="F9" i="11"/>
  <c r="V4" i="11"/>
  <c r="H9" i="11"/>
  <c r="D9" i="11"/>
  <c r="U97" i="6"/>
  <c r="B21" i="11"/>
  <c r="D68" i="11"/>
  <c r="H3" i="11"/>
  <c r="D3" i="11"/>
  <c r="C11" i="11"/>
  <c r="E9" i="11"/>
  <c r="E3" i="11"/>
  <c r="M83" i="11"/>
  <c r="L83" i="10"/>
  <c r="I83" i="10"/>
  <c r="I83" i="11" s="1"/>
  <c r="J83" i="10"/>
  <c r="J83" i="11" s="1"/>
  <c r="K83" i="10"/>
  <c r="K83" i="11" s="1"/>
  <c r="M71" i="11"/>
  <c r="L71" i="10"/>
  <c r="I71" i="10"/>
  <c r="I71" i="11" s="1"/>
  <c r="J71" i="10"/>
  <c r="J71" i="11" s="1"/>
  <c r="K71" i="10"/>
  <c r="K71" i="11" s="1"/>
  <c r="M55" i="11"/>
  <c r="L55" i="10"/>
  <c r="I55" i="10"/>
  <c r="I55" i="11" s="1"/>
  <c r="J55" i="10"/>
  <c r="J55" i="11" s="1"/>
  <c r="K55" i="10"/>
  <c r="K55" i="11" s="1"/>
  <c r="M47" i="11"/>
  <c r="L47" i="10"/>
  <c r="I47" i="10"/>
  <c r="I47" i="11" s="1"/>
  <c r="J47" i="10"/>
  <c r="J47" i="11" s="1"/>
  <c r="K47" i="10"/>
  <c r="K47" i="11" s="1"/>
  <c r="M31" i="11"/>
  <c r="L31" i="10"/>
  <c r="I31" i="10"/>
  <c r="I31" i="11" s="1"/>
  <c r="J31" i="10"/>
  <c r="J31" i="11" s="1"/>
  <c r="K31" i="10"/>
  <c r="K31" i="11" s="1"/>
  <c r="M23" i="11"/>
  <c r="L23" i="10"/>
  <c r="I23" i="10"/>
  <c r="I23" i="11" s="1"/>
  <c r="J23" i="10"/>
  <c r="J23" i="11" s="1"/>
  <c r="K23" i="10"/>
  <c r="K23" i="11" s="1"/>
  <c r="M6" i="11"/>
  <c r="L6" i="10"/>
  <c r="K6" i="10"/>
  <c r="K6" i="11" s="1"/>
  <c r="I6" i="10"/>
  <c r="I6" i="11" s="1"/>
  <c r="J6" i="10"/>
  <c r="J6" i="11" s="1"/>
  <c r="M18" i="11"/>
  <c r="L18" i="10"/>
  <c r="I18" i="10"/>
  <c r="I18" i="11" s="1"/>
  <c r="J18" i="10"/>
  <c r="J18" i="11" s="1"/>
  <c r="K18" i="10"/>
  <c r="K18" i="11" s="1"/>
  <c r="M78" i="11"/>
  <c r="L78" i="10"/>
  <c r="I78" i="10"/>
  <c r="I78" i="11" s="1"/>
  <c r="J78" i="10"/>
  <c r="J78" i="11" s="1"/>
  <c r="K78" i="10"/>
  <c r="K78" i="11" s="1"/>
  <c r="M74" i="11"/>
  <c r="L74" i="10"/>
  <c r="I74" i="10"/>
  <c r="I74" i="11" s="1"/>
  <c r="J74" i="10"/>
  <c r="J74" i="11" s="1"/>
  <c r="K74" i="10"/>
  <c r="K74" i="11" s="1"/>
  <c r="M70" i="11"/>
  <c r="C6" i="18" s="1"/>
  <c r="L70" i="10"/>
  <c r="I70" i="10"/>
  <c r="I70" i="11" s="1"/>
  <c r="J70" i="10"/>
  <c r="J70" i="11" s="1"/>
  <c r="K70" i="10"/>
  <c r="K70" i="11" s="1"/>
  <c r="M66" i="11"/>
  <c r="L66" i="10"/>
  <c r="I66" i="10"/>
  <c r="I66" i="11" s="1"/>
  <c r="J66" i="10"/>
  <c r="J66" i="11" s="1"/>
  <c r="K66" i="10"/>
  <c r="K66" i="11" s="1"/>
  <c r="M62" i="11"/>
  <c r="L62" i="10"/>
  <c r="I62" i="10"/>
  <c r="I62" i="11" s="1"/>
  <c r="J62" i="10"/>
  <c r="J62" i="11" s="1"/>
  <c r="K62" i="10"/>
  <c r="K62" i="11" s="1"/>
  <c r="M58" i="11"/>
  <c r="L58" i="10"/>
  <c r="I58" i="10"/>
  <c r="I58" i="11" s="1"/>
  <c r="J58" i="10"/>
  <c r="J58" i="11" s="1"/>
  <c r="K58" i="10"/>
  <c r="K58" i="11" s="1"/>
  <c r="M54" i="11"/>
  <c r="L54" i="10"/>
  <c r="I54" i="10"/>
  <c r="I54" i="11" s="1"/>
  <c r="J54" i="10"/>
  <c r="J54" i="11" s="1"/>
  <c r="K54" i="10"/>
  <c r="K54" i="11" s="1"/>
  <c r="M50" i="11"/>
  <c r="L50" i="10"/>
  <c r="I50" i="10"/>
  <c r="I50" i="11" s="1"/>
  <c r="J50" i="10"/>
  <c r="J50" i="11" s="1"/>
  <c r="K50" i="10"/>
  <c r="K50" i="11" s="1"/>
  <c r="M46" i="11"/>
  <c r="L46" i="10"/>
  <c r="I46" i="10"/>
  <c r="I46" i="11" s="1"/>
  <c r="J46" i="10"/>
  <c r="J46" i="11" s="1"/>
  <c r="K46" i="10"/>
  <c r="K46" i="11" s="1"/>
  <c r="M42" i="11"/>
  <c r="L42" i="10"/>
  <c r="I42" i="10"/>
  <c r="I42" i="11" s="1"/>
  <c r="J42" i="10"/>
  <c r="J42" i="11" s="1"/>
  <c r="K42" i="10"/>
  <c r="K42" i="11" s="1"/>
  <c r="M38" i="11"/>
  <c r="L38" i="10"/>
  <c r="I38" i="10"/>
  <c r="I38" i="11" s="1"/>
  <c r="J38" i="10"/>
  <c r="J38" i="11" s="1"/>
  <c r="K38" i="10"/>
  <c r="K38" i="11" s="1"/>
  <c r="M34" i="11"/>
  <c r="C4" i="18" s="1"/>
  <c r="L34" i="10"/>
  <c r="I34" i="10"/>
  <c r="I34" i="11" s="1"/>
  <c r="J34" i="10"/>
  <c r="J34" i="11" s="1"/>
  <c r="K34" i="10"/>
  <c r="K34" i="11" s="1"/>
  <c r="M30" i="11"/>
  <c r="L30" i="10"/>
  <c r="I30" i="10"/>
  <c r="I30" i="11" s="1"/>
  <c r="J30" i="10"/>
  <c r="J30" i="11" s="1"/>
  <c r="K30" i="10"/>
  <c r="K30" i="11" s="1"/>
  <c r="M26" i="11"/>
  <c r="L26" i="10"/>
  <c r="I26" i="10"/>
  <c r="I26" i="11" s="1"/>
  <c r="J26" i="10"/>
  <c r="J26" i="11" s="1"/>
  <c r="K26" i="10"/>
  <c r="K26" i="11" s="1"/>
  <c r="M22" i="11"/>
  <c r="L22" i="10"/>
  <c r="I22" i="10"/>
  <c r="I22" i="11" s="1"/>
  <c r="J22" i="10"/>
  <c r="J22" i="11" s="1"/>
  <c r="K22" i="10"/>
  <c r="K22" i="11" s="1"/>
  <c r="M16" i="11"/>
  <c r="L16" i="10"/>
  <c r="I16" i="10"/>
  <c r="I16" i="11" s="1"/>
  <c r="K16" i="10"/>
  <c r="K16" i="11" s="1"/>
  <c r="J16" i="10"/>
  <c r="J16" i="11" s="1"/>
  <c r="M11" i="11"/>
  <c r="L11" i="10"/>
  <c r="K11" i="10"/>
  <c r="K11" i="11" s="1"/>
  <c r="I11" i="10"/>
  <c r="I11" i="11" s="1"/>
  <c r="J11" i="10"/>
  <c r="J11" i="11" s="1"/>
  <c r="M7" i="11"/>
  <c r="L7" i="10"/>
  <c r="I7" i="10"/>
  <c r="I7" i="11" s="1"/>
  <c r="K7" i="10"/>
  <c r="K7" i="11" s="1"/>
  <c r="J7" i="10"/>
  <c r="J7" i="11" s="1"/>
  <c r="M75" i="11"/>
  <c r="L75" i="10"/>
  <c r="I75" i="10"/>
  <c r="I75" i="11" s="1"/>
  <c r="J75" i="10"/>
  <c r="J75" i="11" s="1"/>
  <c r="K75" i="10"/>
  <c r="K75" i="11" s="1"/>
  <c r="M67" i="11"/>
  <c r="L67" i="10"/>
  <c r="I67" i="10"/>
  <c r="I67" i="11" s="1"/>
  <c r="J67" i="10"/>
  <c r="J67" i="11" s="1"/>
  <c r="K67" i="10"/>
  <c r="K67" i="11" s="1"/>
  <c r="M43" i="11"/>
  <c r="L43" i="10"/>
  <c r="I43" i="10"/>
  <c r="I43" i="11" s="1"/>
  <c r="J43" i="10"/>
  <c r="J43" i="11" s="1"/>
  <c r="K43" i="10"/>
  <c r="K43" i="11" s="1"/>
  <c r="M8" i="11"/>
  <c r="L8" i="10"/>
  <c r="I8" i="10"/>
  <c r="I8" i="11" s="1"/>
  <c r="J8" i="10"/>
  <c r="J8" i="11" s="1"/>
  <c r="K8" i="10"/>
  <c r="K8" i="11" s="1"/>
  <c r="M2" i="11"/>
  <c r="I2" i="10"/>
  <c r="J2" i="10"/>
  <c r="K2" i="10"/>
  <c r="L2" i="10"/>
  <c r="M77" i="11"/>
  <c r="L77" i="10"/>
  <c r="I77" i="10"/>
  <c r="I77" i="11" s="1"/>
  <c r="J77" i="10"/>
  <c r="J77" i="11" s="1"/>
  <c r="K77" i="10"/>
  <c r="K77" i="11" s="1"/>
  <c r="M73" i="11"/>
  <c r="L73" i="10"/>
  <c r="I73" i="10"/>
  <c r="I73" i="11" s="1"/>
  <c r="J73" i="10"/>
  <c r="J73" i="11" s="1"/>
  <c r="K73" i="10"/>
  <c r="K73" i="11" s="1"/>
  <c r="M69" i="11"/>
  <c r="L69" i="10"/>
  <c r="I69" i="10"/>
  <c r="I69" i="11" s="1"/>
  <c r="J69" i="10"/>
  <c r="J69" i="11" s="1"/>
  <c r="K69" i="10"/>
  <c r="K69" i="11" s="1"/>
  <c r="M65" i="11"/>
  <c r="L65" i="10"/>
  <c r="I65" i="10"/>
  <c r="I65" i="11" s="1"/>
  <c r="J65" i="10"/>
  <c r="J65" i="11" s="1"/>
  <c r="K65" i="10"/>
  <c r="K65" i="11" s="1"/>
  <c r="M61" i="11"/>
  <c r="L61" i="10"/>
  <c r="I61" i="10"/>
  <c r="I61" i="11" s="1"/>
  <c r="J61" i="10"/>
  <c r="J61" i="11" s="1"/>
  <c r="K61" i="10"/>
  <c r="K61" i="11" s="1"/>
  <c r="M57" i="11"/>
  <c r="L57" i="10"/>
  <c r="I57" i="10"/>
  <c r="I57" i="11" s="1"/>
  <c r="J57" i="10"/>
  <c r="J57" i="11" s="1"/>
  <c r="K57" i="10"/>
  <c r="K57" i="11" s="1"/>
  <c r="M53" i="11"/>
  <c r="L53" i="10"/>
  <c r="I53" i="10"/>
  <c r="I53" i="11" s="1"/>
  <c r="J53" i="10"/>
  <c r="J53" i="11" s="1"/>
  <c r="K53" i="10"/>
  <c r="K53" i="11" s="1"/>
  <c r="M49" i="11"/>
  <c r="L49" i="10"/>
  <c r="I49" i="10"/>
  <c r="I49" i="11" s="1"/>
  <c r="J49" i="10"/>
  <c r="J49" i="11" s="1"/>
  <c r="K49" i="10"/>
  <c r="K49" i="11" s="1"/>
  <c r="M45" i="11"/>
  <c r="L45" i="10"/>
  <c r="I45" i="10"/>
  <c r="I45" i="11" s="1"/>
  <c r="J45" i="10"/>
  <c r="J45" i="11" s="1"/>
  <c r="K45" i="10"/>
  <c r="K45" i="11" s="1"/>
  <c r="M41" i="11"/>
  <c r="L41" i="10"/>
  <c r="I41" i="10"/>
  <c r="I41" i="11" s="1"/>
  <c r="J41" i="10"/>
  <c r="J41" i="11" s="1"/>
  <c r="K41" i="10"/>
  <c r="K41" i="11" s="1"/>
  <c r="M37" i="11"/>
  <c r="L37" i="10"/>
  <c r="I37" i="10"/>
  <c r="I37" i="11" s="1"/>
  <c r="J37" i="10"/>
  <c r="J37" i="11" s="1"/>
  <c r="K37" i="10"/>
  <c r="K37" i="11" s="1"/>
  <c r="M33" i="11"/>
  <c r="L33" i="10"/>
  <c r="I33" i="10"/>
  <c r="I33" i="11" s="1"/>
  <c r="J33" i="10"/>
  <c r="J33" i="11" s="1"/>
  <c r="K33" i="10"/>
  <c r="K33" i="11" s="1"/>
  <c r="M29" i="11"/>
  <c r="L29" i="10"/>
  <c r="I29" i="10"/>
  <c r="I29" i="11" s="1"/>
  <c r="J29" i="10"/>
  <c r="J29" i="11" s="1"/>
  <c r="K29" i="10"/>
  <c r="K29" i="11" s="1"/>
  <c r="M25" i="11"/>
  <c r="L25" i="10"/>
  <c r="I25" i="10"/>
  <c r="I25" i="11" s="1"/>
  <c r="J25" i="10"/>
  <c r="J25" i="11" s="1"/>
  <c r="K25" i="10"/>
  <c r="K25" i="11" s="1"/>
  <c r="M21" i="11"/>
  <c r="L21" i="10"/>
  <c r="I21" i="10"/>
  <c r="I21" i="11" s="1"/>
  <c r="J21" i="10"/>
  <c r="J21" i="11" s="1"/>
  <c r="K21" i="10"/>
  <c r="K21" i="11" s="1"/>
  <c r="M14" i="11"/>
  <c r="L14" i="10"/>
  <c r="K14" i="10"/>
  <c r="K14" i="11" s="1"/>
  <c r="I14" i="10"/>
  <c r="I14" i="11" s="1"/>
  <c r="J14" i="10"/>
  <c r="J14" i="11" s="1"/>
  <c r="M10" i="11"/>
  <c r="L10" i="10"/>
  <c r="I10" i="10"/>
  <c r="I10" i="11" s="1"/>
  <c r="K10" i="10"/>
  <c r="K10" i="11" s="1"/>
  <c r="J10" i="10"/>
  <c r="J10" i="11" s="1"/>
  <c r="M5" i="11"/>
  <c r="L5" i="10"/>
  <c r="I5" i="10"/>
  <c r="I5" i="11" s="1"/>
  <c r="K5" i="10"/>
  <c r="K5" i="11" s="1"/>
  <c r="J5" i="10"/>
  <c r="J5" i="11" s="1"/>
  <c r="M4" i="11"/>
  <c r="C2" i="18" s="1"/>
  <c r="L4" i="10"/>
  <c r="I4" i="10"/>
  <c r="I4" i="11" s="1"/>
  <c r="K4" i="10"/>
  <c r="K4" i="11" s="1"/>
  <c r="J4" i="10"/>
  <c r="J4" i="11" s="1"/>
  <c r="M15" i="11"/>
  <c r="C5" i="18" s="1"/>
  <c r="L15" i="10"/>
  <c r="I15" i="10"/>
  <c r="I15" i="11" s="1"/>
  <c r="J15" i="10"/>
  <c r="J15" i="11" s="1"/>
  <c r="K15" i="10"/>
  <c r="K15" i="11" s="1"/>
  <c r="M20" i="11"/>
  <c r="L20" i="10"/>
  <c r="I20" i="10"/>
  <c r="I20" i="11" s="1"/>
  <c r="J20" i="10"/>
  <c r="J20" i="11" s="1"/>
  <c r="K20" i="10"/>
  <c r="K20" i="11" s="1"/>
  <c r="M63" i="11"/>
  <c r="L63" i="10"/>
  <c r="I63" i="10"/>
  <c r="I63" i="11" s="1"/>
  <c r="J63" i="10"/>
  <c r="J63" i="11" s="1"/>
  <c r="K63" i="10"/>
  <c r="K63" i="11" s="1"/>
  <c r="M59" i="11"/>
  <c r="L59" i="10"/>
  <c r="I59" i="10"/>
  <c r="I59" i="11" s="1"/>
  <c r="J59" i="10"/>
  <c r="J59" i="11" s="1"/>
  <c r="K59" i="10"/>
  <c r="K59" i="11" s="1"/>
  <c r="M51" i="11"/>
  <c r="L51" i="10"/>
  <c r="I51" i="10"/>
  <c r="I51" i="11" s="1"/>
  <c r="J51" i="10"/>
  <c r="J51" i="11" s="1"/>
  <c r="K51" i="10"/>
  <c r="K51" i="11" s="1"/>
  <c r="M39" i="11"/>
  <c r="L39" i="10"/>
  <c r="I39" i="10"/>
  <c r="I39" i="11" s="1"/>
  <c r="J39" i="10"/>
  <c r="J39" i="11" s="1"/>
  <c r="K39" i="10"/>
  <c r="K39" i="11" s="1"/>
  <c r="M35" i="11"/>
  <c r="L35" i="10"/>
  <c r="I35" i="10"/>
  <c r="I35" i="11" s="1"/>
  <c r="J35" i="10"/>
  <c r="J35" i="11" s="1"/>
  <c r="K35" i="10"/>
  <c r="K35" i="11" s="1"/>
  <c r="M27" i="11"/>
  <c r="L27" i="10"/>
  <c r="I27" i="10"/>
  <c r="I27" i="11" s="1"/>
  <c r="J27" i="10"/>
  <c r="J27" i="11" s="1"/>
  <c r="K27" i="10"/>
  <c r="K27" i="11" s="1"/>
  <c r="M17" i="11"/>
  <c r="L17" i="10"/>
  <c r="I17" i="10"/>
  <c r="I17" i="11" s="1"/>
  <c r="J17" i="10"/>
  <c r="J17" i="11" s="1"/>
  <c r="K17" i="10"/>
  <c r="K17" i="11" s="1"/>
  <c r="M12" i="11"/>
  <c r="L12" i="10"/>
  <c r="I12" i="10"/>
  <c r="I12" i="11" s="1"/>
  <c r="J12" i="10"/>
  <c r="J12" i="11" s="1"/>
  <c r="K12" i="10"/>
  <c r="K12" i="11" s="1"/>
  <c r="M76" i="11"/>
  <c r="L76" i="10"/>
  <c r="I76" i="10"/>
  <c r="I76" i="11" s="1"/>
  <c r="J76" i="10"/>
  <c r="J76" i="11" s="1"/>
  <c r="K76" i="10"/>
  <c r="K76" i="11" s="1"/>
  <c r="M72" i="11"/>
  <c r="L72" i="10"/>
  <c r="I72" i="10"/>
  <c r="I72" i="11" s="1"/>
  <c r="J72" i="10"/>
  <c r="J72" i="11" s="1"/>
  <c r="K72" i="10"/>
  <c r="K72" i="11" s="1"/>
  <c r="M68" i="11"/>
  <c r="L68" i="10"/>
  <c r="I68" i="10"/>
  <c r="I68" i="11" s="1"/>
  <c r="J68" i="10"/>
  <c r="J68" i="11" s="1"/>
  <c r="K68" i="10"/>
  <c r="K68" i="11" s="1"/>
  <c r="M64" i="11"/>
  <c r="L64" i="10"/>
  <c r="I64" i="10"/>
  <c r="I64" i="11" s="1"/>
  <c r="J64" i="10"/>
  <c r="J64" i="11" s="1"/>
  <c r="K64" i="10"/>
  <c r="K64" i="11" s="1"/>
  <c r="M60" i="11"/>
  <c r="L60" i="10"/>
  <c r="I60" i="10"/>
  <c r="I60" i="11" s="1"/>
  <c r="J60" i="10"/>
  <c r="J60" i="11" s="1"/>
  <c r="K60" i="10"/>
  <c r="K60" i="11" s="1"/>
  <c r="M56" i="11"/>
  <c r="L56" i="10"/>
  <c r="I56" i="10"/>
  <c r="I56" i="11" s="1"/>
  <c r="J56" i="10"/>
  <c r="J56" i="11" s="1"/>
  <c r="K56" i="10"/>
  <c r="K56" i="11" s="1"/>
  <c r="M52" i="11"/>
  <c r="L52" i="10"/>
  <c r="I52" i="10"/>
  <c r="I52" i="11" s="1"/>
  <c r="J52" i="10"/>
  <c r="J52" i="11" s="1"/>
  <c r="K52" i="10"/>
  <c r="K52" i="11" s="1"/>
  <c r="M48" i="11"/>
  <c r="L48" i="10"/>
  <c r="I48" i="10"/>
  <c r="I48" i="11" s="1"/>
  <c r="J48" i="10"/>
  <c r="J48" i="11" s="1"/>
  <c r="K48" i="10"/>
  <c r="K48" i="11" s="1"/>
  <c r="M44" i="11"/>
  <c r="L44" i="10"/>
  <c r="I44" i="10"/>
  <c r="I44" i="11" s="1"/>
  <c r="J44" i="10"/>
  <c r="J44" i="11" s="1"/>
  <c r="K44" i="10"/>
  <c r="K44" i="11" s="1"/>
  <c r="M40" i="11"/>
  <c r="L40" i="10"/>
  <c r="I40" i="10"/>
  <c r="I40" i="11" s="1"/>
  <c r="J40" i="10"/>
  <c r="J40" i="11" s="1"/>
  <c r="K40" i="10"/>
  <c r="K40" i="11" s="1"/>
  <c r="M36" i="11"/>
  <c r="L36" i="10"/>
  <c r="I36" i="10"/>
  <c r="I36" i="11" s="1"/>
  <c r="J36" i="10"/>
  <c r="J36" i="11" s="1"/>
  <c r="K36" i="10"/>
  <c r="K36" i="11" s="1"/>
  <c r="M32" i="11"/>
  <c r="L32" i="10"/>
  <c r="I32" i="10"/>
  <c r="I32" i="11" s="1"/>
  <c r="J32" i="10"/>
  <c r="J32" i="11" s="1"/>
  <c r="K32" i="10"/>
  <c r="K32" i="11" s="1"/>
  <c r="M28" i="11"/>
  <c r="L28" i="10"/>
  <c r="I28" i="10"/>
  <c r="I28" i="11" s="1"/>
  <c r="J28" i="10"/>
  <c r="J28" i="11" s="1"/>
  <c r="K28" i="10"/>
  <c r="K28" i="11" s="1"/>
  <c r="M24" i="11"/>
  <c r="L24" i="10"/>
  <c r="I24" i="10"/>
  <c r="I24" i="11" s="1"/>
  <c r="J24" i="10"/>
  <c r="J24" i="11" s="1"/>
  <c r="K24" i="10"/>
  <c r="K24" i="11" s="1"/>
  <c r="M19" i="11"/>
  <c r="L19" i="10"/>
  <c r="I19" i="10"/>
  <c r="I19" i="11" s="1"/>
  <c r="J19" i="10"/>
  <c r="J19" i="11" s="1"/>
  <c r="K19" i="10"/>
  <c r="K19" i="11" s="1"/>
  <c r="M13" i="11"/>
  <c r="L13" i="10"/>
  <c r="I13" i="10"/>
  <c r="I13" i="11" s="1"/>
  <c r="K13" i="10"/>
  <c r="K13" i="11" s="1"/>
  <c r="J13" i="10"/>
  <c r="J13" i="11" s="1"/>
  <c r="M9" i="11"/>
  <c r="L9" i="10"/>
  <c r="K9" i="10"/>
  <c r="K9" i="11" s="1"/>
  <c r="I9" i="10"/>
  <c r="I9" i="11" s="1"/>
  <c r="J9" i="10"/>
  <c r="J9" i="11" s="1"/>
  <c r="M3" i="11"/>
  <c r="L3" i="10"/>
  <c r="K3" i="10"/>
  <c r="K3" i="11" s="1"/>
  <c r="C8" i="18"/>
  <c r="C68" i="11"/>
  <c r="D8" i="11"/>
  <c r="G3" i="11"/>
  <c r="C3" i="11"/>
  <c r="B11" i="11"/>
  <c r="B84" i="10"/>
  <c r="B2" i="11"/>
  <c r="C84" i="10"/>
  <c r="C2" i="11"/>
  <c r="M84" i="10"/>
  <c r="H84" i="10"/>
  <c r="G84" i="10"/>
  <c r="F84" i="10"/>
  <c r="E84" i="10"/>
  <c r="D84" i="10"/>
  <c r="P4" i="6"/>
  <c r="Q4" i="10" s="1"/>
  <c r="Q4" i="6"/>
  <c r="R4" i="10" s="1"/>
  <c r="R4" i="6"/>
  <c r="S4" i="10" s="1"/>
  <c r="S4" i="6"/>
  <c r="T4" i="10" s="1"/>
  <c r="T4" i="6"/>
  <c r="U4" i="10" s="1"/>
  <c r="W4" i="11" l="1"/>
  <c r="W84" i="11" s="1"/>
  <c r="S3" i="13" s="1"/>
  <c r="G84" i="11"/>
  <c r="G3" i="13" s="1"/>
  <c r="G7" i="13" s="1"/>
  <c r="V84" i="11"/>
  <c r="R3" i="13" s="1"/>
  <c r="F84" i="11"/>
  <c r="F3" i="13" s="1"/>
  <c r="F7" i="13" s="1"/>
  <c r="W84" i="10"/>
  <c r="W85" i="10" s="1"/>
  <c r="E84" i="11"/>
  <c r="E3" i="13" s="1"/>
  <c r="E7" i="13" s="1"/>
  <c r="H84" i="11"/>
  <c r="H3" i="13" s="1"/>
  <c r="H7" i="13" s="1"/>
  <c r="H8" i="13" s="1"/>
  <c r="V84" i="10"/>
  <c r="V85" i="10" s="1"/>
  <c r="Q97" i="6"/>
  <c r="T97" i="6"/>
  <c r="P97" i="6"/>
  <c r="S97" i="6"/>
  <c r="R97" i="6"/>
  <c r="D84" i="11"/>
  <c r="D3" i="13" s="1"/>
  <c r="D7" i="13" s="1"/>
  <c r="B84" i="11"/>
  <c r="B3" i="13" s="1"/>
  <c r="B7" i="13" s="1"/>
  <c r="B8" i="13" s="1"/>
  <c r="L13" i="11"/>
  <c r="L25" i="11"/>
  <c r="L41" i="11"/>
  <c r="L57" i="11"/>
  <c r="L73" i="11"/>
  <c r="L34" i="11"/>
  <c r="L50" i="11"/>
  <c r="L66" i="11"/>
  <c r="L18" i="11"/>
  <c r="M84" i="11"/>
  <c r="I3" i="13" s="1"/>
  <c r="L17" i="11"/>
  <c r="L33" i="11"/>
  <c r="L49" i="11"/>
  <c r="L65" i="11"/>
  <c r="L32" i="11"/>
  <c r="L64" i="11"/>
  <c r="L67" i="11"/>
  <c r="L16" i="11"/>
  <c r="L47" i="11"/>
  <c r="L19" i="11"/>
  <c r="L36" i="11"/>
  <c r="L52" i="11"/>
  <c r="L68" i="11"/>
  <c r="L51" i="11"/>
  <c r="L15" i="11"/>
  <c r="L10" i="11"/>
  <c r="L29" i="11"/>
  <c r="L45" i="11"/>
  <c r="L61" i="11"/>
  <c r="L77" i="11"/>
  <c r="L84" i="10"/>
  <c r="L75" i="11"/>
  <c r="L22" i="11"/>
  <c r="L38" i="11"/>
  <c r="L54" i="11"/>
  <c r="L70" i="11"/>
  <c r="L55" i="11"/>
  <c r="L48" i="11"/>
  <c r="L12" i="11"/>
  <c r="L39" i="11"/>
  <c r="I2" i="11"/>
  <c r="I84" i="11" s="1"/>
  <c r="I84" i="10"/>
  <c r="L3" i="11"/>
  <c r="L24" i="11"/>
  <c r="L40" i="11"/>
  <c r="L56" i="11"/>
  <c r="L72" i="11"/>
  <c r="L27" i="11"/>
  <c r="L59" i="11"/>
  <c r="L4" i="11"/>
  <c r="K2" i="11"/>
  <c r="K84" i="10"/>
  <c r="L8" i="11"/>
  <c r="L7" i="11"/>
  <c r="L26" i="11"/>
  <c r="L42" i="11"/>
  <c r="L58" i="11"/>
  <c r="L74" i="11"/>
  <c r="L23" i="11"/>
  <c r="L71" i="11"/>
  <c r="L20" i="11"/>
  <c r="C3" i="18"/>
  <c r="L9" i="11"/>
  <c r="L28" i="11"/>
  <c r="L44" i="11"/>
  <c r="L60" i="11"/>
  <c r="L76" i="11"/>
  <c r="L35" i="11"/>
  <c r="L63" i="11"/>
  <c r="L5" i="11"/>
  <c r="L14" i="11"/>
  <c r="L21" i="11"/>
  <c r="L37" i="11"/>
  <c r="L53" i="11"/>
  <c r="L69" i="11"/>
  <c r="J2" i="11"/>
  <c r="J84" i="11" s="1"/>
  <c r="J84" i="10"/>
  <c r="L43" i="11"/>
  <c r="L11" i="11"/>
  <c r="L30" i="11"/>
  <c r="L46" i="11"/>
  <c r="L62" i="11"/>
  <c r="L78" i="11"/>
  <c r="L6" i="11"/>
  <c r="L31" i="11"/>
  <c r="L83" i="11"/>
  <c r="K84" i="11"/>
  <c r="C84" i="11"/>
  <c r="C3" i="13" s="1"/>
  <c r="C7" i="13" s="1"/>
  <c r="C8" i="13" s="1"/>
  <c r="D4" i="17" s="1"/>
  <c r="G8" i="13"/>
  <c r="G14" i="16" s="1"/>
  <c r="F8" i="13"/>
  <c r="F12" i="16" s="1"/>
  <c r="B2" i="13"/>
  <c r="B85" i="10"/>
  <c r="C2" i="13"/>
  <c r="C85" i="10"/>
  <c r="I2" i="13"/>
  <c r="M85" i="10"/>
  <c r="H2" i="13"/>
  <c r="H85" i="10"/>
  <c r="G2" i="13"/>
  <c r="G4" i="13" s="1"/>
  <c r="G85" i="10"/>
  <c r="F2" i="13"/>
  <c r="F85" i="10"/>
  <c r="E2" i="13"/>
  <c r="E85" i="10"/>
  <c r="D2" i="13"/>
  <c r="D85" i="10"/>
  <c r="J123" i="2"/>
  <c r="E123" i="2"/>
  <c r="Q123" i="2"/>
  <c r="E100" i="2"/>
  <c r="L30" i="2"/>
  <c r="M30" i="2"/>
  <c r="N30" i="2"/>
  <c r="O30" i="2"/>
  <c r="O78" i="2"/>
  <c r="N78" i="2"/>
  <c r="M78" i="2"/>
  <c r="L78" i="2"/>
  <c r="O77" i="2"/>
  <c r="N77" i="2"/>
  <c r="M77" i="2"/>
  <c r="L77" i="2"/>
  <c r="O76" i="2"/>
  <c r="N76" i="2"/>
  <c r="M76" i="2"/>
  <c r="L76" i="2"/>
  <c r="L42" i="2"/>
  <c r="M42" i="2"/>
  <c r="N42" i="2"/>
  <c r="O42" i="2"/>
  <c r="P123" i="2"/>
  <c r="L122" i="2"/>
  <c r="M122" i="2"/>
  <c r="N122" i="2"/>
  <c r="O122" i="2"/>
  <c r="K123" i="2"/>
  <c r="R123" i="2"/>
  <c r="S123" i="2"/>
  <c r="T123" i="2"/>
  <c r="U123" i="2"/>
  <c r="V123" i="2"/>
  <c r="W123" i="2"/>
  <c r="X123" i="2"/>
  <c r="F123" i="2"/>
  <c r="G123" i="2"/>
  <c r="H123" i="2"/>
  <c r="I123" i="2"/>
  <c r="L49" i="2"/>
  <c r="M49" i="2"/>
  <c r="N49" i="2"/>
  <c r="O49" i="2"/>
  <c r="O55" i="2"/>
  <c r="N55" i="2"/>
  <c r="M55" i="2"/>
  <c r="L55" i="2"/>
  <c r="O54" i="2"/>
  <c r="N54" i="2"/>
  <c r="M54" i="2"/>
  <c r="L54" i="2"/>
  <c r="O53" i="2"/>
  <c r="N53" i="2"/>
  <c r="M53" i="2"/>
  <c r="L53" i="2"/>
  <c r="O52" i="2"/>
  <c r="N52" i="2"/>
  <c r="M52" i="2"/>
  <c r="L52" i="2"/>
  <c r="O51" i="2"/>
  <c r="N51" i="2"/>
  <c r="M51" i="2"/>
  <c r="L51" i="2"/>
  <c r="O50" i="2"/>
  <c r="N50" i="2"/>
  <c r="M50" i="2"/>
  <c r="L50" i="2"/>
  <c r="O48" i="2"/>
  <c r="N48" i="2"/>
  <c r="M48" i="2"/>
  <c r="L48" i="2"/>
  <c r="O47" i="2"/>
  <c r="N47" i="2"/>
  <c r="M47" i="2"/>
  <c r="L47" i="2"/>
  <c r="O46" i="2"/>
  <c r="N46" i="2"/>
  <c r="M46" i="2"/>
  <c r="L46" i="2"/>
  <c r="O45" i="2"/>
  <c r="N45" i="2"/>
  <c r="M45" i="2"/>
  <c r="L45" i="2"/>
  <c r="O44" i="2"/>
  <c r="N44" i="2"/>
  <c r="M44" i="2"/>
  <c r="L44" i="2"/>
  <c r="O43" i="2"/>
  <c r="N43" i="2"/>
  <c r="M43" i="2"/>
  <c r="L43" i="2"/>
  <c r="O41" i="2"/>
  <c r="N41" i="2"/>
  <c r="M41" i="2"/>
  <c r="L41" i="2"/>
  <c r="O40" i="2"/>
  <c r="N40" i="2"/>
  <c r="M40" i="2"/>
  <c r="L40" i="2"/>
  <c r="O39" i="2"/>
  <c r="N39" i="2"/>
  <c r="M39" i="2"/>
  <c r="L39" i="2"/>
  <c r="O38" i="2"/>
  <c r="N38" i="2"/>
  <c r="M38" i="2"/>
  <c r="L38" i="2"/>
  <c r="O37" i="2"/>
  <c r="N37" i="2"/>
  <c r="M37" i="2"/>
  <c r="L37" i="2"/>
  <c r="O36" i="2"/>
  <c r="N36" i="2"/>
  <c r="M36" i="2"/>
  <c r="L36" i="2"/>
  <c r="O35" i="2"/>
  <c r="N35" i="2"/>
  <c r="M35" i="2"/>
  <c r="L35" i="2"/>
  <c r="O34" i="2"/>
  <c r="N34" i="2"/>
  <c r="M34" i="2"/>
  <c r="L34" i="2"/>
  <c r="O33" i="2"/>
  <c r="N33" i="2"/>
  <c r="M33" i="2"/>
  <c r="L33" i="2"/>
  <c r="O32" i="2"/>
  <c r="N32" i="2"/>
  <c r="M32" i="2"/>
  <c r="L32" i="2"/>
  <c r="O31" i="2"/>
  <c r="N31" i="2"/>
  <c r="M31" i="2"/>
  <c r="L31" i="2"/>
  <c r="O26" i="2"/>
  <c r="N26" i="2"/>
  <c r="M26" i="2"/>
  <c r="L26" i="2"/>
  <c r="O25" i="2"/>
  <c r="N25" i="2"/>
  <c r="M25" i="2"/>
  <c r="L25" i="2"/>
  <c r="O24" i="2"/>
  <c r="N24" i="2"/>
  <c r="M24" i="2"/>
  <c r="L24" i="2"/>
  <c r="O23" i="2"/>
  <c r="N23" i="2"/>
  <c r="M23" i="2"/>
  <c r="L23" i="2"/>
  <c r="O22" i="2"/>
  <c r="N22" i="2"/>
  <c r="M22" i="2"/>
  <c r="L22" i="2"/>
  <c r="O21" i="2"/>
  <c r="N21" i="2"/>
  <c r="M21" i="2"/>
  <c r="L21" i="2"/>
  <c r="O20" i="2"/>
  <c r="N20" i="2"/>
  <c r="M20" i="2"/>
  <c r="L20" i="2"/>
  <c r="O19" i="2"/>
  <c r="N19" i="2"/>
  <c r="M19" i="2"/>
  <c r="L19" i="2"/>
  <c r="O18" i="2"/>
  <c r="N18" i="2"/>
  <c r="M18" i="2"/>
  <c r="L18" i="2"/>
  <c r="O17" i="2"/>
  <c r="N17" i="2"/>
  <c r="M17" i="2"/>
  <c r="L17" i="2"/>
  <c r="O16" i="2"/>
  <c r="N16" i="2"/>
  <c r="M16" i="2"/>
  <c r="L16" i="2"/>
  <c r="O15" i="2"/>
  <c r="N15" i="2"/>
  <c r="M15" i="2"/>
  <c r="L15" i="2"/>
  <c r="O14" i="2"/>
  <c r="N14" i="2"/>
  <c r="M14" i="2"/>
  <c r="L14" i="2"/>
  <c r="O13" i="2"/>
  <c r="N13" i="2"/>
  <c r="M13" i="2"/>
  <c r="L13" i="2"/>
  <c r="O12" i="2"/>
  <c r="N12" i="2"/>
  <c r="M12" i="2"/>
  <c r="L12" i="2"/>
  <c r="O11" i="2"/>
  <c r="N11" i="2"/>
  <c r="M11" i="2"/>
  <c r="L11" i="2"/>
  <c r="O10" i="2"/>
  <c r="N10" i="2"/>
  <c r="M10" i="2"/>
  <c r="L10" i="2"/>
  <c r="O9" i="2"/>
  <c r="N9" i="2"/>
  <c r="M9" i="2"/>
  <c r="L9" i="2"/>
  <c r="O8" i="2"/>
  <c r="N8" i="2"/>
  <c r="M8" i="2"/>
  <c r="L8" i="2"/>
  <c r="O7" i="2"/>
  <c r="N7" i="2"/>
  <c r="M7" i="2"/>
  <c r="L7" i="2"/>
  <c r="O6" i="2"/>
  <c r="N6" i="2"/>
  <c r="M6" i="2"/>
  <c r="L6" i="2"/>
  <c r="O5" i="2"/>
  <c r="N5" i="2"/>
  <c r="M5" i="2"/>
  <c r="L5" i="2"/>
  <c r="O4" i="2"/>
  <c r="N4" i="2"/>
  <c r="M4" i="2"/>
  <c r="L4" i="2"/>
  <c r="O3" i="2"/>
  <c r="N3" i="2"/>
  <c r="M3" i="2"/>
  <c r="L3" i="2"/>
  <c r="O2" i="2"/>
  <c r="N2" i="2"/>
  <c r="M2" i="2"/>
  <c r="L2" i="2"/>
  <c r="F4" i="13" l="1"/>
  <c r="S2" i="13"/>
  <c r="S4" i="13" s="1"/>
  <c r="B4" i="13"/>
  <c r="D8" i="13"/>
  <c r="D13" i="16" s="1"/>
  <c r="E4" i="13"/>
  <c r="H4" i="13"/>
  <c r="E8" i="13"/>
  <c r="F5" i="17" s="1"/>
  <c r="R2" i="13"/>
  <c r="R4" i="13" s="1"/>
  <c r="D4" i="13"/>
  <c r="C12" i="13"/>
  <c r="C32" i="16" s="1"/>
  <c r="N4" i="11"/>
  <c r="N84" i="11" s="1"/>
  <c r="J3" i="13" s="1"/>
  <c r="N84" i="10"/>
  <c r="P4" i="11"/>
  <c r="P84" i="11" s="1"/>
  <c r="L3" i="13" s="1"/>
  <c r="P84" i="10"/>
  <c r="T4" i="11"/>
  <c r="T84" i="11" s="1"/>
  <c r="P3" i="13" s="1"/>
  <c r="T84" i="10"/>
  <c r="R4" i="11"/>
  <c r="R84" i="11" s="1"/>
  <c r="N3" i="13" s="1"/>
  <c r="R84" i="10"/>
  <c r="C14" i="16"/>
  <c r="S4" i="11"/>
  <c r="S84" i="11" s="1"/>
  <c r="O3" i="13" s="1"/>
  <c r="S84" i="10"/>
  <c r="U4" i="11"/>
  <c r="U84" i="11" s="1"/>
  <c r="Q3" i="13" s="1"/>
  <c r="U84" i="10"/>
  <c r="O4" i="11"/>
  <c r="O84" i="11" s="1"/>
  <c r="K3" i="13" s="1"/>
  <c r="O84" i="10"/>
  <c r="Q4" i="11"/>
  <c r="Q84" i="11" s="1"/>
  <c r="M3" i="13" s="1"/>
  <c r="Q84" i="10"/>
  <c r="C9" i="13"/>
  <c r="H9" i="15"/>
  <c r="F13" i="16"/>
  <c r="G12" i="13"/>
  <c r="H14" i="17" s="1"/>
  <c r="I4" i="13"/>
  <c r="G12" i="16"/>
  <c r="C4" i="13"/>
  <c r="F15" i="16"/>
  <c r="F14" i="16"/>
  <c r="H13" i="15"/>
  <c r="H5" i="17"/>
  <c r="G15" i="16"/>
  <c r="G13" i="16"/>
  <c r="H12" i="15"/>
  <c r="H4" i="17"/>
  <c r="H6" i="17" s="1"/>
  <c r="L2" i="11"/>
  <c r="L84" i="11" s="1"/>
  <c r="H10" i="15"/>
  <c r="H11" i="15"/>
  <c r="F12" i="13"/>
  <c r="F34" i="16" s="1"/>
  <c r="G10" i="15"/>
  <c r="G5" i="17"/>
  <c r="G4" i="17"/>
  <c r="G13" i="15"/>
  <c r="G9" i="15"/>
  <c r="F16" i="16"/>
  <c r="G9" i="13"/>
  <c r="G11" i="15"/>
  <c r="G12" i="15"/>
  <c r="G16" i="16"/>
  <c r="D13" i="15"/>
  <c r="C13" i="16"/>
  <c r="C16" i="16"/>
  <c r="D12" i="15"/>
  <c r="C12" i="16"/>
  <c r="D10" i="15"/>
  <c r="D11" i="15"/>
  <c r="C15" i="16"/>
  <c r="D9" i="15"/>
  <c r="D5" i="17"/>
  <c r="D6" i="17" s="1"/>
  <c r="I5" i="17"/>
  <c r="H13" i="16"/>
  <c r="H14" i="16"/>
  <c r="I4" i="17"/>
  <c r="H15" i="16"/>
  <c r="H16" i="16"/>
  <c r="I10" i="15"/>
  <c r="B10" i="18"/>
  <c r="E7" i="18" s="1"/>
  <c r="H7" i="18" s="1"/>
  <c r="I11" i="15"/>
  <c r="I12" i="15"/>
  <c r="I9" i="15"/>
  <c r="H12" i="16"/>
  <c r="I13" i="15"/>
  <c r="H9" i="13"/>
  <c r="I8" i="13"/>
  <c r="I10" i="13" s="1"/>
  <c r="H12" i="13"/>
  <c r="B12" i="13"/>
  <c r="B14" i="16"/>
  <c r="C5" i="17"/>
  <c r="B15" i="16"/>
  <c r="C4" i="17"/>
  <c r="B16" i="16"/>
  <c r="C10" i="15"/>
  <c r="C11" i="15"/>
  <c r="B12" i="16"/>
  <c r="C12" i="15"/>
  <c r="B13" i="16"/>
  <c r="C9" i="15"/>
  <c r="C13" i="15"/>
  <c r="M123" i="2"/>
  <c r="O123" i="2"/>
  <c r="L123" i="2"/>
  <c r="N123" i="2"/>
  <c r="E13" i="15" l="1"/>
  <c r="D9" i="13"/>
  <c r="D14" i="16"/>
  <c r="E10" i="15"/>
  <c r="E11" i="15"/>
  <c r="D12" i="16"/>
  <c r="E9" i="15"/>
  <c r="D16" i="16"/>
  <c r="E12" i="15"/>
  <c r="D12" i="13"/>
  <c r="D35" i="16" s="1"/>
  <c r="E4" i="17"/>
  <c r="E5" i="17"/>
  <c r="D15" i="16"/>
  <c r="D15" i="17"/>
  <c r="D30" i="15"/>
  <c r="C33" i="16"/>
  <c r="D28" i="15"/>
  <c r="D14" i="17"/>
  <c r="C35" i="16"/>
  <c r="F11" i="15"/>
  <c r="F9" i="13"/>
  <c r="F9" i="15"/>
  <c r="E13" i="16"/>
  <c r="G36" i="16"/>
  <c r="E15" i="16"/>
  <c r="F4" i="17"/>
  <c r="F6" i="17" s="1"/>
  <c r="E16" i="16"/>
  <c r="E12" i="13"/>
  <c r="E35" i="16" s="1"/>
  <c r="F13" i="15"/>
  <c r="E14" i="16"/>
  <c r="E12" i="16"/>
  <c r="E9" i="13"/>
  <c r="F12" i="15"/>
  <c r="F10" i="15"/>
  <c r="D26" i="15"/>
  <c r="D29" i="15"/>
  <c r="C36" i="16"/>
  <c r="D27" i="15"/>
  <c r="C34" i="16"/>
  <c r="R85" i="10"/>
  <c r="N2" i="13"/>
  <c r="N4" i="13" s="1"/>
  <c r="L2" i="13"/>
  <c r="L4" i="13" s="1"/>
  <c r="P85" i="10"/>
  <c r="O85" i="10"/>
  <c r="K2" i="13"/>
  <c r="K4" i="13" s="1"/>
  <c r="O2" i="13"/>
  <c r="O4" i="13" s="1"/>
  <c r="S85" i="10"/>
  <c r="T85" i="10"/>
  <c r="P2" i="13"/>
  <c r="P4" i="13" s="1"/>
  <c r="N85" i="10"/>
  <c r="J2" i="13"/>
  <c r="J4" i="13" s="1"/>
  <c r="M2" i="13"/>
  <c r="M4" i="13" s="1"/>
  <c r="Q85" i="10"/>
  <c r="Q2" i="13"/>
  <c r="Q4" i="13" s="1"/>
  <c r="U85" i="10"/>
  <c r="H30" i="15"/>
  <c r="H29" i="15"/>
  <c r="G35" i="16"/>
  <c r="H27" i="15"/>
  <c r="G33" i="16"/>
  <c r="F17" i="16"/>
  <c r="F18" i="16" s="1"/>
  <c r="G17" i="16"/>
  <c r="G18" i="16" s="1"/>
  <c r="H26" i="15"/>
  <c r="G34" i="16"/>
  <c r="G32" i="16"/>
  <c r="H28" i="15"/>
  <c r="H15" i="17"/>
  <c r="H14" i="15"/>
  <c r="H15" i="15" s="1"/>
  <c r="G26" i="15"/>
  <c r="G15" i="17"/>
  <c r="G28" i="15"/>
  <c r="G27" i="15"/>
  <c r="F36" i="16"/>
  <c r="F33" i="16"/>
  <c r="G30" i="15"/>
  <c r="F32" i="16"/>
  <c r="F35" i="16"/>
  <c r="G29" i="15"/>
  <c r="G14" i="17"/>
  <c r="G6" i="17"/>
  <c r="G14" i="15"/>
  <c r="G15" i="15" s="1"/>
  <c r="D34" i="16"/>
  <c r="C17" i="16"/>
  <c r="C18" i="16" s="1"/>
  <c r="D14" i="15"/>
  <c r="D15" i="15" s="1"/>
  <c r="I12" i="13"/>
  <c r="I35" i="16" s="1"/>
  <c r="C14" i="15"/>
  <c r="C15" i="15" s="1"/>
  <c r="H17" i="16"/>
  <c r="H18" i="16" s="1"/>
  <c r="I6" i="17"/>
  <c r="J8" i="13"/>
  <c r="J12" i="16" s="1"/>
  <c r="C6" i="17"/>
  <c r="B9" i="18"/>
  <c r="E9" i="18" s="1"/>
  <c r="E5" i="18"/>
  <c r="H5" i="18" s="1"/>
  <c r="E4" i="18"/>
  <c r="H4" i="18" s="1"/>
  <c r="E8" i="18"/>
  <c r="H8" i="18" s="1"/>
  <c r="E3" i="18"/>
  <c r="H3" i="18" s="1"/>
  <c r="E6" i="18"/>
  <c r="H6" i="18" s="1"/>
  <c r="E2" i="18"/>
  <c r="H2" i="18" s="1"/>
  <c r="I12" i="16"/>
  <c r="I16" i="16"/>
  <c r="I13" i="16"/>
  <c r="C10" i="18"/>
  <c r="F7" i="18" s="1"/>
  <c r="I7" i="18" s="1"/>
  <c r="I14" i="16"/>
  <c r="I15" i="16"/>
  <c r="N9" i="15"/>
  <c r="N10" i="15"/>
  <c r="N11" i="15"/>
  <c r="N12" i="15"/>
  <c r="N13" i="15"/>
  <c r="I14" i="15"/>
  <c r="I15" i="15" s="1"/>
  <c r="H35" i="16"/>
  <c r="I14" i="17"/>
  <c r="H32" i="16"/>
  <c r="H36" i="16"/>
  <c r="H33" i="16"/>
  <c r="I15" i="17"/>
  <c r="H34" i="16"/>
  <c r="I28" i="15"/>
  <c r="I27" i="15"/>
  <c r="I26" i="15"/>
  <c r="I29" i="15"/>
  <c r="I30" i="15"/>
  <c r="B17" i="16"/>
  <c r="B18" i="16" s="1"/>
  <c r="C15" i="17"/>
  <c r="B36" i="16"/>
  <c r="C14" i="17"/>
  <c r="B33" i="16"/>
  <c r="B32" i="16"/>
  <c r="B34" i="16"/>
  <c r="B35" i="16"/>
  <c r="C28" i="15"/>
  <c r="C29" i="15"/>
  <c r="C26" i="15"/>
  <c r="C27" i="15"/>
  <c r="C30" i="15"/>
  <c r="F29" i="15" l="1"/>
  <c r="E27" i="15"/>
  <c r="D17" i="16"/>
  <c r="D18" i="16" s="1"/>
  <c r="E15" i="17"/>
  <c r="D33" i="16"/>
  <c r="E14" i="17"/>
  <c r="D36" i="16"/>
  <c r="E28" i="15"/>
  <c r="E26" i="15"/>
  <c r="E30" i="15"/>
  <c r="E14" i="15"/>
  <c r="E15" i="15" s="1"/>
  <c r="E29" i="15"/>
  <c r="D32" i="16"/>
  <c r="E6" i="17"/>
  <c r="E36" i="16"/>
  <c r="E34" i="16"/>
  <c r="C37" i="16"/>
  <c r="C38" i="16" s="1"/>
  <c r="F14" i="15"/>
  <c r="F15" i="15" s="1"/>
  <c r="F28" i="15"/>
  <c r="E32" i="16"/>
  <c r="F15" i="17"/>
  <c r="E17" i="16"/>
  <c r="E18" i="16" s="1"/>
  <c r="E33" i="16"/>
  <c r="F30" i="15"/>
  <c r="F14" i="17"/>
  <c r="F26" i="15"/>
  <c r="F27" i="15"/>
  <c r="D31" i="15"/>
  <c r="D32" i="15" s="1"/>
  <c r="H31" i="15"/>
  <c r="H32" i="15" s="1"/>
  <c r="F37" i="16"/>
  <c r="F38" i="16" s="1"/>
  <c r="G37" i="16"/>
  <c r="G38" i="16" s="1"/>
  <c r="N28" i="15"/>
  <c r="L28" i="15" s="1"/>
  <c r="J15" i="16"/>
  <c r="I34" i="16"/>
  <c r="I33" i="16"/>
  <c r="G31" i="15"/>
  <c r="G32" i="15" s="1"/>
  <c r="L12" i="15"/>
  <c r="K12" i="15"/>
  <c r="J12" i="15"/>
  <c r="L11" i="15"/>
  <c r="J11" i="15"/>
  <c r="K11" i="15"/>
  <c r="L10" i="15"/>
  <c r="K10" i="15"/>
  <c r="J10" i="15"/>
  <c r="L13" i="15"/>
  <c r="K13" i="15"/>
  <c r="J13" i="15"/>
  <c r="L9" i="15"/>
  <c r="J9" i="15"/>
  <c r="K9" i="15"/>
  <c r="N29" i="15"/>
  <c r="I32" i="16"/>
  <c r="N26" i="15"/>
  <c r="I36" i="16"/>
  <c r="N30" i="15"/>
  <c r="N27" i="15"/>
  <c r="O11" i="15"/>
  <c r="J12" i="13"/>
  <c r="J34" i="16" s="1"/>
  <c r="J14" i="16"/>
  <c r="J13" i="16"/>
  <c r="O10" i="15"/>
  <c r="J10" i="13"/>
  <c r="O9" i="15"/>
  <c r="J16" i="16"/>
  <c r="K8" i="13"/>
  <c r="K12" i="16" s="1"/>
  <c r="O13" i="15"/>
  <c r="O12" i="15"/>
  <c r="H37" i="16"/>
  <c r="H38" i="16" s="1"/>
  <c r="I31" i="15"/>
  <c r="I32" i="15" s="1"/>
  <c r="I17" i="16"/>
  <c r="I18" i="16" s="1"/>
  <c r="C31" i="15"/>
  <c r="C32" i="15" s="1"/>
  <c r="C9" i="18"/>
  <c r="F9" i="18" s="1"/>
  <c r="F5" i="18"/>
  <c r="I5" i="18" s="1"/>
  <c r="F4" i="18"/>
  <c r="I4" i="18" s="1"/>
  <c r="F3" i="18"/>
  <c r="I3" i="18" s="1"/>
  <c r="F2" i="18"/>
  <c r="I2" i="18" s="1"/>
  <c r="F8" i="18"/>
  <c r="I8" i="18" s="1"/>
  <c r="F6" i="18"/>
  <c r="I6" i="18" s="1"/>
  <c r="B37" i="16"/>
  <c r="B38" i="16" s="1"/>
  <c r="N14" i="15"/>
  <c r="N15" i="15" s="1"/>
  <c r="H9" i="18"/>
  <c r="D37" i="16" l="1"/>
  <c r="D38" i="16" s="1"/>
  <c r="E31" i="15"/>
  <c r="E32" i="15" s="1"/>
  <c r="E37" i="16"/>
  <c r="E38" i="16" s="1"/>
  <c r="F31" i="15"/>
  <c r="F32" i="15" s="1"/>
  <c r="J28" i="15"/>
  <c r="K15" i="16"/>
  <c r="K28" i="15"/>
  <c r="I37" i="16"/>
  <c r="I38" i="16" s="1"/>
  <c r="K10" i="13"/>
  <c r="L8" i="13"/>
  <c r="L14" i="16" s="1"/>
  <c r="K12" i="13"/>
  <c r="K34" i="16" s="1"/>
  <c r="M11" i="15"/>
  <c r="N31" i="15"/>
  <c r="N32" i="15" s="1"/>
  <c r="M12" i="15"/>
  <c r="M9" i="15"/>
  <c r="M10" i="15"/>
  <c r="M13" i="15"/>
  <c r="O30" i="15"/>
  <c r="J32" i="16"/>
  <c r="O27" i="15"/>
  <c r="J36" i="16"/>
  <c r="J33" i="16"/>
  <c r="O28" i="15"/>
  <c r="J35" i="16"/>
  <c r="O29" i="15"/>
  <c r="O26" i="15"/>
  <c r="L26" i="15"/>
  <c r="J26" i="15"/>
  <c r="K26" i="15"/>
  <c r="L27" i="15"/>
  <c r="J27" i="15"/>
  <c r="K27" i="15"/>
  <c r="L30" i="15"/>
  <c r="J30" i="15"/>
  <c r="K30" i="15"/>
  <c r="L29" i="15"/>
  <c r="J29" i="15"/>
  <c r="K29" i="15"/>
  <c r="P10" i="15"/>
  <c r="P11" i="15"/>
  <c r="P9" i="15"/>
  <c r="K16" i="16"/>
  <c r="J17" i="16"/>
  <c r="J18" i="16" s="1"/>
  <c r="O14" i="15"/>
  <c r="O15" i="15" s="1"/>
  <c r="P13" i="15"/>
  <c r="K13" i="16"/>
  <c r="K14" i="16"/>
  <c r="P12" i="15"/>
  <c r="I9" i="18"/>
  <c r="P30" i="15" l="1"/>
  <c r="Q10" i="15"/>
  <c r="M28" i="15"/>
  <c r="L13" i="16"/>
  <c r="Q9" i="15"/>
  <c r="K33" i="16"/>
  <c r="L10" i="13"/>
  <c r="Q12" i="15"/>
  <c r="L12" i="16"/>
  <c r="L15" i="16"/>
  <c r="M8" i="13"/>
  <c r="M14" i="16" s="1"/>
  <c r="L16" i="16"/>
  <c r="L12" i="13"/>
  <c r="L33" i="16" s="1"/>
  <c r="Q13" i="15"/>
  <c r="Q11" i="15"/>
  <c r="P26" i="15"/>
  <c r="P29" i="15"/>
  <c r="K36" i="16"/>
  <c r="K32" i="16"/>
  <c r="P28" i="15"/>
  <c r="K35" i="16"/>
  <c r="P27" i="15"/>
  <c r="O31" i="15"/>
  <c r="O32" i="15" s="1"/>
  <c r="J37" i="16"/>
  <c r="J38" i="16" s="1"/>
  <c r="M29" i="15"/>
  <c r="M26" i="15"/>
  <c r="M27" i="15"/>
  <c r="M30" i="15"/>
  <c r="P14" i="15"/>
  <c r="P15" i="15" s="1"/>
  <c r="K17" i="16"/>
  <c r="K18" i="16" s="1"/>
  <c r="M12" i="16"/>
  <c r="M12" i="13" l="1"/>
  <c r="M35" i="16" s="1"/>
  <c r="R12" i="15"/>
  <c r="M15" i="16"/>
  <c r="N8" i="13"/>
  <c r="N13" i="16" s="1"/>
  <c r="M13" i="16"/>
  <c r="R13" i="15"/>
  <c r="R9" i="15"/>
  <c r="M10" i="13"/>
  <c r="R10" i="15"/>
  <c r="M16" i="16"/>
  <c r="K37" i="16"/>
  <c r="K38" i="16" s="1"/>
  <c r="R11" i="15"/>
  <c r="Q26" i="15"/>
  <c r="L36" i="16"/>
  <c r="Q30" i="15"/>
  <c r="Q28" i="15"/>
  <c r="L32" i="16"/>
  <c r="Q29" i="15"/>
  <c r="L34" i="16"/>
  <c r="L35" i="16"/>
  <c r="Q27" i="15"/>
  <c r="P31" i="15"/>
  <c r="P32" i="15" s="1"/>
  <c r="Q14" i="15"/>
  <c r="Q15" i="15" s="1"/>
  <c r="L17" i="16"/>
  <c r="L18" i="16" s="1"/>
  <c r="M34" i="16"/>
  <c r="R29" i="15" l="1"/>
  <c r="M33" i="16"/>
  <c r="R26" i="15"/>
  <c r="M32" i="16"/>
  <c r="S9" i="15"/>
  <c r="O8" i="13"/>
  <c r="O12" i="16" s="1"/>
  <c r="S12" i="15"/>
  <c r="N16" i="16"/>
  <c r="N12" i="13"/>
  <c r="N33" i="16" s="1"/>
  <c r="S11" i="15"/>
  <c r="S13" i="15"/>
  <c r="N14" i="16"/>
  <c r="N12" i="16"/>
  <c r="N15" i="16"/>
  <c r="N10" i="13"/>
  <c r="S10" i="15"/>
  <c r="R28" i="15"/>
  <c r="M36" i="16"/>
  <c r="R30" i="15"/>
  <c r="R27" i="15"/>
  <c r="M17" i="16"/>
  <c r="M18" i="16" s="1"/>
  <c r="R14" i="15"/>
  <c r="R15" i="15" s="1"/>
  <c r="L37" i="16"/>
  <c r="L38" i="16" s="1"/>
  <c r="Q31" i="15"/>
  <c r="Q32" i="15" s="1"/>
  <c r="M37" i="16" l="1"/>
  <c r="M38" i="16" s="1"/>
  <c r="T12" i="15"/>
  <c r="O15" i="16"/>
  <c r="T13" i="15"/>
  <c r="T10" i="15"/>
  <c r="O14" i="16"/>
  <c r="T9" i="15"/>
  <c r="O12" i="13"/>
  <c r="O34" i="16" s="1"/>
  <c r="T11" i="15"/>
  <c r="O10" i="13"/>
  <c r="O16" i="16"/>
  <c r="P8" i="13"/>
  <c r="P15" i="16" s="1"/>
  <c r="O13" i="16"/>
  <c r="S14" i="15"/>
  <c r="S15" i="15" s="1"/>
  <c r="N17" i="16"/>
  <c r="N18" i="16" s="1"/>
  <c r="R31" i="15"/>
  <c r="R32" i="15" s="1"/>
  <c r="S27" i="15"/>
  <c r="N32" i="16"/>
  <c r="S29" i="15"/>
  <c r="N35" i="16"/>
  <c r="S28" i="15"/>
  <c r="S26" i="15"/>
  <c r="N34" i="16"/>
  <c r="S30" i="15"/>
  <c r="N36" i="16"/>
  <c r="T27" i="15" l="1"/>
  <c r="U13" i="15"/>
  <c r="P14" i="16"/>
  <c r="O33" i="16"/>
  <c r="O17" i="16"/>
  <c r="O18" i="16" s="1"/>
  <c r="T14" i="15"/>
  <c r="T15" i="15" s="1"/>
  <c r="P12" i="13"/>
  <c r="P32" i="16" s="1"/>
  <c r="U11" i="15"/>
  <c r="T30" i="15"/>
  <c r="T29" i="15"/>
  <c r="O36" i="16"/>
  <c r="U9" i="15"/>
  <c r="P12" i="16"/>
  <c r="P13" i="16"/>
  <c r="T28" i="15"/>
  <c r="O32" i="16"/>
  <c r="U12" i="15"/>
  <c r="U10" i="15"/>
  <c r="Q8" i="13"/>
  <c r="Q14" i="16" s="1"/>
  <c r="O35" i="16"/>
  <c r="P10" i="13"/>
  <c r="T26" i="15"/>
  <c r="P16" i="16"/>
  <c r="N37" i="16"/>
  <c r="N38" i="16" s="1"/>
  <c r="S31" i="15"/>
  <c r="S32" i="15" s="1"/>
  <c r="Q10" i="13" l="1"/>
  <c r="P34" i="16"/>
  <c r="Q15" i="16"/>
  <c r="P35" i="16"/>
  <c r="U26" i="15"/>
  <c r="Q13" i="16"/>
  <c r="Q12" i="13"/>
  <c r="Q36" i="16" s="1"/>
  <c r="P33" i="16"/>
  <c r="V10" i="15"/>
  <c r="R8" i="13"/>
  <c r="R13" i="16" s="1"/>
  <c r="U29" i="15"/>
  <c r="V13" i="15"/>
  <c r="Q16" i="16"/>
  <c r="U27" i="15"/>
  <c r="P36" i="16"/>
  <c r="V12" i="15"/>
  <c r="V9" i="15"/>
  <c r="Q12" i="16"/>
  <c r="U30" i="15"/>
  <c r="U28" i="15"/>
  <c r="V11" i="15"/>
  <c r="U14" i="15"/>
  <c r="U15" i="15" s="1"/>
  <c r="T31" i="15"/>
  <c r="T32" i="15" s="1"/>
  <c r="P17" i="16"/>
  <c r="P18" i="16" s="1"/>
  <c r="O37" i="16"/>
  <c r="O38" i="16" s="1"/>
  <c r="R15" i="16"/>
  <c r="Q34" i="16"/>
  <c r="Q32" i="16" l="1"/>
  <c r="V26" i="15"/>
  <c r="V29" i="15"/>
  <c r="V28" i="15"/>
  <c r="V30" i="15"/>
  <c r="Q33" i="16"/>
  <c r="V27" i="15"/>
  <c r="Q35" i="16"/>
  <c r="R12" i="13"/>
  <c r="R34" i="16" s="1"/>
  <c r="W11" i="15"/>
  <c r="R14" i="16"/>
  <c r="S8" i="13"/>
  <c r="T8" i="13" s="1"/>
  <c r="W12" i="15"/>
  <c r="R16" i="16"/>
  <c r="R10" i="13"/>
  <c r="W13" i="15"/>
  <c r="W9" i="15"/>
  <c r="R12" i="16"/>
  <c r="P37" i="16"/>
  <c r="P38" i="16" s="1"/>
  <c r="W10" i="15"/>
  <c r="Q17" i="16"/>
  <c r="Q18" i="16" s="1"/>
  <c r="U31" i="15"/>
  <c r="U32" i="15" s="1"/>
  <c r="V14" i="15"/>
  <c r="V15" i="15" s="1"/>
  <c r="S15" i="16"/>
  <c r="T15" i="16" s="1"/>
  <c r="S13" i="16" l="1"/>
  <c r="T13" i="16" s="1"/>
  <c r="S12" i="13"/>
  <c r="S33" i="16" s="1"/>
  <c r="X12" i="15"/>
  <c r="Y12" i="15" s="1"/>
  <c r="X13" i="15"/>
  <c r="Y13" i="15" s="1"/>
  <c r="S16" i="16"/>
  <c r="T16" i="16" s="1"/>
  <c r="X9" i="15"/>
  <c r="Y9" i="15" s="1"/>
  <c r="S12" i="16"/>
  <c r="T12" i="16" s="1"/>
  <c r="V31" i="15"/>
  <c r="V32" i="15" s="1"/>
  <c r="Q37" i="16"/>
  <c r="Q38" i="16" s="1"/>
  <c r="W26" i="15"/>
  <c r="R35" i="16"/>
  <c r="W28" i="15"/>
  <c r="R33" i="16"/>
  <c r="W29" i="15"/>
  <c r="S10" i="13"/>
  <c r="X10" i="15"/>
  <c r="Y10" i="15" s="1"/>
  <c r="X11" i="15"/>
  <c r="Y11" i="15" s="1"/>
  <c r="S14" i="16"/>
  <c r="T14" i="16" s="1"/>
  <c r="W14" i="15"/>
  <c r="W15" i="15" s="1"/>
  <c r="W27" i="15"/>
  <c r="R32" i="16"/>
  <c r="W30" i="15"/>
  <c r="R36" i="16"/>
  <c r="R17" i="16"/>
  <c r="R18" i="16" s="1"/>
  <c r="S35" i="16" l="1"/>
  <c r="S32" i="16"/>
  <c r="X30" i="15"/>
  <c r="X26" i="15"/>
  <c r="X29" i="15"/>
  <c r="X28" i="15"/>
  <c r="S34" i="16"/>
  <c r="X27" i="15"/>
  <c r="S36" i="16"/>
  <c r="R37" i="16"/>
  <c r="R38" i="16" s="1"/>
  <c r="W31" i="15"/>
  <c r="W32" i="15" s="1"/>
  <c r="X14" i="15"/>
  <c r="X15" i="15" s="1"/>
  <c r="S17" i="16"/>
  <c r="S18" i="16" s="1"/>
  <c r="S37" i="16" l="1"/>
  <c r="S38" i="16" s="1"/>
  <c r="X31" i="15"/>
  <c r="X32" i="15"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tc={01615AC4-DE58-401F-8CC2-33BE63E7F6BA}</author>
    <author>tc={85913536-37A8-4BCC-B34B-A278AD1D5D18}</author>
    <author>tc={223A37EF-82A7-43C1-919B-A005455211D9}</author>
    <author>tc={CDF734A2-47D6-4BA8-BDEA-A734C0A010C3}</author>
    <author>tc={F30FB0AF-CD5D-4DB1-9DB7-59D1FCA3A74E}</author>
    <author>tc={BEE68E72-244F-42E4-BE91-064AF3DD753F}</author>
    <author>tc={E0FC93D4-4380-471F-9D51-45E54EC4D2C8}</author>
    <author>tc={AD6317D4-61D2-4678-A21C-09AC3924D7DA}</author>
    <author>tc={4E9ECE9F-A69E-4240-8106-A0B70BB5E6F0}</author>
    <author>tc={30B7A76E-20FD-4CE0-9086-497B0AFEBF64}</author>
    <author>tc={9665363A-7616-4E0A-9793-E5D3C6CB53D2}</author>
    <author>tc={34CF92BD-9782-446E-9686-BAFCC329D326}</author>
    <author>tc={E5A62DD0-7CA6-4054-90DC-DB5A91A1654D}</author>
    <author>tc={00F5C773-848C-49E5-9544-5015CC6FFCDC}</author>
    <author>tc={950D0D90-7FAF-4FA4-BF7D-96B820DB0931}</author>
    <author>tc={1F5B26F6-BF47-4329-85D1-2B23525B4C24}</author>
    <author>tc={57833179-BC2A-4262-A55A-1C472C328860}</author>
    <author>tc={71BD24E7-8B9D-4714-A930-7883773C264C}</author>
    <author>tc={F98C924B-85BB-4303-A61B-7CDC662C40BF}</author>
    <author>tc={E462C269-C2F7-4797-BE75-54096566E091}</author>
    <author>tc={E76FBAF6-C62E-44E0-8FD3-C9D37E7459BB}</author>
    <author>tc={B480A1E1-F3FD-4CBF-BC23-0D1E46517965}</author>
    <author>tc={B7E1986A-F6B7-4C1A-B57E-2816C6456DB2}</author>
    <author>tc={ACD70116-B0BA-4F4F-AAA5-632E6BBA9A4F}</author>
    <author>tc={BB072A3E-B862-4703-A247-7FE6C4B2D630}</author>
    <author>tc={B6BDB079-6A6C-49B8-917D-712D40248E86}</author>
    <author>tc={2D9E94D4-9BBD-40FB-BF3B-DEBCCAA09D94}</author>
    <author>tc={40830EA9-EB86-4C2D-BBD4-0D5ED3AECACC}</author>
    <author>tc={C24754BC-4945-4107-9969-C0E963D6A016}</author>
    <author>tc={F9362A2C-A52A-4E43-8D70-E9B22F29A4D7}</author>
    <author>tc={A9425A69-3CFA-45A4-8D8B-B2A5D5A4DEF3}</author>
    <author>tc={BC9E1ACD-BEEB-4C16-8CCF-089A264385CE}</author>
    <author>tc={E12F9AE9-BBA4-4571-9E3F-36AD458C28CA}</author>
    <author>tc={50AFBC19-3F4E-47C2-88F2-C58360061201}</author>
    <author>tc={A93431F6-1554-4BB1-80E8-43A4777DD338}</author>
    <author>tc={D79D89A7-E901-4AF3-A488-0248DDCD679B}</author>
    <author>tc={A5C8D664-D158-4B5A-864B-1B5D1FA2AE09}</author>
    <author>tc={BF89C4FB-0DA2-42BA-AF97-36B56DBE6551}</author>
    <author>tc={2BFA69E6-BF57-4875-90CF-B91F20A7A3FA}</author>
    <author>tc={AE09430C-960C-404D-8730-B5EF75F3E090}</author>
    <author>tc={6756ED9A-B120-4CCE-BE3B-428020746E41}</author>
    <author>tc={DE0E2CBD-2899-4EA5-80D8-DF0C1435F992}</author>
    <author>tc={93285EEC-E8F1-4845-8B46-EA546AA1433A}</author>
    <author>tc={1350EB42-D8FB-4832-923E-14DB5A070BEF}</author>
    <author>tc={3BEFECF3-961C-470A-B346-B91CC8B8C3F8}</author>
    <author>tc={EF607DCC-5258-47EA-98CD-55709AA1E809}</author>
    <author>tc={CE84CB61-7549-468E-98A1-626B180D048D}</author>
    <author>tc={FC503461-F69D-4DCF-8B1E-EF6DB14E4CAE}</author>
    <author>tc={84629E2A-2611-4298-8D3C-E6A730F3E5B4}</author>
    <author>tc={B428A7DE-E209-494D-A27C-D70B52066969}</author>
    <author>tc={90B74140-DB4D-4F62-BD45-A230036BFB02}</author>
    <author>tc={4C3DC542-CCFC-4334-AF5A-CCF7F569930F}</author>
    <author>tc={593F6CF7-0E81-4794-9212-AFB36539BD07}</author>
    <author>tc={73A1A370-09DE-43A9-B1BD-2E92646C2C0D}</author>
    <author>tc={F8B17604-12D5-4BBC-B2B7-223310B48138}</author>
    <author>tc={644980A9-9D1D-4902-AFF1-6EA25CBA6750}</author>
    <author>tc={90EF840A-8601-4CBC-815C-8EBF2D940F76}</author>
    <author>tc={28B7AA45-C48E-4C0C-9D65-BB52BF6CB22B}</author>
    <author>tc={D1E0D4C9-E3CF-4A4F-A7F8-CE7B6828ECE7}</author>
    <author>tc={ABD30AAB-6631-42F2-A978-76967BE01D4D}</author>
    <author>tc={BAE64C25-A854-42A6-ACD5-DB72A084BC37}</author>
    <author>tc={79D55099-FCE6-485D-83CE-D9268255F647}</author>
    <author>tc={A0A02DC5-462B-4AB0-AB06-E369B0EC4F05}</author>
    <author>tc={35C0AABF-AD24-44AE-9619-840B9F968483}</author>
    <author>tc={EAB442B4-AB4B-4E1E-A3CE-ADCDF8FAC49D}</author>
    <author>tc={280A96F3-941C-45AC-B8B4-9ABFC9023340}</author>
    <author>tc={D1E98001-AF09-4669-B85D-2A325F8049B7}</author>
    <author>tc={61F57463-7311-4E06-A407-0644666B9FE2}</author>
    <author>tc={8DD76664-CF26-42F1-9301-B5ACE699F51A}</author>
    <author>tc={75B009C3-46BD-455C-8DA4-3DBA34DB57F7}</author>
    <author>tc={81958748-1A56-404F-843F-32011AFD3DC0}</author>
    <author>tc={01303E30-4162-4711-A164-349C218EC0BA}</author>
    <author>tc={D9A5C53F-B208-4266-91EB-52E0FC99A0EE}</author>
    <author>tc={48A44312-3128-42D8-B838-21E598A024DE}</author>
    <author>tc={3D446A49-04F0-49E6-9DA4-2679359E3B7F}</author>
    <author>tc={81E4F019-D477-420C-8B20-E8F03FA82BB8}</author>
    <author>tc={50BAEE05-DEAD-4CFF-A49A-D4E11B25CA4A}</author>
    <author>tc={487803DA-70FF-4421-BA30-9A95D0133EEF}</author>
    <author>tc={7929D78A-21C8-41F7-9055-4021AE76CB98}</author>
    <author>tc={0BB03134-9F28-4EFD-8881-F9FF43286E1B}</author>
    <author>tc={FFA37690-987D-4B66-80D1-89E56ECA0032}</author>
    <author>tc={56449A96-885B-4C4C-8A08-E00760853375}</author>
    <author>tc={62B78715-934F-45E0-8654-40A8CD0CD5C4}</author>
    <author>tc={8E39C37B-6C17-430A-844E-5ABED0A4CE88}</author>
    <author>tc={4B10CE74-153F-4031-890A-63D3245D24CB}</author>
    <author>tc={6A18BED5-207E-4C67-8413-63AAA886A2F4}</author>
    <author>tc={7C4C2D45-BEC5-47F7-B264-3DB7EA2DB80B}</author>
    <author>tc={AAB09583-B109-424A-B135-DE0A89754DFF}</author>
    <author>tc={E0BB7566-6A82-46B9-B5BC-A8EE88CAE9E3}</author>
    <author>tc={EB46A63D-D84C-4589-9CAC-3248096BC642}</author>
    <author>tc={34FD6224-453E-4FA8-B21F-432473984B58}</author>
    <author>tc={136B6662-F9A2-4713-8AB1-AD8210DFBC04}</author>
    <author>tc={E08AE1BC-F06C-4383-BF2E-9068A7AE2A1F}</author>
    <author>tc={60807F18-B31D-4C1D-9D4C-CE08F2A381AB}</author>
    <author>tc={30B6F839-11C8-461E-86FD-B930E2C7C57E}</author>
    <author>tc={BA0BC94B-1E53-4395-825B-6648F9661ADE}</author>
    <author>tc={B2D11C67-4221-4F1A-8088-C3E5FDB772A9}</author>
    <author>tc={B3DE8F42-3250-45BB-A1F4-7DDB1C292C16}</author>
    <author>tc={2C82794D-F059-46E5-9856-8BCE3444A59A}</author>
  </authors>
  <commentList>
    <comment ref="B2" authorId="0" shapeId="0" xr:uid="{01615AC4-DE58-401F-8CC2-33BE63E7F6BA}">
      <text>
        <t>[Threaded comment]
Your version of Excel allows you to read this threaded comment; however, any edits to it will get removed if the file is opened in a newer version of Excel. Learn more: https://go.microsoft.com/fwlink/?linkid=870924
Comment:
    https://coal.gov.in/sites/default/files/ncgm/pmicg-jp.pdf</t>
      </text>
    </comment>
    <comment ref="D2" authorId="1" shapeId="0" xr:uid="{85913536-37A8-4BCC-B34B-A278AD1D5D18}">
      <text>
        <t>[Threaded comment]
Your version of Excel allows you to read this threaded comment; however, any edits to it will get removed if the file is opened in a newer version of Excel. Learn more: https://go.microsoft.com/fwlink/?linkid=870924
Comment:
      Assam Petro-Chemicals Ltd. is now implementing a mega project of 500TPD Methanol and 200 TPD Formaldehyde plant as an expansion project of the company at a total cost of Rs. 1337 crore.Implementation of the 500 TPD Methanol project is going on at the adjacent plot of existing plant at Namrup in Dibrugarh district of Assam.Implementation of 200 TPD Formalin project is about to start at Boitamari in Bongaigaon District. The Hon'ble Chief Minister of Assam laid the foundation stone of the 200 TPD Formalin Project at Boitamari, Bongaigaon on 4th March, 2019. Governor of Assam, Oil India Limited and Assam Gas Company Limited are investing in equity capital for implementation of 500 TPD Methanol and 200 TPD Formalin project. Government of Assam alongwith Assam Gas Co. Ltd and AIDC Ltd. will hold 51% of shares and Oil India Ltd. will hold 49% of the equity capital of the company.In this connection, an MoU was sighed with Oil India Ltd. in February, 2018 during Advantage Assam -the Global Investors Summit held at Guwahati.
Reply:
    https://assampetrochemicals.co.in/about.php</t>
      </text>
    </comment>
    <comment ref="E2" authorId="2" shapeId="0" xr:uid="{223A37EF-82A7-43C1-919B-A005455211D9}">
      <text>
        <t xml:space="preserve">[Threaded comment]
Your version of Excel allows you to read this threaded comment; however, any edits to it will get removed if the file is opened in a newer version of Excel. Learn more: https://go.microsoft.com/fwlink/?linkid=870924
Comment:
    100 TPD
</t>
      </text>
    </comment>
    <comment ref="Q2" authorId="3" shapeId="0" xr:uid="{CDF734A2-47D6-4BA8-BDEA-A734C0A010C3}">
      <text>
        <t>[Threaded comment]
Your version of Excel allows you to read this threaded comment; however, any edits to it will get removed if the file is opened in a newer version of Excel. Learn more: https://go.microsoft.com/fwlink/?linkid=870924
Comment:
    Another 500 TPD unit
Reply:
    https://assampetrochemicals.co.in/project-progress.php</t>
      </text>
    </comment>
    <comment ref="D3" authorId="4" shapeId="0" xr:uid="{F30FB0AF-CD5D-4DB1-9DB7-59D1FCA3A74E}">
      <text>
        <t>[Threaded comment]
Your version of Excel allows you to read this threaded comment; however, any edits to it will get removed if the file is opened in a newer version of Excel. Learn more: https://go.microsoft.com/fwlink/?linkid=870924
Comment:
    https://www.gnfc.in/divisions/production-sales/
Reply:
    https://www.fert.nic.in/psu/rashtriya-chemicals-and-fertilizers-limited-rcf</t>
      </text>
    </comment>
    <comment ref="J4" authorId="5" shapeId="0" xr:uid="{BEE68E72-244F-42E4-BE91-064AF3DD753F}">
      <text>
        <t>[Threaded comment]
Your version of Excel allows you to read this threaded comment; however, any edits to it will get removed if the file is opened in a newer version of Excel. Learn more: https://go.microsoft.com/fwlink/?linkid=870924
Comment:
    242MT Per day
Reply:
    https://vajiramias.com/current-affairs/methanol/5f5ef1821d5def3376eb2611/</t>
      </text>
    </comment>
    <comment ref="D5" authorId="6" shapeId="0" xr:uid="{E0FC93D4-4380-471F-9D51-45E54EC4D2C8}">
      <text>
        <t>[Threaded comment]
Your version of Excel allows you to read this threaded comment; however, any edits to it will get removed if the file is opened in a newer version of Excel. Learn more: https://go.microsoft.com/fwlink/?linkid=870924
Comment:
    https://www.dfpcl.com/industrial-manufactured-products#:~:text=DFPCL%20is%20one%20of%20the%20largest%20producers%20of%20Methanol%20in,on%20site%2C%20ensuring%20uninterrupted%20supply.</t>
      </text>
    </comment>
    <comment ref="D6" authorId="7" shapeId="0" xr:uid="{AD6317D4-61D2-4678-A21C-09AC3924D7DA}">
      <text>
        <t>[Threaded comment]
Your version of Excel allows you to read this threaded comment; however, any edits to it will get removed if the file is opened in a newer version of Excel. Learn more: https://go.microsoft.com/fwlink/?linkid=870924
Comment:
    https://www.gsfclimited.com/methanol-ch3oh</t>
      </text>
    </comment>
    <comment ref="E6" authorId="8" shapeId="0" xr:uid="{4E9ECE9F-A69E-4240-8106-A0B70BB5E6F0}">
      <text>
        <t>[Threaded comment]
Your version of Excel allows you to read this threaded comment; however, any edits to it will get removed if the file is opened in a newer version of Excel. Learn more: https://go.microsoft.com/fwlink/?linkid=870924
Comment:
    525 metric tonnes per day</t>
      </text>
    </comment>
    <comment ref="J6" authorId="9" shapeId="0" xr:uid="{30B7A76E-20FD-4CE0-9086-497B0AFEBF64}">
      <text>
        <t>[Threaded comment]
Your version of Excel allows you to read this threaded comment; however, any edits to it will get removed if the file is opened in a newer version of Excel. Learn more: https://go.microsoft.com/fwlink/?linkid=870924
Comment:
    31st August 2020
Reply:
    Gujarat State Fertilizers &amp; Chemicals Limited, Baroda has a Methanol plant with installed capacity of 525 metric tonnes per day. This plant was commissioned in 2013 and was operated for 11 months. Due to non-viability, the plant was shut down in April 2014.
Now, after more than 6 years, GSFC has re-started this plant. Methanol is being produced from 31st August 2020 as per the prescribed specifications and quality. Re-start of GSFC`s Methanol plant is a step towards fulfilling Hon`ble Prime Minister`s vision of `Aatmanirbhar Bharat`, and will help in import substitution.
Reply:
    525 metric tonnes per day</t>
      </text>
    </comment>
    <comment ref="D24" authorId="10" shapeId="0" xr:uid="{9665363A-7616-4E0A-9793-E5D3C6CB53D2}">
      <text>
        <t>[Threaded comment]
Your version of Excel allows you to read this threaded comment; however, any edits to it will get removed if the file is opened in a newer version of Excel. Learn more: https://go.microsoft.com/fwlink/?linkid=870924
Comment:
    https://www.knak.jp/malaysia/petronas.htm</t>
      </text>
    </comment>
    <comment ref="D25" authorId="11" shapeId="0" xr:uid="{34CF92BD-9782-446E-9686-BAFCC329D326}">
      <text>
        <t>[Threaded comment]
Your version of Excel allows you to read this threaded comment; however, any edits to it will get removed if the file is opened in a newer version of Excel. Learn more: https://go.microsoft.com/fwlink/?linkid=870924
Comment:
    http://webcache.googleusercontent.com/search?q=cache%3Ahttps%3A%2F%2Fkaltimmethanol.com%2Fhistory.html%23%3A~%3Atext%3DIt%2520has%2520two%2520loading%2520arms%2Cpressure%2520licensed%2520by%2520Lurgi%2520Germany.&amp;rlz=1C1CHWA_enIN973IN973&amp;oq=cache%3Ahttps%3A%2F%2Fkaltimmethanol.com%2Fhistory.html%23%3A~%3Atext%3DIt%2520has%2520two%2520loading%2520arms%2Cpressure%2520licensed%2520by%2520Lurgi%2520Germany.&amp;aqs=chrome..69i57j69i58.2192j0j4&amp;sourceid=chrome&amp;ie=UTF-8
Reply:
    https://kaltimmethanol.com/manufacturing.html</t>
      </text>
    </comment>
    <comment ref="D26" authorId="12" shapeId="0" xr:uid="{E5A62DD0-7CA6-4054-90DC-DB5A91A1654D}">
      <text>
        <t>[Threaded comment]
Your version of Excel allows you to read this threaded comment; however, any edits to it will get removed if the file is opened in a newer version of Excel. Learn more: https://go.microsoft.com/fwlink/?linkid=870924
Comment:
    https://www.melbana.com/site/PDF/98537309-7153-4e78-9c4b-26f6c1193b56/MediaBackground#:~:text=Each%20plant%20has%20a%20production%20capacity%20of%20approximately%205%2C000%20tonnes%20per%20day.</t>
      </text>
    </comment>
    <comment ref="D27" authorId="13" shapeId="0" xr:uid="{00F5C773-848C-49E5-9544-5015CC6FFCDC}">
      <text>
        <t>[Threaded comment]
Your version of Excel allows you to read this threaded comment; however, any edits to it will get removed if the file is opened in a newer version of Excel. Learn more: https://go.microsoft.com/fwlink/?linkid=870924
Comment:
    https://www.methanex.com/location/new-zealand/about-methanex-nz#:~:text=Methanex%20is%20New%20Zealand's%20only,million%20tonnes%20of%20methanol%20annually.</t>
      </text>
    </comment>
    <comment ref="K27" authorId="14" shapeId="0" xr:uid="{950D0D90-7FAF-4FA4-BF7D-96B820DB0931}">
      <text>
        <t>[Threaded comment]
Your version of Excel allows you to read this threaded comment; however, any edits to it will get removed if the file is opened in a newer version of Excel. Learn more: https://go.microsoft.com/fwlink/?linkid=870924
Comment:
    (one facillity, Waitara Valley, is currently idled) providing the capacity to produce up to 2.2 million tonnes of methanol annually.</t>
      </text>
    </comment>
    <comment ref="D28" authorId="15" shapeId="0" xr:uid="{1F5B26F6-BF47-4329-85D1-2B23525B4C24}">
      <text>
        <t>[Threaded comment]
Your version of Excel allows you to read this threaded comment; however, any edits to it will get removed if the file is opened in a newer version of Excel. Learn more: https://go.microsoft.com/fwlink/?linkid=870924
Comment:
    https://www.methanex.com/location/new-zealand/about-methanex-nz#:~:text=Methanex%20is%20New%20Zealand's%20only,million%20tonnes%20of%20methanol%20annually.</t>
      </text>
    </comment>
    <comment ref="D29" authorId="16" shapeId="0" xr:uid="{57833179-BC2A-4262-A55A-1C472C328860}">
      <text>
        <t>[Threaded comment]
Your version of Excel allows you to read this threaded comment; however, any edits to it will get removed if the file is opened in a newer version of Excel. Learn more: https://go.microsoft.com/fwlink/?linkid=870924
Comment:
    https://www.methanex.com/location/new-zealand/about-methanex-nz#:~:text=Methanex%20is%20New%20Zealand's%20only,million%20tonnes%20of%20methanol%20annually.</t>
      </text>
    </comment>
    <comment ref="D30" authorId="17" shapeId="0" xr:uid="{71BD24E7-8B9D-4714-A930-7883773C264C}">
      <text>
        <t>[Threaded comment]
Your version of Excel allows you to read this threaded comment; however, any edits to it will get removed if the file is opened in a newer version of Excel. Learn more: https://go.microsoft.com/fwlink/?linkid=870924
Comment:
    https://www.coogee.com.au/capabilities/manufacturing-supply/</t>
      </text>
    </comment>
    <comment ref="D31" authorId="18" shapeId="0" xr:uid="{F98C924B-85BB-4303-A61B-7CDC662C40BF}">
      <text>
        <t>[Threaded comment]
Your version of Excel allows you to read this threaded comment; however, any edits to it will get removed if the file is opened in a newer version of Excel. Learn more: https://go.microsoft.com/fwlink/?linkid=870924
Comment:
    https://www.methanol.org/wp-content/uploads/2020/04/IRENA_Innovation_Renewable_Methanol_2021.pdf</t>
      </text>
    </comment>
    <comment ref="D33" authorId="19" shapeId="0" xr:uid="{E462C269-C2F7-4797-BE75-54096566E091}">
      <text>
        <t>[Threaded comment]
Your version of Excel allows you to read this threaded comment; however, any edits to it will get removed if the file is opened in a newer version of Excel. Learn more: https://go.microsoft.com/fwlink/?linkid=870924
Comment:
    http://www.msk.co.rs/en-GB/content/cid259/about-us#:~:text=200.000%20t%2Fg%20of%20methanol</t>
      </text>
    </comment>
    <comment ref="D34" authorId="20" shapeId="0" xr:uid="{E76FBAF6-C62E-44E0-8FD3-C9D37E7459BB}">
      <text>
        <t>[Threaded comment]
Your version of Excel allows you to read this threaded comment; however, any edits to it will get removed if the file is opened in a newer version of Excel. Learn more: https://go.microsoft.com/fwlink/?linkid=870924
Comment:
    https://blog.topsoe.com/ucc-shchekinoazot-launches-methanol-and-ammonia-co-production-plant-licensed-by-haldor-topsoe</t>
      </text>
    </comment>
    <comment ref="K34" authorId="21" shapeId="0" xr:uid="{B480A1E1-F3FD-4CBF-BC23-0D1E46517965}">
      <text>
        <t>[Threaded comment]
Your version of Excel allows you to read this threaded comment; however, any edits to it will get removed if the file is opened in a newer version of Excel. Learn more: https://go.microsoft.com/fwlink/?linkid=870924
Comment:
    https://xn--90ab5f.xn--p1ai/en/press-center/50840/</t>
      </text>
    </comment>
    <comment ref="D35" authorId="22" shapeId="0" xr:uid="{B7E1986A-F6B7-4C1A-B57E-2816C6456DB2}">
      <text>
        <t>[Threaded comment]
Your version of Excel allows you to read this threaded comment; however, any edits to it will get removed if the file is opened in a newer version of Excel. Learn more: https://go.microsoft.com/fwlink/?linkid=870924
Comment:
    https://www.metafrax.ru/files/documents/33_EN_1628610449.pdf</t>
      </text>
    </comment>
    <comment ref="D37" authorId="23" shapeId="0" xr:uid="{ACD70116-B0BA-4F4F-AAA5-632E6BBA9A4F}">
      <text>
        <t>[Threaded comment]
Your version of Excel allows you to read this threaded comment; however, any edits to it will get removed if the file is opened in a newer version of Excel. Learn more: https://go.microsoft.com/fwlink/?linkid=870924
Comment:
    https://www.argusmedia.com/-/media/Files/sample-reports/20220729methanol.ashx?la=en&amp;hash=FDAA09E0CEEF4BC55B2AE401739F258E4C56AB97</t>
      </text>
    </comment>
    <comment ref="D40" authorId="24" shapeId="0" xr:uid="{BB072A3E-B862-4703-A247-7FE6C4B2D630}">
      <text>
        <t>[Threaded comment]
Your version of Excel allows you to read this threaded comment; however, any edits to it will get removed if the file is opened in a newer version of Excel. Learn more: https://go.microsoft.com/fwlink/?linkid=870924
Comment:
    https://www.spglobal.com/commodityinsights/en/market-insights/latest-news/petrochemicals/102814-russias-tomsk-methanol-restarts-plant-after-turnaround</t>
      </text>
    </comment>
    <comment ref="D41" authorId="25" shapeId="0" xr:uid="{B6BDB079-6A6C-49B8-917D-712D40248E86}">
      <text>
        <t>[Threaded comment]
Your version of Excel allows you to read this threaded comment; however, any edits to it will get removed if the file is opened in a newer version of Excel. Learn more: https://go.microsoft.com/fwlink/?linkid=870924
Comment:
    https://www.repsol.com/imagenes/global/en/24_11_YPF_imoran_tcm14-13798.pdf
Reply:
    Plaza Huincul</t>
      </text>
    </comment>
    <comment ref="D42" authorId="26" shapeId="0" xr:uid="{2D9E94D4-9BBD-40FB-BF3B-DEBCCAA09D94}">
      <text>
        <t>[Threaded comment]
Your version of Excel allows you to read this threaded comment; however, any edits to it will get removed if the file is opened in a newer version of Excel. Learn more: https://go.microsoft.com/fwlink/?linkid=870924
Comment:
    https://www.argusmedia.com/-/media/Files/sample-reports/20220729methanol.ashx?la=en&amp;hash=FDAA09E0CEEF4BC55B2AE401739F258E4C56AB97
Reply:
    The joint venture operates as Fairway Methanol LLC, with both Celanese and Mitsui maintaining a 50/50 ownership.
Reply:
    https://www.icis.com/explore/resources/news/2019/04/17/10350110/celanese-to-expand-methanol-capacity-at-us-plant/</t>
      </text>
    </comment>
    <comment ref="D43" authorId="27" shapeId="0" xr:uid="{40830EA9-EB86-4C2D-BBD4-0D5ED3AECACC}">
      <text>
        <t>[Threaded comment]
Your version of Excel allows you to read this threaded comment; however, any edits to it will get removed if the file is opened in a newer version of Excel. Learn more: https://go.microsoft.com/fwlink/?linkid=870924
Comment:
    https://www.usmeoh.com/read-me
Reply:
    US Methanol has completed construction and is in the final stage of commissioning the Liberty One Methanol plant with commercial operations expected to commence during 3Q 2022.
Reply:
    https://www.usmeoh.com/what-we-do</t>
      </text>
    </comment>
    <comment ref="P43" authorId="28" shapeId="0" xr:uid="{C24754BC-4945-4107-9969-C0E963D6A016}">
      <text>
        <t>[Threaded comment]
Your version of Excel allows you to read this threaded comment; however, any edits to it will get removed if the file is opened in a newer version of Excel. Learn more: https://go.microsoft.com/fwlink/?linkid=870924
Comment:
    https://www.usmeoh.com/</t>
      </text>
    </comment>
    <comment ref="D44" authorId="29" shapeId="0" xr:uid="{F9362A2C-A52A-4E43-8D70-E9B22F29A4D7}">
      <text>
        <t>[Threaded comment]
Your version of Excel allows you to read this threaded comment; however, any edits to it will get removed if the file is opened in a newer version of Excel. Learn more: https://go.microsoft.com/fwlink/?linkid=870924
Comment:
    https://www.methanex.com/sites/default/files/MEOH%20Presentation%20-%202021-11-18.pdf
Reply:
    https://www.argusmedia.com/-/media/Files/sample-reports/20220729methanol.ashx?la=en&amp;hash=FDAA09E0CEEF4BC55B2AE401739F258E4C56AB97</t>
      </text>
    </comment>
    <comment ref="D45" authorId="30" shapeId="0" xr:uid="{A9425A69-3CFA-45A4-8D8B-B2A5D5A4DEF3}">
      <text>
        <t>[Threaded comment]
Your version of Excel allows you to read this threaded comment; however, any edits to it will get removed if the file is opened in a newer version of Excel. Learn more: https://go.microsoft.com/fwlink/?linkid=870924
Comment:
    https://www.argusmedia.com/-/media/Files/sample-reports/20220729methanol.ashx?la=en&amp;hash=FDAA09E0CEEF4BC55B2AE401739F258E4C56AB97
Reply:
    http://www.globalchemicalprice.com/chemical-market-news/lyondellbasell-s-methanol-plant-likely-to-restart-by-mid-december</t>
      </text>
    </comment>
    <comment ref="D46" authorId="31" shapeId="0" xr:uid="{BC9E1ACD-BEEB-4C16-8CCF-089A264385CE}">
      <text>
        <t>[Threaded comment]
Your version of Excel allows you to read this threaded comment; however, any edits to it will get removed if the file is opened in a newer version of Excel. Learn more: https://go.microsoft.com/fwlink/?linkid=870924
Comment:
    https://www.argusmedia.com/-/media/Files/sample-reports/20220729methanol.ashx?la=en&amp;hash=FDAA09E0CEEF4BC55B2AE401739F258E4C56AB97</t>
      </text>
    </comment>
    <comment ref="I46" authorId="32" shapeId="0" xr:uid="{E12F9AE9-BBA4-4571-9E3F-36AD458C28CA}">
      <text>
        <t>[Threaded comment]
Your version of Excel allows you to read this threaded comment; however, any edits to it will get removed if the file is opened in a newer version of Excel. Learn more: https://go.microsoft.com/fwlink/?linkid=870924
Comment:
    July 2019
Reply:
    1
Includes 125ktpa added in July 2019 as a result of debottlenecking project; 2 JV with Consolidated Energy Ltd</t>
      </text>
    </comment>
    <comment ref="D47" authorId="33" shapeId="0" xr:uid="{50AFBC19-3F4E-47C2-88F2-C58360061201}">
      <text>
        <t>[Threaded comment]
Your version of Excel allows you to read this threaded comment; however, any edits to it will get removed if the file is opened in a newer version of Excel. Learn more: https://go.microsoft.com/fwlink/?linkid=870924
Comment:
    https://www.argusmedia.com/-/media/Files/sample-reports/20220729methanol.ashx?la=en&amp;hash=FDAA09E0CEEF4BC55B2AE401739F258E4C56AB97</t>
      </text>
    </comment>
    <comment ref="D48" authorId="34" shapeId="0" xr:uid="{A93431F6-1554-4BB1-80E8-43A4777DD338}">
      <text>
        <t>[Threaded comment]
Your version of Excel allows you to read this threaded comment; however, any edits to it will get removed if the file is opened in a newer version of Excel. Learn more: https://go.microsoft.com/fwlink/?linkid=870924
Comment:
    https://cdn.ihs.com/www/pdf/IHS-WMC-Alvarado-Final-Oct16.pdf</t>
      </text>
    </comment>
    <comment ref="D49" authorId="35" shapeId="0" xr:uid="{D79D89A7-E901-4AF3-A488-0248DDCD679B}">
      <text>
        <t>[Threaded comment]
Your version of Excel allows you to read this threaded comment; however, any edits to it will get removed if the file is opened in a newer version of Excel. Learn more: https://go.microsoft.com/fwlink/?linkid=870924
Comment:
    https://www.methanex.com/sites/default/files/MEOH%20Presentation%20-%202021-11-18.pdf
Reply:
    https://www.argusmedia.com/-/media/Files/sample-reports/20220729methanol.ashx?la=en&amp;hash=FDAA09E0CEEF4BC55B2AE401739F258E4C56AB97</t>
      </text>
    </comment>
    <comment ref="Q50" authorId="36" shapeId="0" xr:uid="{A5C8D664-D158-4B5A-864B-1B5D1FA2AE09}">
      <text>
        <t>[Threaded comment]
Your version of Excel allows you to read this threaded comment; however, any edits to it will get removed if the file is opened in a newer version of Excel. Learn more: https://go.microsoft.com/fwlink/?linkid=870924
Comment:
    https://www.nauticolenergy.com/operations/methanol/</t>
      </text>
    </comment>
    <comment ref="D52" authorId="37" shapeId="0" xr:uid="{BF89C4FB-0DA2-42BA-AF97-36B56DBE6551}">
      <text>
        <t>[Threaded comment]
Your version of Excel allows you to read this threaded comment; however, any edits to it will get removed if the file is opened in a newer version of Excel. Learn more: https://go.microsoft.com/fwlink/?linkid=870924
Comment:
    https://www.refiningandpetrochemicalsme.com/petrochemicals/24413-sipchem-brings-methanol-plant-back-onstream-after-maintenance</t>
      </text>
    </comment>
    <comment ref="D53" authorId="38" shapeId="0" xr:uid="{2BFA69E6-BF57-4875-90CF-B91F20A7A3FA}">
      <text>
        <t>[Threaded comment]
Your version of Excel allows you to read this threaded comment; however, any edits to it will get removed if the file is opened in a newer version of Excel. Learn more: https://go.microsoft.com/fwlink/?linkid=870924
Comment:
    https://www.mgc.co.jp/eng/company/basic-chemicals/capacity.html</t>
      </text>
    </comment>
    <comment ref="D55" authorId="39" shapeId="0" xr:uid="{AE09430C-960C-404D-8730-B5EF75F3E090}">
      <text>
        <t>[Threaded comment]
Your version of Excel allows you to read this threaded comment; however, any edits to it will get removed if the file is opened in a newer version of Excel. Learn more: https://go.microsoft.com/fwlink/?linkid=870924
Comment:
    https://www.atlanticmethanol.com/about-us.html</t>
      </text>
    </comment>
    <comment ref="D56" authorId="40" shapeId="0" xr:uid="{6756ED9A-B120-4CCE-BE3B-428020746E41}">
      <text>
        <t>[Threaded comment]
Your version of Excel allows you to read this threaded comment; however, any edits to it will get removed if the file is opened in a newer version of Excel. Learn more: https://go.microsoft.com/fwlink/?linkid=870924
Comment:
    https://www.methanex.com/sites/default/files/MEOH%20Presentation%20-%202021-11-18.pdf
Reply:
    https://www.argusmedia.com/-/media/Files/sample-reports/20220729methanol.ashx?la=en&amp;hash=FDAA09E0CEEF4BC55B2AE401739F258E4C56AB97</t>
      </text>
    </comment>
    <comment ref="E56" authorId="41" shapeId="0" xr:uid="{DE0E2CBD-2899-4EA5-80D8-DF0C1435F992}">
      <text>
        <t>[Threaded comment]
Your version of Excel allows you to read this threaded comment; however, any edits to it will get removed if the file is opened in a newer version of Excel. Learn more: https://go.microsoft.com/fwlink/?linkid=870924
Comment:
    https://www.methanex.com/location/middle-east/egypt/about-methanex-egypt</t>
      </text>
    </comment>
    <comment ref="D57" authorId="42" shapeId="0" xr:uid="{93285EEC-E8F1-4845-8B46-EA546AA1433A}">
      <text>
        <t>[Threaded comment]
Your version of Excel allows you to read this threaded comment; however, any edits to it will get removed if the file is opened in a newer version of Excel. Learn more: https://go.microsoft.com/fwlink/?linkid=870924
Comment:
    https://www.methanex.com/sites/default/files/MEOH%20Presentation%20-%202021-11-18.pdf
Reply:
    https://www.argusmedia.com/-/media/Files/sample-reports/20220729methanol.ashx?la=en&amp;hash=FDAA09E0CEEF4BC55B2AE401739F258E4C56AB97</t>
      </text>
    </comment>
    <comment ref="B58" authorId="43" shapeId="0" xr:uid="{1350EB42-D8FB-4832-923E-14DB5A070BEF}">
      <text>
        <t xml:space="preserve">[Threaded comment]
Your version of Excel allows you to read this threaded comment; however, any edits to it will get removed if the file is opened in a newer version of Excel. Learn more: https://go.microsoft.com/fwlink/?linkid=870924
Comment:
    https://www.methanex.com/30th-anniversary/stories-and-celebrations/our-operations-trinidad-tobago
Reply:
    https://www.energy.gov.tt/our-business/lng-petrochemicals/petrochemicals/methanol/
Reply:
    Titan methanol facility </t>
      </text>
    </comment>
    <comment ref="D58" authorId="44" shapeId="0" xr:uid="{3BEFECF3-961C-470A-B346-B91CC8B8C3F8}">
      <text>
        <t>[Threaded comment]
Your version of Excel allows you to read this threaded comment; however, any edits to it will get removed if the file is opened in a newer version of Excel. Learn more: https://go.microsoft.com/fwlink/?linkid=870924
Comment:
    https://www.methanex.com/sites/default/files/MEOH%20Presentation%20-%202021-11-18.pdf
Reply:
    https://www.argusmedia.com/-/media/Files/sample-reports/20220729methanol.ashx?la=en&amp;hash=FDAA09E0CEEF4BC55B2AE401739F258E4C56AB97
Reply:
    https://www.argusmedia.com/-/media/Files/sample-reports/20220729methanol.ashx?la=en&amp;hash=FDAA09E0CEEF4BC55B2AE401739F258E4C56AB97
Reply:
    https://www.methanex.com/30th-anniversary/stories-and-celebrations/our-operations-trinidad-tobago</t>
      </text>
    </comment>
    <comment ref="B59" authorId="45" shapeId="0" xr:uid="{EF607DCC-5258-47EA-98CD-55709AA1E809}">
      <text>
        <t>[Threaded comment]
Your version of Excel allows you to read this threaded comment; however, any edits to it will get removed if the file is opened in a newer version of Excel. Learn more: https://go.microsoft.com/fwlink/?linkid=870924
Comment:
    Atlas Methanex</t>
      </text>
    </comment>
    <comment ref="D60" authorId="46" shapeId="0" xr:uid="{CE84CB61-7549-468E-98A1-626B180D048D}">
      <text>
        <t>[Threaded comment]
Your version of Excel allows you to read this threaded comment; however, any edits to it will get removed if the file is opened in a newer version of Excel. Learn more: https://go.microsoft.com/fwlink/?linkid=870924
Comment:
    CMC (M2)
Reply:
    https://www.argusmedia.com/-/media/Files/sample-reports/20220729methanol.ashx?la=en&amp;hash=FDAA09E0CEEF4BC55B2AE401739F258E4C56AB97
Reply:
    https://www.energy.gov.tt/our-business/lng-petrochemicals/petrochemicals/methanol/</t>
      </text>
    </comment>
    <comment ref="D61" authorId="47" shapeId="0" xr:uid="{FC503461-F69D-4DCF-8B1E-EF6DB14E4CAE}">
      <text>
        <t>[Threaded comment]
Your version of Excel allows you to read this threaded comment; however, any edits to it will get removed if the file is opened in a newer version of Excel. Learn more: https://go.microsoft.com/fwlink/?linkid=870924
Comment:
    Methanol IV (M4)
Reply:
    https://www.argusmedia.com/-/media/Files/sample-reports/20220729methanol.ashx?la=en&amp;hash=FDAA09E0CEEF4BC55B2AE401739F258E4C56AB97
Reply:
    https://www.energy.gov.tt/our-business/lng-petrochemicals/petrochemicals/methanol/</t>
      </text>
    </comment>
    <comment ref="D62" authorId="48" shapeId="0" xr:uid="{84629E2A-2611-4298-8D3C-E6A730F3E5B4}">
      <text>
        <t>[Threaded comment]
Your version of Excel allows you to read this threaded comment; however, any edits to it will get removed if the file is opened in a newer version of Excel. Learn more: https://go.microsoft.com/fwlink/?linkid=870924
Comment:
    TTMC #1 (M1)
Reply:
    https://www.argusmedia.com/-/media/Files/sample-reports/20220729methanol.ashx?la=en&amp;hash=FDAA09E0CEEF4BC55B2AE401739F258E4C56AB97
Reply:
    https://www.energy.gov.tt/our-business/lng-petrochemicals/petrochemicals/methanol/</t>
      </text>
    </comment>
    <comment ref="D63" authorId="49" shapeId="0" xr:uid="{B428A7DE-E209-494D-A27C-D70B52066969}">
      <text>
        <t>[Threaded comment]
Your version of Excel allows you to read this threaded comment; however, any edits to it will get removed if the file is opened in a newer version of Excel. Learn more: https://go.microsoft.com/fwlink/?linkid=870924
Comment:
    TTMC #2 (M3)
Reply:
    https://www.argusmedia.com/-/media/Files/sample-reports/20220729methanol.ashx?la=en&amp;hash=FDAA09E0CEEF4BC55B2AE401739F258E4C56AB97
Reply:
    https://www.energy.gov.tt/our-business/lng-petrochemicals/petrochemicals/methanol/</t>
      </text>
    </comment>
    <comment ref="D64" authorId="50" shapeId="0" xr:uid="{90B74140-DB4D-4F62-BD45-A230036BFB02}">
      <text>
        <t>[Threaded comment]
Your version of Excel allows you to read this threaded comment; however, any edits to it will get removed if the file is opened in a newer version of Excel. Learn more: https://go.microsoft.com/fwlink/?linkid=870924
Comment:
    MHTL (M5)
Reply:
    https://www.argusmedia.com/-/media/Files/sample-reports/20220729methanol.ashx?la=en&amp;hash=FDAA09E0CEEF4BC55B2AE401739F258E4C56AB97
Reply:
    https://www.energy.gov.tt/our-business/lng-petrochemicals/petrochemicals/methanol/</t>
      </text>
    </comment>
    <comment ref="D65" authorId="51" shapeId="0" xr:uid="{4C3DC542-CCFC-4334-AF5A-CCF7F569930F}">
      <text>
        <t>[Threaded comment]
Your version of Excel allows you to read this threaded comment; however, any edits to it will get removed if the file is opened in a newer version of Excel. Learn more: https://go.microsoft.com/fwlink/?linkid=870924
Comment:
    https://www.argusmedia.com/-/media/Files/sample-reports/20220729methanol.ashx?la=en&amp;hash=FDAA09E0CEEF4BC55B2AE401739F258E4C56AB97</t>
      </text>
    </comment>
    <comment ref="D66" authorId="52" shapeId="0" xr:uid="{593F6CF7-0E81-4794-9212-AFB36539BD07}">
      <text>
        <t>[Threaded comment]
Your version of Excel allows you to read this threaded comment; however, any edits to it will get removed if the file is opened in a newer version of Excel. Learn more: https://go.microsoft.com/fwlink/?linkid=870924
Comment:
    https://www.argusmedia.com/-/media/Files/sample-reports/20220729methanol.ashx?la=en&amp;hash=FDAA09E0CEEF4BC55B2AE401739F258E4C56AB97</t>
      </text>
    </comment>
    <comment ref="D67" authorId="53" shapeId="0" xr:uid="{73A1A370-09DE-43A9-B1BD-2E92646C2C0D}">
      <text>
        <t>[Threaded comment]
Your version of Excel allows you to read this threaded comment; however, any edits to it will get removed if the file is opened in a newer version of Excel. Learn more: https://go.microsoft.com/fwlink/?linkid=870924
Comment:
    https://www.argusmedia.com/-/media/Files/sample-reports/20220729methanol.ashx?la=en&amp;hash=FDAA09E0CEEF4BC55B2AE401739F258E4C56AB97
Reply:
    https://www.oci.nl/media/1335/natgasoline-begins-methanol-production-final.pdf</t>
      </text>
    </comment>
    <comment ref="H67" authorId="54" shapeId="0" xr:uid="{F8B17604-12D5-4BBC-B2B7-223310B48138}">
      <text>
        <t>[Threaded comment]
Your version of Excel allows you to read this threaded comment; however, any edits to it will get removed if the file is opened in a newer version of Excel. Learn more: https://go.microsoft.com/fwlink/?linkid=870924
Comment:
    June 2018
Reply:
    Commercial production started in June 2018</t>
      </text>
    </comment>
    <comment ref="D68" authorId="55" shapeId="0" xr:uid="{644980A9-9D1D-4902-AFF1-6EA25CBA6750}">
      <text>
        <t>[Threaded comment]
Your version of Excel allows you to read this threaded comment; however, any edits to it will get removed if the file is opened in a newer version of Excel. Learn more: https://go.microsoft.com/fwlink/?linkid=870924
Comment:
    https://www.argusmedia.com/-/media/Files/sample-reports/20220729methanol.ashx?la=en&amp;hash=FDAA09E0CEEF4BC55B2AE401739F258E4C56AB97</t>
      </text>
    </comment>
    <comment ref="D69" authorId="56" shapeId="0" xr:uid="{90EF840A-8601-4CBC-815C-8EBF2D940F76}">
      <text>
        <t>[Threaded comment]
Your version of Excel allows you to read this threaded comment; however, any edits to it will get removed if the file is opened in a newer version of Excel. Learn more: https://go.microsoft.com/fwlink/?linkid=870924
Comment:
    https://www.argusmedia.com/-/media/Files/sample-reports/20220729methanol.ashx?la=en&amp;hash=FDAA09E0CEEF4BC55B2AE401739F258E4C56AB97</t>
      </text>
    </comment>
    <comment ref="D70" authorId="57" shapeId="0" xr:uid="{28B7AA45-C48E-4C0C-9D65-BB52BF6CB22B}">
      <text>
        <t>[Threaded comment]
Your version of Excel allows you to read this threaded comment; however, any edits to it will get removed if the file is opened in a newer version of Excel. Learn more: https://go.microsoft.com/fwlink/?linkid=870924
Comment:
    https://www.argusmedia.com/-/media/Files/sample-reports/20220729methanol.ashx?la=en&amp;hash=FDAA09E0CEEF4BC55B2AE401739F258E4C56AB97</t>
      </text>
    </comment>
    <comment ref="D71" authorId="58" shapeId="0" xr:uid="{D1E0D4C9-E3CF-4A4F-A7F8-CE7B6828ECE7}">
      <text>
        <t>[Threaded comment]
Your version of Excel allows you to read this threaded comment; however, any edits to it will get removed if the file is opened in a newer version of Excel. Learn more: https://go.microsoft.com/fwlink/?linkid=870924
Comment:
    https://www.argusmedia.com/-/media/Files/sample-reports/20220729methanol.ashx?la=en&amp;hash=FDAA09E0CEEF4BC55B2AE401739F258E4C56AB97</t>
      </text>
    </comment>
    <comment ref="D72" authorId="59" shapeId="0" xr:uid="{ABD30AAB-6631-42F2-A978-76967BE01D4D}">
      <text>
        <t>[Threaded comment]
Your version of Excel allows you to read this threaded comment; however, any edits to it will get removed if the file is opened in a newer version of Excel. Learn more: https://go.microsoft.com/fwlink/?linkid=870924
Comment:
    https://www.argusmedia.com/-/media/Files/sample-reports/20220729methanol.ashx?la=en&amp;hash=FDAA09E0CEEF4BC55B2AE401739F258E4C56AB97</t>
      </text>
    </comment>
    <comment ref="D73" authorId="60" shapeId="0" xr:uid="{BAE64C25-A854-42A6-ACD5-DB72A084BC37}">
      <text>
        <t>[Threaded comment]
Your version of Excel allows you to read this threaded comment; however, any edits to it will get removed if the file is opened in a newer version of Excel. Learn more: https://go.microsoft.com/fwlink/?linkid=870924
Comment:
    https://www.argusmedia.com/-/media/Files/sample-reports/20220729methanol.ashx?la=en&amp;hash=FDAA09E0CEEF4BC55B2AE401739F258E4C56AB97</t>
      </text>
    </comment>
    <comment ref="D74" authorId="61" shapeId="0" xr:uid="{79D55099-FCE6-485D-83CE-D9268255F647}">
      <text>
        <t>[Threaded comment]
Your version of Excel allows you to read this threaded comment; however, any edits to it will get removed if the file is opened in a newer version of Excel. Learn more: https://go.microsoft.com/fwlink/?linkid=870924
Comment:
    https://www.argusmedia.com/-/media/Files/sample-reports/20220729methanol.ashx?la=en&amp;hash=FDAA09E0CEEF4BC55B2AE401739F258E4C56AB97</t>
      </text>
    </comment>
    <comment ref="D75" authorId="62" shapeId="0" xr:uid="{A0A02DC5-462B-4AB0-AB06-E369B0EC4F05}">
      <text>
        <t>[Threaded comment]
Your version of Excel allows you to read this threaded comment; however, any edits to it will get removed if the file is opened in a newer version of Excel. Learn more: https://go.microsoft.com/fwlink/?linkid=870924
Comment:
    https://www.oci.nl/media/1906/oci-nv-investor-presentation-march-2021.pdf</t>
      </text>
    </comment>
    <comment ref="D76" authorId="63" shapeId="0" xr:uid="{35C0AABF-AD24-44AE-9619-840B9F968483}">
      <text>
        <t>[Threaded comment]
Your version of Excel allows you to read this threaded comment; however, any edits to it will get removed if the file is opened in a newer version of Excel. Learn more: https://go.microsoft.com/fwlink/?linkid=870924
Comment:
    https://www.oci.nl/media/1906/oci-nv-investor-presentation-march-2021.pdf</t>
      </text>
    </comment>
    <comment ref="D77" authorId="64" shapeId="0" xr:uid="{EAB442B4-AB4B-4E1E-A3CE-ADCDF8FAC49D}">
      <text>
        <t>[Threaded comment]
Your version of Excel allows you to read this threaded comment; however, any edits to it will get removed if the file is opened in a newer version of Excel. Learn more: https://go.microsoft.com/fwlink/?linkid=870924
Comment:
    https://www.equinor.com/energy/onshore-facilities</t>
      </text>
    </comment>
    <comment ref="D79" authorId="65" shapeId="0" xr:uid="{280A96F3-941C-45AC-B8B4-9ABFC9023340}">
      <text>
        <t>[Threaded comment]
Your version of Excel allows you to read this threaded comment; however, any edits to it will get removed if the file is opened in a newer version of Excel. Learn more: https://go.microsoft.com/fwlink/?linkid=870924
Comment:
    https://kavehglass.com/?page_id=3453&amp;lang=en#:~:text=Established%20in%202006%2C%20Kaveh%20Methanol,million%20metric%20tons%20of%20methanol.
Reply:
    http://petrokaveh.com/kaveh-methanol-plant/</t>
      </text>
    </comment>
    <comment ref="D81" authorId="66" shapeId="0" xr:uid="{D1E98001-AF09-4669-B85D-2A325F8049B7}">
      <text>
        <t>[Threaded comment]
Your version of Excel allows you to read this threaded comment; however, any edits to it will get removed if the file is opened in a newer version of Excel. Learn more: https://go.microsoft.com/fwlink/?linkid=870924
Comment:
    https://www.knak.jp/others/iran-now-1.htm
Reply:
    Fanavaran Petrochemical Company
Reply:
    https://smartcatalyst.ir/en/methanol-manufacturers-in-iran/</t>
      </text>
    </comment>
    <comment ref="D82" authorId="67" shapeId="0" xr:uid="{61F57463-7311-4E06-A407-0644666B9FE2}">
      <text>
        <t>[Threaded comment]
Your version of Excel allows you to read this threaded comment; however, any edits to it will get removed if the file is opened in a newer version of Excel. Learn more: https://go.microsoft.com/fwlink/?linkid=870924
Comment:
    https://www.gpca.org.ae/2020/07/12/zagros-petrochemical-company/#:~:text=Zagros%20Petrochemical%20Company%20has%20long,grade%20AA%20and%20purity%2099.85%25.
Reply:
    Zagros Petrochemical Company
Reply:
    https://smartcatalyst.ir/en/methanol-manufacturers-in-iran/</t>
      </text>
    </comment>
    <comment ref="D83" authorId="68" shapeId="0" xr:uid="{8DD76664-CF26-42F1-9301-B5ACE699F51A}">
      <text>
        <t>[Threaded comment]
Your version of Excel allows you to read this threaded comment; however, any edits to it will get removed if the file is opened in a newer version of Excel. Learn more: https://go.microsoft.com/fwlink/?linkid=870924
Comment:
    https://financialtribune.com/articles/energy/115177/marjan-petrochem-company-reduces-pollution-expenses#:~:text=Located%20in%20South%20Pars%20Petzone,in%20the%20southern%20Bushehr%20Province.
Reply:
    https://www.pedc.ir/news-media/news/id/171/marjan-petchem-plant-operational</t>
      </text>
    </comment>
    <comment ref="D84" authorId="69" shapeId="0" xr:uid="{75B009C3-46BD-455C-8DA4-3DBA34DB57F7}">
      <text>
        <t xml:space="preserve">[Threaded comment]
Your version of Excel allows you to read this threaded comment; however, any edits to it will get removed if the file is opened in a newer version of Excel. Learn more: https://go.microsoft.com/fwlink/?linkid=870924
Comment:
    https://www.sabalanpico.com/en/about-us/#:~:text=Aiming%20at%20constructing%20an%20AA,established%20on%20October%206%2C%202010.
</t>
      </text>
    </comment>
    <comment ref="D85" authorId="70" shapeId="0" xr:uid="{81958748-1A56-404F-843F-32011AFD3DC0}">
      <text>
        <t>[Threaded comment]
Your version of Excel allows you to read this threaded comment; however, any edits to it will get removed if the file is opened in a newer version of Excel. Learn more: https://go.microsoft.com/fwlink/?linkid=870924
Comment:
    https://smartcatalyst.ir/en/methanol-manufacturers-in-iran/</t>
      </text>
    </comment>
    <comment ref="D90" authorId="71" shapeId="0" xr:uid="{01303E30-4162-4711-A164-349C218EC0BA}">
      <text>
        <t>[Threaded comment]
Your version of Excel allows you to read this threaded comment; however, any edits to it will get removed if the file is opened in a newer version of Excel. Learn more: https://go.microsoft.com/fwlink/?linkid=870924
Comment:
    https://www.qafac.com.qa/about-us#:~:text=The%20QAFAC%20plant%20is%20designed,and%20610%2C000%20TPA%20of%20MTBE.
Reply:
    https://www.qafac.com.qa/methanol</t>
      </text>
    </comment>
    <comment ref="D92" authorId="72" shapeId="0" xr:uid="{D9A5C53F-B208-4266-91EB-52E0FC99A0EE}">
      <text>
        <t>[Threaded comment]
Your version of Excel allows you to read this threaded comment; however, any edits to it will get removed if the file is opened in a newer version of Excel. Learn more: https://go.microsoft.com/fwlink/?linkid=870924
Comment:
    https://www.omanmethanol.com/
Reply:
    https://www.omanmethanol.com/Pages.aspx?id=1</t>
      </text>
    </comment>
    <comment ref="D93" authorId="73" shapeId="0" xr:uid="{48A44312-3128-42D8-B838-21E598A024DE}">
      <text>
        <t>[Threaded comment]
Your version of Excel allows you to read this threaded comment; however, any edits to it will get removed if the file is opened in a newer version of Excel. Learn more: https://go.microsoft.com/fwlink/?linkid=870924
Comment:
    https://oq.com/en/products/intermediates/methanol</t>
      </text>
    </comment>
    <comment ref="D94" authorId="74" shapeId="0" xr:uid="{3D446A49-04F0-49E6-9DA4-2679359E3B7F}">
      <text>
        <t>[Threaded comment]
Your version of Excel allows you to read this threaded comment; however, any edits to it will get removed if the file is opened in a newer version of Excel. Learn more: https://go.microsoft.com/fwlink/?linkid=870924
Comment:
    https://www.mgc.co.jp/eng/company/basic-chemicals/capacity.html</t>
      </text>
    </comment>
    <comment ref="D130" authorId="75" shapeId="0" xr:uid="{81E4F019-D477-420C-8B20-E8F03FA82BB8}">
      <text>
        <t>[Threaded comment]
Your version of Excel allows you to read this threaded comment; however, any edits to it will get removed if the file is opened in a newer version of Excel. Learn more: https://go.microsoft.com/fwlink/?linkid=870924
Comment:
    https://www.methanex.com/sites/default/files/MEOH%20Presentation%20-%202021-11-18.pdf
Reply:
    https://www.argusmedia.com/-/media/Files/sample-reports/20220729methanol.ashx?la=en&amp;hash=FDAA09E0CEEF4BC55B2AE401739F258E4C56AB97</t>
      </text>
    </comment>
    <comment ref="E130" authorId="76" shapeId="0" xr:uid="{50BAEE05-DEAD-4CFF-A49A-D4E11B25CA4A}">
      <text>
        <t>[Threaded comment]
Your version of Excel allows you to read this threaded comment; however, any edits to it will get removed if the file is opened in a newer version of Excel. Learn more: https://go.microsoft.com/fwlink/?linkid=870924
Comment:
    https://www.methanex.com/location/middle-east/egypt/about-methanex-egypt</t>
      </text>
    </comment>
    <comment ref="D131" authorId="77" shapeId="0" xr:uid="{487803DA-70FF-4421-BA30-9A95D0133EEF}">
      <text>
        <t>[Threaded comment]
Your version of Excel allows you to read this threaded comment; however, any edits to it will get removed if the file is opened in a newer version of Excel. Learn more: https://go.microsoft.com/fwlink/?linkid=870924
Comment:
    https://www.methanex.com/sites/default/files/MEOH%20Presentation%20-%202021-11-18.pdf
Reply:
    https://www.argusmedia.com/-/media/Files/sample-reports/20220729methanol.ashx?la=en&amp;hash=FDAA09E0CEEF4BC55B2AE401739F258E4C56AB97</t>
      </text>
    </comment>
    <comment ref="B132" authorId="78" shapeId="0" xr:uid="{7929D78A-21C8-41F7-9055-4021AE76CB98}">
      <text>
        <t xml:space="preserve">[Threaded comment]
Your version of Excel allows you to read this threaded comment; however, any edits to it will get removed if the file is opened in a newer version of Excel. Learn more: https://go.microsoft.com/fwlink/?linkid=870924
Comment:
    https://www.methanex.com/30th-anniversary/stories-and-celebrations/our-operations-trinidad-tobago
Reply:
    https://www.energy.gov.tt/our-business/lng-petrochemicals/petrochemicals/methanol/
Reply:
    Titan methanol facility </t>
      </text>
    </comment>
    <comment ref="D132" authorId="79" shapeId="0" xr:uid="{0BB03134-9F28-4EFD-8881-F9FF43286E1B}">
      <text>
        <t>[Threaded comment]
Your version of Excel allows you to read this threaded comment; however, any edits to it will get removed if the file is opened in a newer version of Excel. Learn more: https://go.microsoft.com/fwlink/?linkid=870924
Comment:
    https://www.methanex.com/sites/default/files/MEOH%20Presentation%20-%202021-11-18.pdf
Reply:
    https://www.argusmedia.com/-/media/Files/sample-reports/20220729methanol.ashx?la=en&amp;hash=FDAA09E0CEEF4BC55B2AE401739F258E4C56AB97
Reply:
    https://www.argusmedia.com/-/media/Files/sample-reports/20220729methanol.ashx?la=en&amp;hash=FDAA09E0CEEF4BC55B2AE401739F258E4C56AB97
Reply:
    https://www.methanex.com/30th-anniversary/stories-and-celebrations/our-operations-trinidad-tobago</t>
      </text>
    </comment>
    <comment ref="B133" authorId="80" shapeId="0" xr:uid="{FFA37690-987D-4B66-80D1-89E56ECA0032}">
      <text>
        <t>[Threaded comment]
Your version of Excel allows you to read this threaded comment; however, any edits to it will get removed if the file is opened in a newer version of Excel. Learn more: https://go.microsoft.com/fwlink/?linkid=870924
Comment:
    Atlas Methanex</t>
      </text>
    </comment>
    <comment ref="D134" authorId="81" shapeId="0" xr:uid="{56449A96-885B-4C4C-8A08-E00760853375}">
      <text>
        <t>[Threaded comment]
Your version of Excel allows you to read this threaded comment; however, any edits to it will get removed if the file is opened in a newer version of Excel. Learn more: https://go.microsoft.com/fwlink/?linkid=870924
Comment:
    CMC (M2)
Reply:
    https://www.argusmedia.com/-/media/Files/sample-reports/20220729methanol.ashx?la=en&amp;hash=FDAA09E0CEEF4BC55B2AE401739F258E4C56AB97
Reply:
    https://www.energy.gov.tt/our-business/lng-petrochemicals/petrochemicals/methanol/</t>
      </text>
    </comment>
    <comment ref="D135" authorId="82" shapeId="0" xr:uid="{62B78715-934F-45E0-8654-40A8CD0CD5C4}">
      <text>
        <t>[Threaded comment]
Your version of Excel allows you to read this threaded comment; however, any edits to it will get removed if the file is opened in a newer version of Excel. Learn more: https://go.microsoft.com/fwlink/?linkid=870924
Comment:
    Methanol IV (M4)
Reply:
    https://www.argusmedia.com/-/media/Files/sample-reports/20220729methanol.ashx?la=en&amp;hash=FDAA09E0CEEF4BC55B2AE401739F258E4C56AB97
Reply:
    https://www.energy.gov.tt/our-business/lng-petrochemicals/petrochemicals/methanol/</t>
      </text>
    </comment>
    <comment ref="D136" authorId="83" shapeId="0" xr:uid="{8E39C37B-6C17-430A-844E-5ABED0A4CE88}">
      <text>
        <t>[Threaded comment]
Your version of Excel allows you to read this threaded comment; however, any edits to it will get removed if the file is opened in a newer version of Excel. Learn more: https://go.microsoft.com/fwlink/?linkid=870924
Comment:
    TTMC #1 (M1)
Reply:
    https://www.argusmedia.com/-/media/Files/sample-reports/20220729methanol.ashx?la=en&amp;hash=FDAA09E0CEEF4BC55B2AE401739F258E4C56AB97
Reply:
    https://www.energy.gov.tt/our-business/lng-petrochemicals/petrochemicals/methanol/</t>
      </text>
    </comment>
    <comment ref="D137" authorId="84" shapeId="0" xr:uid="{4B10CE74-153F-4031-890A-63D3245D24CB}">
      <text>
        <t>[Threaded comment]
Your version of Excel allows you to read this threaded comment; however, any edits to it will get removed if the file is opened in a newer version of Excel. Learn more: https://go.microsoft.com/fwlink/?linkid=870924
Comment:
    TTMC #2 (M3)
Reply:
    https://www.argusmedia.com/-/media/Files/sample-reports/20220729methanol.ashx?la=en&amp;hash=FDAA09E0CEEF4BC55B2AE401739F258E4C56AB97
Reply:
    https://www.energy.gov.tt/our-business/lng-petrochemicals/petrochemicals/methanol/</t>
      </text>
    </comment>
    <comment ref="D138" authorId="85" shapeId="0" xr:uid="{6A18BED5-207E-4C67-8413-63AAA886A2F4}">
      <text>
        <t>[Threaded comment]
Your version of Excel allows you to read this threaded comment; however, any edits to it will get removed if the file is opened in a newer version of Excel. Learn more: https://go.microsoft.com/fwlink/?linkid=870924
Comment:
    MHTL (M5)
Reply:
    https://www.argusmedia.com/-/media/Files/sample-reports/20220729methanol.ashx?la=en&amp;hash=FDAA09E0CEEF4BC55B2AE401739F258E4C56AB97
Reply:
    https://www.energy.gov.tt/our-business/lng-petrochemicals/petrochemicals/methanol/</t>
      </text>
    </comment>
    <comment ref="D139" authorId="86" shapeId="0" xr:uid="{7C4C2D45-BEC5-47F7-B264-3DB7EA2DB80B}">
      <text>
        <t>[Threaded comment]
Your version of Excel allows you to read this threaded comment; however, any edits to it will get removed if the file is opened in a newer version of Excel. Learn more: https://go.microsoft.com/fwlink/?linkid=870924
Comment:
    https://www.argusmedia.com/-/media/Files/sample-reports/20220729methanol.ashx?la=en&amp;hash=FDAA09E0CEEF4BC55B2AE401739F258E4C56AB97</t>
      </text>
    </comment>
    <comment ref="D140" authorId="87" shapeId="0" xr:uid="{AAB09583-B109-424A-B135-DE0A89754DFF}">
      <text>
        <t>[Threaded comment]
Your version of Excel allows you to read this threaded comment; however, any edits to it will get removed if the file is opened in a newer version of Excel. Learn more: https://go.microsoft.com/fwlink/?linkid=870924
Comment:
    https://www.argusmedia.com/-/media/Files/sample-reports/20220729methanol.ashx?la=en&amp;hash=FDAA09E0CEEF4BC55B2AE401739F258E4C56AB97</t>
      </text>
    </comment>
    <comment ref="D141" authorId="88" shapeId="0" xr:uid="{E0BB7566-6A82-46B9-B5BC-A8EE88CAE9E3}">
      <text>
        <t>[Threaded comment]
Your version of Excel allows you to read this threaded comment; however, any edits to it will get removed if the file is opened in a newer version of Excel. Learn more: https://go.microsoft.com/fwlink/?linkid=870924
Comment:
    https://www.argusmedia.com/-/media/Files/sample-reports/20220729methanol.ashx?la=en&amp;hash=FDAA09E0CEEF4BC55B2AE401739F258E4C56AB97
Reply:
    https://www.oci.nl/media/1335/natgasoline-begins-methanol-production-final.pdf</t>
      </text>
    </comment>
    <comment ref="H141" authorId="89" shapeId="0" xr:uid="{EB46A63D-D84C-4589-9CAC-3248096BC642}">
      <text>
        <t>[Threaded comment]
Your version of Excel allows you to read this threaded comment; however, any edits to it will get removed if the file is opened in a newer version of Excel. Learn more: https://go.microsoft.com/fwlink/?linkid=870924
Comment:
    June 2018
Reply:
    Commercial production started in June 2018</t>
      </text>
    </comment>
    <comment ref="D142" authorId="90" shapeId="0" xr:uid="{34FD6224-453E-4FA8-B21F-432473984B58}">
      <text>
        <t>[Threaded comment]
Your version of Excel allows you to read this threaded comment; however, any edits to it will get removed if the file is opened in a newer version of Excel. Learn more: https://go.microsoft.com/fwlink/?linkid=870924
Comment:
    https://www.argusmedia.com/-/media/Files/sample-reports/20220729methanol.ashx?la=en&amp;hash=FDAA09E0CEEF4BC55B2AE401739F258E4C56AB97</t>
      </text>
    </comment>
    <comment ref="D143" authorId="91" shapeId="0" xr:uid="{136B6662-F9A2-4713-8AB1-AD8210DFBC04}">
      <text>
        <t>[Threaded comment]
Your version of Excel allows you to read this threaded comment; however, any edits to it will get removed if the file is opened in a newer version of Excel. Learn more: https://go.microsoft.com/fwlink/?linkid=870924
Comment:
    https://www.argusmedia.com/-/media/Files/sample-reports/20220729methanol.ashx?la=en&amp;hash=FDAA09E0CEEF4BC55B2AE401739F258E4C56AB97</t>
      </text>
    </comment>
    <comment ref="D144" authorId="92" shapeId="0" xr:uid="{E08AE1BC-F06C-4383-BF2E-9068A7AE2A1F}">
      <text>
        <t>[Threaded comment]
Your version of Excel allows you to read this threaded comment; however, any edits to it will get removed if the file is opened in a newer version of Excel. Learn more: https://go.microsoft.com/fwlink/?linkid=870924
Comment:
    https://www.argusmedia.com/-/media/Files/sample-reports/20220729methanol.ashx?la=en&amp;hash=FDAA09E0CEEF4BC55B2AE401739F258E4C56AB97</t>
      </text>
    </comment>
    <comment ref="D145" authorId="93" shapeId="0" xr:uid="{60807F18-B31D-4C1D-9D4C-CE08F2A381AB}">
      <text>
        <t>[Threaded comment]
Your version of Excel allows you to read this threaded comment; however, any edits to it will get removed if the file is opened in a newer version of Excel. Learn more: https://go.microsoft.com/fwlink/?linkid=870924
Comment:
    https://www.argusmedia.com/-/media/Files/sample-reports/20220729methanol.ashx?la=en&amp;hash=FDAA09E0CEEF4BC55B2AE401739F258E4C56AB97</t>
      </text>
    </comment>
    <comment ref="D146" authorId="94" shapeId="0" xr:uid="{30B6F839-11C8-461E-86FD-B930E2C7C57E}">
      <text>
        <t>[Threaded comment]
Your version of Excel allows you to read this threaded comment; however, any edits to it will get removed if the file is opened in a newer version of Excel. Learn more: https://go.microsoft.com/fwlink/?linkid=870924
Comment:
    https://www.argusmedia.com/-/media/Files/sample-reports/20220729methanol.ashx?la=en&amp;hash=FDAA09E0CEEF4BC55B2AE401739F258E4C56AB97</t>
      </text>
    </comment>
    <comment ref="D147" authorId="95" shapeId="0" xr:uid="{BA0BC94B-1E53-4395-825B-6648F9661ADE}">
      <text>
        <t>[Threaded comment]
Your version of Excel allows you to read this threaded comment; however, any edits to it will get removed if the file is opened in a newer version of Excel. Learn more: https://go.microsoft.com/fwlink/?linkid=870924
Comment:
    https://www.argusmedia.com/-/media/Files/sample-reports/20220729methanol.ashx?la=en&amp;hash=FDAA09E0CEEF4BC55B2AE401739F258E4C56AB97</t>
      </text>
    </comment>
    <comment ref="D148" authorId="96" shapeId="0" xr:uid="{B2D11C67-4221-4F1A-8088-C3E5FDB772A9}">
      <text>
        <t>[Threaded comment]
Your version of Excel allows you to read this threaded comment; however, any edits to it will get removed if the file is opened in a newer version of Excel. Learn more: https://go.microsoft.com/fwlink/?linkid=870924
Comment:
    https://www.argusmedia.com/-/media/Files/sample-reports/20220729methanol.ashx?la=en&amp;hash=FDAA09E0CEEF4BC55B2AE401739F258E4C56AB97</t>
      </text>
    </comment>
    <comment ref="D149" authorId="97" shapeId="0" xr:uid="{B3DE8F42-3250-45BB-A1F4-7DDB1C292C16}">
      <text>
        <t>[Threaded comment]
Your version of Excel allows you to read this threaded comment; however, any edits to it will get removed if the file is opened in a newer version of Excel. Learn more: https://go.microsoft.com/fwlink/?linkid=870924
Comment:
    https://www.oci.nl/media/1906/oci-nv-investor-presentation-march-2021.pdf</t>
      </text>
    </comment>
    <comment ref="D163" authorId="98" shapeId="0" xr:uid="{2C82794D-F059-46E5-9856-8BCE3444A59A}">
      <text>
        <t>[Threaded comment]
Your version of Excel allows you to read this threaded comment; however, any edits to it will get removed if the file is opened in a newer version of Excel. Learn more: https://go.microsoft.com/fwlink/?linkid=870924
Comment:
    https://www.argusmedia.com/en/news/2087301-methanex-idles-methanol-capacity-in-trinidad-and-chile
Reply:
    Methanex president and chief excutive John Floren said that the closures were because of an anticipated fall in demand during the second quarter when there will be a substantial reduction in manufacturing activity caused by the coronavirus pandemic. Methanex is reducing production at facilities where it has flexibility in gas agreements, to prepare for this lower demand, Floren said.
Methanol prices have come under pressure in all regions this month. The Argus daily assessment of methanol barges fob Houston was $285.95/t on 13 March, down from $327.51/t on the same date last month.
In other regions, Argus assessed methanol cfr China at $198.5/t on 13 March, down from $228/t cfr China on 13 February; and methanol barges fob Rotterdam were at €199/t ($222/t) on 13 March, down from €234.25/t ($254/t) fob Rotterdam on 13 February.</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tc={D2F5DAC7-3C6E-4864-8BB1-DEB8D7C02A96}</author>
    <author>tc={A9FBB833-512B-43C4-8D97-C6B9F163CBF2}</author>
    <author>tc={8D3FD275-5F02-4A25-B93D-5DEF0553565F}</author>
    <author>tc={44F0C3FD-6CC6-4E16-AB18-BFD5BC0D5F0B}</author>
    <author>tc={049AF25B-0F22-47ED-A12A-AAC3A595C56D}</author>
    <author>tc={D8E5E5F1-D7C6-4FDC-8691-1AD5B877A4DC}</author>
    <author>tc={E5C49B4A-6160-4C42-974B-DD1C8D6CC516}</author>
    <author>tc={2CBEE5EC-AED6-4595-8314-D4D045B3C682}</author>
    <author>tc={C195263E-01A0-4157-817C-73868F5FBFDA}</author>
    <author>tc={6372C969-F712-4992-94EC-31210AEF087F}</author>
    <author>tc={8E44616B-808D-4DB1-8392-054E93EFE7E0}</author>
    <author>tc={49E1C5C1-187C-41BC-853C-02CE966D1327}</author>
    <author>tc={FEA47F6A-A85A-41A1-B010-5132929D5CB9}</author>
    <author>tc={9AB34029-3A8E-42CD-AE7D-ADBDD4C52CC5}</author>
    <author>tc={2C2E13CE-C76D-49EF-A191-6EE70DD8FCA7}</author>
    <author>tc={19928CD1-A02D-4365-A7E6-0343DA1C008A}</author>
    <author>tc={F4FCC747-F04B-4DC6-9391-D3028A2559B3}</author>
    <author>tc={52B40DD4-CF75-468B-9809-4BB475B8270D}</author>
    <author>tc={01774713-3E23-4FA7-8969-2344BD610C01}</author>
    <author>tc={71B919DE-A6CF-4EC1-91DD-6C21252A2457}</author>
    <author>tc={6E5E78B9-A638-4B2D-BDA6-EF711C8E32A9}</author>
    <author>tc={5D54937B-7563-42AA-B44C-7486214837A0}</author>
    <author>tc={B595DB99-24DA-46D3-B2C4-F92E3705DD84}</author>
    <author>tc={BAAA68B9-2857-497F-AD24-E02D0D3A48E6}</author>
    <author>tc={463862AD-9B92-443B-8148-C1E4D28ED363}</author>
    <author>tc={C31A292D-097F-4F0A-8883-13BA175FE97C}</author>
    <author>tc={2C6A2A98-286A-41F7-9AFA-B621D49F7176}</author>
    <author>tc={B8046E1D-3B27-419A-84FF-7C65964EDA77}</author>
    <author>tc={487DB91E-0B91-4BCA-9D67-8B496E5CEA2E}</author>
    <author>tc={31D44271-9656-4EE8-AC4F-93060CB7244C}</author>
    <author>tc={43CE382A-B1D9-4DDC-9031-B83C313C9DFC}</author>
    <author>tc={D376E380-D29B-4F24-9267-793E94A69D1B}</author>
    <author>tc={63F7FE89-73C7-45DB-8764-584AE3B7D0CA}</author>
    <author>tc={5B818E8E-0CAE-494F-85A5-A4A8CE0FBABE}</author>
    <author>tc={30635027-A75F-4338-833B-1251B92A9BE6}</author>
    <author>tc={C00185DA-6B8C-407B-B08D-05F08586C5E7}</author>
    <author>tc={A1E6C837-72EE-4CB8-88C9-3DB3ADCA4718}</author>
    <author>tc={BC082E95-84F0-45DA-B5E1-A357088349C4}</author>
    <author>tc={56714E18-D806-4527-B3E6-C155B9C5229F}</author>
    <author>tc={EEA12087-2DE3-43A3-AD69-6BCB402FD786}</author>
    <author>tc={19D98417-A496-4A25-87DB-FECE7AB9FEE7}</author>
    <author>tc={2E6E0515-40CF-497B-81DF-34A6FC6D34E0}</author>
    <author>tc={EBB2FC0D-079D-4D37-8B8A-A907E2E5FD09}</author>
    <author>tc={2975A7CB-F3CC-40DB-8A75-D07AA1ED77CB}</author>
    <author>tc={D906E888-0FE0-4EC5-AA5A-01B22FA9E1E6}</author>
    <author>tc={2C799AD3-4E11-4851-BBD0-33E6E5E8B18E}</author>
    <author>tc={62528906-5988-460A-952C-6B4AC4651C14}</author>
    <author>tc={8C273CD5-75FC-45CC-9A94-3E927BC709C8}</author>
    <author>tc={496F6A29-5BE7-4343-BB13-012C8F121287}</author>
    <author>tc={2CFDFD44-2D47-4029-BF8D-6AEBA48E607F}</author>
    <author>tc={405E0823-8001-482B-A52C-710AB32C46F1}</author>
    <author>tc={86401DC4-A0BA-4312-B7D8-BD9990C5A851}</author>
    <author>tc={D84A41A6-202F-4802-A08A-7F963BCB938B}</author>
    <author>tc={092C8F27-768E-4693-9217-E9844CDA8AFD}</author>
    <author>tc={D03FE264-9D86-4C5B-86B4-6D3DFD341500}</author>
    <author>tc={F7BCC101-EDE5-4CA0-9526-8D9868DCBBD9}</author>
    <author>tc={ED2B3D3B-0770-473C-BCDD-49CFDF388197}</author>
    <author>tc={3B34C836-5052-4F03-AE6F-A3DB7B675625}</author>
    <author>tc={7A7194F9-558F-4156-9128-FA1E6C0EA3F0}</author>
    <author>tc={F65B8EC3-FE55-4280-BF93-241A4C2CB365}</author>
    <author>tc={BDF71311-AE75-4F87-BA5A-111EACC562E1}</author>
    <author>tc={3E2F0E73-9D29-4432-A61E-BE0E274872FF}</author>
    <author>tc={0C091347-5A50-42AE-95A8-FF47D270617D}</author>
    <author>tc={1EA30DC0-FCD5-4A53-B1D6-C242872F4148}</author>
    <author>tc={3875089B-5DD4-445C-A210-5E7334302459}</author>
    <author>tc={A0AA7AE5-A847-4B68-A31A-E97D23F393AB}</author>
    <author>tc={41B04F9B-CC39-419C-B7E3-41E5E0D95085}</author>
    <author>tc={714A123C-5DCE-420C-97B0-788B4489A592}</author>
    <author>tc={2CF7CF28-B29C-44DF-863F-734D452B4FAD}</author>
    <author>tc={41D32FBA-5633-47B4-BF6C-D8B374899FDA}</author>
    <author>tc={B987BCB9-238E-4D87-9E30-852A06BE99AC}</author>
    <author>tc={AA3BD00F-36A9-4255-9C2B-F951240C4C8C}</author>
    <author>tc={BF2494CB-F9E3-4A28-B2F1-FB56B1EFAF54}</author>
    <author>tc={F3A19994-AD61-4BE8-9531-97F4712DE000}</author>
  </authors>
  <commentList>
    <comment ref="D2" authorId="0" shapeId="0" xr:uid="{D2F5DAC7-3C6E-4864-8BB1-DEB8D7C02A96}">
      <text>
        <t>[Threaded comment]
Your version of Excel allows you to read this threaded comment; however, any edits to it will get removed if the file is opened in a newer version of Excel. Learn more: https://go.microsoft.com/fwlink/?linkid=870924
Comment:
    https://www.argusmedia.com/-/media/Files/sample-reports/20220729methanol.ashx?la=en&amp;hash=FDAA09E0CEEF4BC55B2AE401739F258E4C56AB97
Reply:
    The joint venture operates as Fairway Methanol LLC, with both Celanese and Mitsui maintaining a 50/50 ownership.
Reply:
    https://www.icis.com/explore/resources/news/2019/04/17/10350110/celanese-to-expand-methanol-capacity-at-us-plant/</t>
      </text>
    </comment>
    <comment ref="D3" authorId="1" shapeId="0" xr:uid="{A9FBB833-512B-43C4-8D97-C6B9F163CBF2}">
      <text>
        <t>[Threaded comment]
Your version of Excel allows you to read this threaded comment; however, any edits to it will get removed if the file is opened in a newer version of Excel. Learn more: https://go.microsoft.com/fwlink/?linkid=870924
Comment:
    https://www.usmeoh.com/read-me
Reply:
    US Methanol has completed construction and is in the final stage of commissioning the Liberty One Methanol plant with commercial operations expected to commence during 3Q 2022.
Reply:
    https://www.usmeoh.com/what-we-do</t>
      </text>
    </comment>
    <comment ref="L3" authorId="2" shapeId="0" xr:uid="{8D3FD275-5F02-4A25-B93D-5DEF0553565F}">
      <text>
        <t>[Threaded comment]
Your version of Excel allows you to read this threaded comment; however, any edits to it will get removed if the file is opened in a newer version of Excel. Learn more: https://go.microsoft.com/fwlink/?linkid=870924
Comment:
    https://www.usmeoh.com/</t>
      </text>
    </comment>
    <comment ref="D4" authorId="3" shapeId="0" xr:uid="{44F0C3FD-6CC6-4E16-AB18-BFD5BC0D5F0B}">
      <text>
        <t>[Threaded comment]
Your version of Excel allows you to read this threaded comment; however, any edits to it will get removed if the file is opened in a newer version of Excel. Learn more: https://go.microsoft.com/fwlink/?linkid=870924
Comment:
    https://www.methanex.com/sites/default/files/MEOH%20Presentation%20-%202021-11-18.pdf
Reply:
    https://www.argusmedia.com/-/media/Files/sample-reports/20220729methanol.ashx?la=en&amp;hash=FDAA09E0CEEF4BC55B2AE401739F258E4C56AB97</t>
      </text>
    </comment>
    <comment ref="M4" authorId="4" shapeId="0" xr:uid="{049AF25B-0F22-47ED-A12A-AAC3A595C56D}">
      <text>
        <t>[Threaded comment]
Your version of Excel allows you to read this threaded comment; however, any edits to it will get removed if the file is opened in a newer version of Excel. Learn more: https://go.microsoft.com/fwlink/?linkid=870924
Comment:
    Commercial operations targeted for the end of 2023/early 2024
Reply:
    The Geismar 3 (G3) project, budgeted at $1.25-1.3 billion, is adjacent to our existing G1 and G2 plants, with shared infrastructure that creates material capital and operating cost advantages. G3 will be one of our lowest cost plants with one of the lowest CO₂ emissions intensity profiles in the industry by utilizing excess hydrogen from the G1 and G2 steam reforming plants coupled with access to abundant and low-cost natural gas.
Once commissioned, the G3 facility will be capable of producing 1.8 million tonnes of methanol per year. Combined with the G1 and G2 plants, our three Methanex plants in Geismar will represent one of the largest methanol complexes in the world.
G3 is a highly advantaged project that will strengthen our asset portfolio given its location, access to abundant natural gas and lower cost structure - and will further solidify our position as the world’s largest methanol supplier.
G3 is scheduled to begin commercial operations by the end of 2023.
Reply:
    https://www.methanex.com/geismar-3</t>
      </text>
    </comment>
    <comment ref="D5" authorId="5" shapeId="0" xr:uid="{D8E5E5F1-D7C6-4FDC-8691-1AD5B877A4DC}">
      <text>
        <t>[Threaded comment]
Your version of Excel allows you to read this threaded comment; however, any edits to it will get removed if the file is opened in a newer version of Excel. Learn more: https://go.microsoft.com/fwlink/?linkid=870924
Comment:
    https://www.argusmedia.com/-/media/Files/sample-reports/20220729methanol.ashx?la=en&amp;hash=FDAA09E0CEEF4BC55B2AE401739F258E4C56AB97
Reply:
    http://www.globalchemicalprice.com/chemical-market-news/lyondellbasell-s-methanol-plant-likely-to-restart-by-mid-december</t>
      </text>
    </comment>
    <comment ref="D6" authorId="6" shapeId="0" xr:uid="{E5C49B4A-6160-4C42-974B-DD1C8D6CC516}">
      <text>
        <t>[Threaded comment]
Your version of Excel allows you to read this threaded comment; however, any edits to it will get removed if the file is opened in a newer version of Excel. Learn more: https://go.microsoft.com/fwlink/?linkid=870924
Comment:
    https://www.argusmedia.com/-/media/Files/sample-reports/20220729methanol.ashx?la=en&amp;hash=FDAA09E0CEEF4BC55B2AE401739F258E4C56AB97</t>
      </text>
    </comment>
    <comment ref="I6" authorId="7" shapeId="0" xr:uid="{2CBEE5EC-AED6-4595-8314-D4D045B3C682}">
      <text>
        <t>[Threaded comment]
Your version of Excel allows you to read this threaded comment; however, any edits to it will get removed if the file is opened in a newer version of Excel. Learn more: https://go.microsoft.com/fwlink/?linkid=870924
Comment:
    July 2019
Reply:
    1
Includes 125ktpa added in July 2019 as a result of debottlenecking project; 2 JV with Consolidated Energy Ltd</t>
      </text>
    </comment>
    <comment ref="D7" authorId="8" shapeId="0" xr:uid="{C195263E-01A0-4157-817C-73868F5FBFDA}">
      <text>
        <t>[Threaded comment]
Your version of Excel allows you to read this threaded comment; however, any edits to it will get removed if the file is opened in a newer version of Excel. Learn more: https://go.microsoft.com/fwlink/?linkid=870924
Comment:
    https://www.argusmedia.com/-/media/Files/sample-reports/20220729methanol.ashx?la=en&amp;hash=FDAA09E0CEEF4BC55B2AE401739F258E4C56AB97</t>
      </text>
    </comment>
    <comment ref="D8" authorId="9" shapeId="0" xr:uid="{6372C969-F712-4992-94EC-31210AEF087F}">
      <text>
        <t>[Threaded comment]
Your version of Excel allows you to read this threaded comment; however, any edits to it will get removed if the file is opened in a newer version of Excel. Learn more: https://go.microsoft.com/fwlink/?linkid=870924
Comment:
    https://cdn.ihs.com/www/pdf/IHS-WMC-Alvarado-Final-Oct16.pdf</t>
      </text>
    </comment>
    <comment ref="D9" authorId="10" shapeId="0" xr:uid="{8E44616B-808D-4DB1-8392-054E93EFE7E0}">
      <text>
        <t>[Threaded comment]
Your version of Excel allows you to read this threaded comment; however, any edits to it will get removed if the file is opened in a newer version of Excel. Learn more: https://go.microsoft.com/fwlink/?linkid=870924
Comment:
    https://www.methanex.com/sites/default/files/MEOH%20Presentation%20-%202021-11-18.pdf
Reply:
    https://www.argusmedia.com/-/media/Files/sample-reports/20220729methanol.ashx?la=en&amp;hash=FDAA09E0CEEF4BC55B2AE401739F258E4C56AB97</t>
      </text>
    </comment>
    <comment ref="M10" authorId="11" shapeId="0" xr:uid="{49E1C5C1-187C-41BC-853C-02CE966D1327}">
      <text>
        <t>[Threaded comment]
Your version of Excel allows you to read this threaded comment; however, any edits to it will get removed if the file is opened in a newer version of Excel. Learn more: https://go.microsoft.com/fwlink/?linkid=870924
Comment:
    https://www.nauticolenergy.com/operations/methanol/</t>
      </text>
    </comment>
    <comment ref="D11" authorId="12" shapeId="0" xr:uid="{FEA47F6A-A85A-41A1-B010-5132929D5CB9}">
      <text>
        <t>[Threaded comment]
Your version of Excel allows you to read this threaded comment; however, any edits to it will get removed if the file is opened in a newer version of Excel. Learn more: https://go.microsoft.com/fwlink/?linkid=870924
Comment:
    https://www.argusmedia.com/-/media/Files/sample-reports/20220729methanol.ashx?la=en&amp;hash=FDAA09E0CEEF4BC55B2AE401739F258E4C56AB97</t>
      </text>
    </comment>
    <comment ref="D12" authorId="13" shapeId="0" xr:uid="{9AB34029-3A8E-42CD-AE7D-ADBDD4C52CC5}">
      <text>
        <t>[Threaded comment]
Your version of Excel allows you to read this threaded comment; however, any edits to it will get removed if the file is opened in a newer version of Excel. Learn more: https://go.microsoft.com/fwlink/?linkid=870924
Comment:
    https://www.argusmedia.com/-/media/Files/sample-reports/20220729methanol.ashx?la=en&amp;hash=FDAA09E0CEEF4BC55B2AE401739F258E4C56AB97
Reply:
    https://www.oci.nl/media/1335/natgasoline-begins-methanol-production-final.pdf
Reply:
    OCI company
Reply:
    50% share</t>
      </text>
    </comment>
    <comment ref="H12" authorId="14" shapeId="0" xr:uid="{2C2E13CE-C76D-49EF-A191-6EE70DD8FCA7}">
      <text>
        <t>[Threaded comment]
Your version of Excel allows you to read this threaded comment; however, any edits to it will get removed if the file is opened in a newer version of Excel. Learn more: https://go.microsoft.com/fwlink/?linkid=870924
Comment:
    June 2018
Reply:
    Commercial production started in June 2018</t>
      </text>
    </comment>
    <comment ref="D13" authorId="15" shapeId="0" xr:uid="{19928CD1-A02D-4365-A7E6-0343DA1C008A}">
      <text>
        <t>[Threaded comment]
Your version of Excel allows you to read this threaded comment; however, any edits to it will get removed if the file is opened in a newer version of Excel. Learn more: https://go.microsoft.com/fwlink/?linkid=870924
Comment:
    https://www.argusmedia.com/-/media/Files/sample-reports/20220729methanol.ashx?la=en&amp;hash=FDAA09E0CEEF4BC55B2AE401739F258E4C56AB97</t>
      </text>
    </comment>
    <comment ref="D14" authorId="16" shapeId="0" xr:uid="{F4FCC747-F04B-4DC6-9391-D3028A2559B3}">
      <text>
        <t>[Threaded comment]
Your version of Excel allows you to read this threaded comment; however, any edits to it will get removed if the file is opened in a newer version of Excel. Learn more: https://go.microsoft.com/fwlink/?linkid=870924
Comment:
    https://www.argusmedia.com/-/media/Files/sample-reports/20220729methanol.ashx?la=en&amp;hash=FDAA09E0CEEF4BC55B2AE401739F258E4C56AB97</t>
      </text>
    </comment>
    <comment ref="D15" authorId="17" shapeId="0" xr:uid="{52B40DD4-CF75-468B-9809-4BB475B8270D}">
      <text>
        <t>[Threaded comment]
Your version of Excel allows you to read this threaded comment; however, any edits to it will get removed if the file is opened in a newer version of Excel. Learn more: https://go.microsoft.com/fwlink/?linkid=870924
Comment:
    https://www.argusmedia.com/-/media/Files/sample-reports/20220729methanol.ashx?la=en&amp;hash=FDAA09E0CEEF4BC55B2AE401739F258E4C56AB97</t>
      </text>
    </comment>
    <comment ref="D16" authorId="18" shapeId="0" xr:uid="{01774713-3E23-4FA7-8969-2344BD610C01}">
      <text>
        <t>[Threaded comment]
Your version of Excel allows you to read this threaded comment; however, any edits to it will get removed if the file is opened in a newer version of Excel. Learn more: https://go.microsoft.com/fwlink/?linkid=870924
Comment:
    https://www.methanex.com/sites/default/files/MEOH%20Presentation%20-%202021-11-18.pdf
Reply:
    https://www.argusmedia.com/-/media/Files/sample-reports/20220729methanol.ashx?la=en&amp;hash=FDAA09E0CEEF4BC55B2AE401739F258E4C56AB97</t>
      </text>
    </comment>
    <comment ref="B17" authorId="19" shapeId="0" xr:uid="{71B919DE-A6CF-4EC1-91DD-6C21252A2457}">
      <text>
        <t xml:space="preserve">[Threaded comment]
Your version of Excel allows you to read this threaded comment; however, any edits to it will get removed if the file is opened in a newer version of Excel. Learn more: https://go.microsoft.com/fwlink/?linkid=870924
Comment:
    https://www.methanex.com/30th-anniversary/stories-and-celebrations/our-operations-trinidad-tobago
Reply:
    https://www.energy.gov.tt/our-business/lng-petrochemicals/petrochemicals/methanol/
Reply:
    Titan methanol facility </t>
      </text>
    </comment>
    <comment ref="D17" authorId="20" shapeId="0" xr:uid="{6E5E78B9-A638-4B2D-BDA6-EF711C8E32A9}">
      <text>
        <t>[Threaded comment]
Your version of Excel allows you to read this threaded comment; however, any edits to it will get removed if the file is opened in a newer version of Excel. Learn more: https://go.microsoft.com/fwlink/?linkid=870924
Comment:
    https://www.methanex.com/sites/default/files/MEOH%20Presentation%20-%202021-11-18.pdf
Reply:
    https://www.argusmedia.com/-/media/Files/sample-reports/20220729methanol.ashx?la=en&amp;hash=FDAA09E0CEEF4BC55B2AE401739F258E4C56AB97
Reply:
    https://www.argusmedia.com/-/media/Files/sample-reports/20220729methanol.ashx?la=en&amp;hash=FDAA09E0CEEF4BC55B2AE401739F258E4C56AB97
Reply:
    https://www.methanex.com/30th-anniversary/stories-and-celebrations/our-operations-trinidad-tobago</t>
      </text>
    </comment>
    <comment ref="B18" authorId="21" shapeId="0" xr:uid="{5D54937B-7563-42AA-B44C-7486214837A0}">
      <text>
        <t>[Threaded comment]
Your version of Excel allows you to read this threaded comment; however, any edits to it will get removed if the file is opened in a newer version of Excel. Learn more: https://go.microsoft.com/fwlink/?linkid=870924
Comment:
    Atlas Methanex</t>
      </text>
    </comment>
    <comment ref="D19" authorId="22" shapeId="0" xr:uid="{B595DB99-24DA-46D3-B2C4-F92E3705DD84}">
      <text>
        <t>[Threaded comment]
Your version of Excel allows you to read this threaded comment; however, any edits to it will get removed if the file is opened in a newer version of Excel. Learn more: https://go.microsoft.com/fwlink/?linkid=870924
Comment:
    CMC (M2)
Reply:
    https://www.argusmedia.com/-/media/Files/sample-reports/20220729methanol.ashx?la=en&amp;hash=FDAA09E0CEEF4BC55B2AE401739F258E4C56AB97
Reply:
    https://www.energy.gov.tt/our-business/lng-petrochemicals/petrochemicals/methanol/</t>
      </text>
    </comment>
    <comment ref="D20" authorId="23" shapeId="0" xr:uid="{BAAA68B9-2857-497F-AD24-E02D0D3A48E6}">
      <text>
        <t>[Threaded comment]
Your version of Excel allows you to read this threaded comment; however, any edits to it will get removed if the file is opened in a newer version of Excel. Learn more: https://go.microsoft.com/fwlink/?linkid=870924
Comment:
    Methanol IV (M4)
Reply:
    https://www.argusmedia.com/-/media/Files/sample-reports/20220729methanol.ashx?la=en&amp;hash=FDAA09E0CEEF4BC55B2AE401739F258E4C56AB97
Reply:
    https://www.energy.gov.tt/our-business/lng-petrochemicals/petrochemicals/methanol/</t>
      </text>
    </comment>
    <comment ref="D21" authorId="24" shapeId="0" xr:uid="{463862AD-9B92-443B-8148-C1E4D28ED363}">
      <text>
        <t>[Threaded comment]
Your version of Excel allows you to read this threaded comment; however, any edits to it will get removed if the file is opened in a newer version of Excel. Learn more: https://go.microsoft.com/fwlink/?linkid=870924
Comment:
    TTMC #1 (M1)
Reply:
    https://www.argusmedia.com/-/media/Files/sample-reports/20220729methanol.ashx?la=en&amp;hash=FDAA09E0CEEF4BC55B2AE401739F258E4C56AB97
Reply:
    https://www.energy.gov.tt/our-business/lng-petrochemicals/petrochemicals/methanol/</t>
      </text>
    </comment>
    <comment ref="D22" authorId="25" shapeId="0" xr:uid="{C31A292D-097F-4F0A-8883-13BA175FE97C}">
      <text>
        <t>[Threaded comment]
Your version of Excel allows you to read this threaded comment; however, any edits to it will get removed if the file is opened in a newer version of Excel. Learn more: https://go.microsoft.com/fwlink/?linkid=870924
Comment:
    TTMC #2 (M3)
Reply:
    https://www.argusmedia.com/-/media/Files/sample-reports/20220729methanol.ashx?la=en&amp;hash=FDAA09E0CEEF4BC55B2AE401739F258E4C56AB97
Reply:
    https://www.energy.gov.tt/our-business/lng-petrochemicals/petrochemicals/methanol/</t>
      </text>
    </comment>
    <comment ref="D23" authorId="26" shapeId="0" xr:uid="{2C6A2A98-286A-41F7-9AFA-B621D49F7176}">
      <text>
        <t>[Threaded comment]
Your version of Excel allows you to read this threaded comment; however, any edits to it will get removed if the file is opened in a newer version of Excel. Learn more: https://go.microsoft.com/fwlink/?linkid=870924
Comment:
    MHTL (M5)
Reply:
    https://www.argusmedia.com/-/media/Files/sample-reports/20220729methanol.ashx?la=en&amp;hash=FDAA09E0CEEF4BC55B2AE401739F258E4C56AB97
Reply:
    https://www.energy.gov.tt/our-business/lng-petrochemicals/petrochemicals/methanol/</t>
      </text>
    </comment>
    <comment ref="D24" authorId="27" shapeId="0" xr:uid="{B8046E1D-3B27-419A-84FF-7C65964EDA77}">
      <text>
        <t>[Threaded comment]
Your version of Excel allows you to read this threaded comment; however, any edits to it will get removed if the file is opened in a newer version of Excel. Learn more: https://go.microsoft.com/fwlink/?linkid=870924
Comment:
    https://www.argusmedia.com/-/media/Files/sample-reports/20220729methanol.ashx?la=en&amp;hash=FDAA09E0CEEF4BC55B2AE401739F258E4C56AB97</t>
      </text>
    </comment>
    <comment ref="D25" authorId="28" shapeId="0" xr:uid="{487DB91E-0B91-4BCA-9D67-8B496E5CEA2E}">
      <text>
        <t>[Threaded comment]
Your version of Excel allows you to read this threaded comment; however, any edits to it will get removed if the file is opened in a newer version of Excel. Learn more: https://go.microsoft.com/fwlink/?linkid=870924
Comment:
    https://www.argusmedia.com/-/media/Files/sample-reports/20220729methanol.ashx?la=en&amp;hash=FDAA09E0CEEF4BC55B2AE401739F258E4C56AB97</t>
      </text>
    </comment>
    <comment ref="D26" authorId="29" shapeId="0" xr:uid="{31D44271-9656-4EE8-AC4F-93060CB7244C}">
      <text>
        <t>[Threaded comment]
Your version of Excel allows you to read this threaded comment; however, any edits to it will get removed if the file is opened in a newer version of Excel. Learn more: https://go.microsoft.com/fwlink/?linkid=870924
Comment:
    https://www.argusmedia.com/-/media/Files/sample-reports/20220729methanol.ashx?la=en&amp;hash=FDAA09E0CEEF4BC55B2AE401739F258E4C56AB97</t>
      </text>
    </comment>
    <comment ref="D27" authorId="30" shapeId="0" xr:uid="{43CE382A-B1D9-4DDC-9031-B83C313C9DFC}">
      <text>
        <t>[Threaded comment]
Your version of Excel allows you to read this threaded comment; however, any edits to it will get removed if the file is opened in a newer version of Excel. Learn more: https://go.microsoft.com/fwlink/?linkid=870924
Comment:
    https://www.argusmedia.com/-/media/Files/sample-reports/20220729methanol.ashx?la=en&amp;hash=FDAA09E0CEEF4BC55B2AE401739F258E4C56AB97</t>
      </text>
    </comment>
    <comment ref="D28" authorId="31" shapeId="0" xr:uid="{D376E380-D29B-4F24-9267-793E94A69D1B}">
      <text>
        <t>[Threaded comment]
Your version of Excel allows you to read this threaded comment; however, any edits to it will get removed if the file is opened in a newer version of Excel. Learn more: https://go.microsoft.com/fwlink/?linkid=870924
Comment:
    https://www.argusmedia.com/-/media/Files/sample-reports/20220729methanol.ashx?la=en&amp;hash=FDAA09E0CEEF4BC55B2AE401739F258E4C56AB97</t>
      </text>
    </comment>
    <comment ref="D30" authorId="32" shapeId="0" xr:uid="{63F7FE89-73C7-45DB-8764-584AE3B7D0CA}">
      <text>
        <t>[Threaded comment]
Your version of Excel allows you to read this threaded comment; however, any edits to it will get removed if the file is opened in a newer version of Excel. Learn more: https://go.microsoft.com/fwlink/?linkid=870924
Comment:
    https://www.methanol.org/wp-content/uploads/2020/04/IRENA_Innovation_Renewable_Methanol_2021.pdf</t>
      </text>
    </comment>
    <comment ref="D32" authorId="33" shapeId="0" xr:uid="{5B818E8E-0CAE-494F-85A5-A4A8CE0FBABE}">
      <text>
        <t>[Threaded comment]
Your version of Excel allows you to read this threaded comment; however, any edits to it will get removed if the file is opened in a newer version of Excel. Learn more: https://go.microsoft.com/fwlink/?linkid=870924
Comment:
    http://www.msk.co.rs/en-GB/content/cid259/about-us#:~:text=200.000%20t%2Fg%20of%20methanol</t>
      </text>
    </comment>
    <comment ref="D33" authorId="34" shapeId="0" xr:uid="{30635027-A75F-4338-833B-1251B92A9BE6}">
      <text>
        <t>[Threaded comment]
Your version of Excel allows you to read this threaded comment; however, any edits to it will get removed if the file is opened in a newer version of Excel. Learn more: https://go.microsoft.com/fwlink/?linkid=870924
Comment:
    https://blog.topsoe.com/ucc-shchekinoazot-launches-methanol-and-ammonia-co-production-plant-licensed-by-haldor-topsoe</t>
      </text>
    </comment>
    <comment ref="K33" authorId="35" shapeId="0" xr:uid="{C00185DA-6B8C-407B-B08D-05F08586C5E7}">
      <text>
        <t>[Threaded comment]
Your version of Excel allows you to read this threaded comment; however, any edits to it will get removed if the file is opened in a newer version of Excel. Learn more: https://go.microsoft.com/fwlink/?linkid=870924
Comment:
    https://xn--90ab5f.xn--p1ai/en/press-center/50840/</t>
      </text>
    </comment>
    <comment ref="D34" authorId="36" shapeId="0" xr:uid="{A1E6C837-72EE-4CB8-88C9-3DB3ADCA4718}">
      <text>
        <t>[Threaded comment]
Your version of Excel allows you to read this threaded comment; however, any edits to it will get removed if the file is opened in a newer version of Excel. Learn more: https://go.microsoft.com/fwlink/?linkid=870924
Comment:
    https://www.metafrax.ru/files/documents/33_EN_1628610449.pdf</t>
      </text>
    </comment>
    <comment ref="D36" authorId="37" shapeId="0" xr:uid="{BC082E95-84F0-45DA-B5E1-A357088349C4}">
      <text>
        <t>[Threaded comment]
Your version of Excel allows you to read this threaded comment; however, any edits to it will get removed if the file is opened in a newer version of Excel. Learn more: https://go.microsoft.com/fwlink/?linkid=870924
Comment:
    https://www.argusmedia.com/-/media/Files/sample-reports/20220729methanol.ashx?la=en&amp;hash=FDAA09E0CEEF4BC55B2AE401739F258E4C56AB97</t>
      </text>
    </comment>
    <comment ref="D39" authorId="38" shapeId="0" xr:uid="{56714E18-D806-4527-B3E6-C155B9C5229F}">
      <text>
        <t>[Threaded comment]
Your version of Excel allows you to read this threaded comment; however, any edits to it will get removed if the file is opened in a newer version of Excel. Learn more: https://go.microsoft.com/fwlink/?linkid=870924
Comment:
    https://www.spglobal.com/commodityinsights/en/market-insights/latest-news/petrochemicals/102814-russias-tomsk-methanol-restarts-plant-after-turnaround</t>
      </text>
    </comment>
    <comment ref="D40" authorId="39" shapeId="0" xr:uid="{EEA12087-2DE3-43A3-AD69-6BCB402FD786}">
      <text>
        <t>[Threaded comment]
Your version of Excel allows you to read this threaded comment; however, any edits to it will get removed if the file is opened in a newer version of Excel. Learn more: https://go.microsoft.com/fwlink/?linkid=870924
Comment:
    https://www.repsol.com/imagenes/global/en/24_11_YPF_imoran_tcm14-13798.pdf
Reply:
    Plaza Huincul</t>
      </text>
    </comment>
    <comment ref="D41" authorId="40" shapeId="0" xr:uid="{19D98417-A496-4A25-87DB-FECE7AB9FEE7}">
      <text>
        <t>[Threaded comment]
Your version of Excel allows you to read this threaded comment; however, any edits to it will get removed if the file is opened in a newer version of Excel. Learn more: https://go.microsoft.com/fwlink/?linkid=870924
Comment:
    https://www.oci.nl/media/1906/oci-nv-investor-presentation-march-2021.pdf
Reply:
    BioMCN is one of Europe’s largest methanol producers and is the first company in the world to produce and sell industrial quantities of high-quality bio-methanol, a second-generation biofuel.
Reply:
    BioMCN produces two types of methanol: bio-methanol and regular (also known as grey) methanol. Bio-methanol is produced from biogas sourced from waste digestion plants. BioMCN continuously works to develop innovative renewable methanol manufacturing processes and feedstock sources. This in turn substantially contributes to the global drive to develop greener and more sustainable products.</t>
      </text>
    </comment>
    <comment ref="D42" authorId="41" shapeId="0" xr:uid="{2E6E0515-40CF-497B-81DF-34A6FC6D34E0}">
      <text>
        <t>[Threaded comment]
Your version of Excel allows you to read this threaded comment; however, any edits to it will get removed if the file is opened in a newer version of Excel. Learn more: https://go.microsoft.com/fwlink/?linkid=870924
Comment:
    https://www.equinor.com/energy/onshore-facilities</t>
      </text>
    </comment>
    <comment ref="J42" authorId="42" shapeId="0" xr:uid="{EBB2FC0D-079D-4D37-8B8A-A907E2E5FD09}">
      <text>
        <t xml:space="preserve">[Threaded comment]
Your version of Excel allows you to read this threaded comment; however, any edits to it will get removed if the file is opened in a newer version of Excel. Learn more: https://go.microsoft.com/fwlink/?linkid=870924
Comment:
    20 feb 2020: The methanol plant at Tjeldbergodden is now back in production after being decommissioned since the fire on 2 December 2020. The safe start-up preparations have gone according to plan and the facility is now supplying methanol to the market. </t>
      </text>
    </comment>
    <comment ref="D45" authorId="43" shapeId="0" xr:uid="{2975A7CB-F3CC-40DB-8A75-D07AA1ED77CB}">
      <text>
        <t>[Threaded comment]
Your version of Excel allows you to read this threaded comment; however, any edits to it will get removed if the file is opened in a newer version of Excel. Learn more: https://go.microsoft.com/fwlink/?linkid=870924
Comment:
    https://www.refiningandpetrochemicalsme.com/petrochemicals/24413-sipchem-brings-methanol-plant-back-onstream-after-maintenance</t>
      </text>
    </comment>
    <comment ref="D46" authorId="44" shapeId="0" xr:uid="{D906E888-0FE0-4EC5-AA5A-01B22FA9E1E6}">
      <text>
        <t>[Threaded comment]
Your version of Excel allows you to read this threaded comment; however, any edits to it will get removed if the file is opened in a newer version of Excel. Learn more: https://go.microsoft.com/fwlink/?linkid=870924
Comment:
    https://www.mgc.co.jp/eng/company/basic-chemicals/capacity.html</t>
      </text>
    </comment>
    <comment ref="D48" authorId="45" shapeId="0" xr:uid="{2C799AD3-4E11-4851-BBD0-33E6E5E8B18E}">
      <text>
        <t>[Threaded comment]
Your version of Excel allows you to read this threaded comment; however, any edits to it will get removed if the file is opened in a newer version of Excel. Learn more: https://go.microsoft.com/fwlink/?linkid=870924
Comment:
    https://www.atlanticmethanol.com/about-us.html</t>
      </text>
    </comment>
    <comment ref="D49" authorId="46" shapeId="0" xr:uid="{62528906-5988-460A-952C-6B4AC4651C14}">
      <text>
        <t>[Threaded comment]
Your version of Excel allows you to read this threaded comment; however, any edits to it will get removed if the file is opened in a newer version of Excel. Learn more: https://go.microsoft.com/fwlink/?linkid=870924
Comment:
    https://www.methanex.com/sites/default/files/MEOH%20Presentation%20-%202021-11-18.pdf
Reply:
    https://www.argusmedia.com/-/media/Files/sample-reports/20220729methanol.ashx?la=en&amp;hash=FDAA09E0CEEF4BC55B2AE401739F258E4C56AB97</t>
      </text>
    </comment>
    <comment ref="E49" authorId="47" shapeId="0" xr:uid="{8C273CD5-75FC-45CC-9A94-3E927BC709C8}">
      <text>
        <t>[Threaded comment]
Your version of Excel allows you to read this threaded comment; however, any edits to it will get removed if the file is opened in a newer version of Excel. Learn more: https://go.microsoft.com/fwlink/?linkid=870924
Comment:
    https://www.methanex.com/location/middle-east/egypt/about-methanex-egypt</t>
      </text>
    </comment>
    <comment ref="D50" authorId="48" shapeId="0" xr:uid="{496F6A29-5BE7-4343-BB13-012C8F121287}">
      <text>
        <t>[Threaded comment]
Your version of Excel allows you to read this threaded comment; however, any edits to it will get removed if the file is opened in a newer version of Excel. Learn more: https://go.microsoft.com/fwlink/?linkid=870924
Comment:
    https://kavehglass.com/?page_id=3453&amp;lang=en#:~:text=Established%20in%202006%2C%20Kaveh%20Methanol,million%20metric%20tons%20of%20methanol.
Reply:
    http://petrokaveh.com/kaveh-methanol-plant/</t>
      </text>
    </comment>
    <comment ref="D52" authorId="49" shapeId="0" xr:uid="{2CFDFD44-2D47-4029-BF8D-6AEBA48E607F}">
      <text>
        <t>[Threaded comment]
Your version of Excel allows you to read this threaded comment; however, any edits to it will get removed if the file is opened in a newer version of Excel. Learn more: https://go.microsoft.com/fwlink/?linkid=870924
Comment:
    https://www.knak.jp/others/iran-now-1.htm
Reply:
    Fanavaran Petrochemical Company
Reply:
    https://smartcatalyst.ir/en/methanol-manufacturers-in-iran/</t>
      </text>
    </comment>
    <comment ref="D53" authorId="50" shapeId="0" xr:uid="{405E0823-8001-482B-A52C-710AB32C46F1}">
      <text>
        <t>[Threaded comment]
Your version of Excel allows you to read this threaded comment; however, any edits to it will get removed if the file is opened in a newer version of Excel. Learn more: https://go.microsoft.com/fwlink/?linkid=870924
Comment:
    https://www.gpca.org.ae/2020/07/12/zagros-petrochemical-company/#:~:text=Zagros%20Petrochemical%20Company%20has%20long,grade%20AA%20and%20purity%2099.85%25.
Reply:
    Zagros Petrochemical Company
Reply:
    https://smartcatalyst.ir/en/methanol-manufacturers-in-iran/</t>
      </text>
    </comment>
    <comment ref="D54" authorId="51" shapeId="0" xr:uid="{86401DC4-A0BA-4312-B7D8-BD9990C5A851}">
      <text>
        <t>[Threaded comment]
Your version of Excel allows you to read this threaded comment; however, any edits to it will get removed if the file is opened in a newer version of Excel. Learn more: https://go.microsoft.com/fwlink/?linkid=870924
Comment:
    https://financialtribune.com/articles/energy/115177/marjan-petrochem-company-reduces-pollution-expenses#:~:text=Located%20in%20South%20Pars%20Petzone,in%20the%20southern%20Bushehr%20Province.
Reply:
    https://www.pedc.ir/news-media/news/id/171/marjan-petchem-plant-operational</t>
      </text>
    </comment>
    <comment ref="D55" authorId="52" shapeId="0" xr:uid="{D84A41A6-202F-4802-A08A-7F963BCB938B}">
      <text>
        <t xml:space="preserve">[Threaded comment]
Your version of Excel allows you to read this threaded comment; however, any edits to it will get removed if the file is opened in a newer version of Excel. Learn more: https://go.microsoft.com/fwlink/?linkid=870924
Comment:
    https://www.sabalanpico.com/en/about-us/#:~:text=Aiming%20at%20constructing%20an%20AA,established%20on%20October%206%2C%202010.
</t>
      </text>
    </comment>
    <comment ref="D56" authorId="53" shapeId="0" xr:uid="{092C8F27-768E-4693-9217-E9844CDA8AFD}">
      <text>
        <t>[Threaded comment]
Your version of Excel allows you to read this threaded comment; however, any edits to it will get removed if the file is opened in a newer version of Excel. Learn more: https://go.microsoft.com/fwlink/?linkid=870924
Comment:
    https://smartcatalyst.ir/en/methanol-manufacturers-in-iran/</t>
      </text>
    </comment>
    <comment ref="D60" authorId="54" shapeId="0" xr:uid="{D03FE264-9D86-4C5B-86B4-6D3DFD341500}">
      <text>
        <t>[Threaded comment]
Your version of Excel allows you to read this threaded comment; however, any edits to it will get removed if the file is opened in a newer version of Excel. Learn more: https://go.microsoft.com/fwlink/?linkid=870924
Comment:
    https://www.qafac.com.qa/about-us#:~:text=The%20QAFAC%20plant%20is%20designed,and%20610%2C000%20TPA%20of%20MTBE.
Reply:
    https://www.qafac.com.qa/methanol</t>
      </text>
    </comment>
    <comment ref="D62" authorId="55" shapeId="0" xr:uid="{F7BCC101-EDE5-4CA0-9526-8D9868DCBBD9}">
      <text>
        <t>[Threaded comment]
Your version of Excel allows you to read this threaded comment; however, any edits to it will get removed if the file is opened in a newer version of Excel. Learn more: https://go.microsoft.com/fwlink/?linkid=870924
Comment:
    https://www.omanmethanol.com/
Reply:
    https://www.omanmethanol.com/Pages.aspx?id=1</t>
      </text>
    </comment>
    <comment ref="D63" authorId="56" shapeId="0" xr:uid="{ED2B3D3B-0770-473C-BCDD-49CFDF388197}">
      <text>
        <t>[Threaded comment]
Your version of Excel allows you to read this threaded comment; however, any edits to it will get removed if the file is opened in a newer version of Excel. Learn more: https://go.microsoft.com/fwlink/?linkid=870924
Comment:
    https://oq.com/en/products/intermediates/methanol</t>
      </text>
    </comment>
    <comment ref="P65" authorId="57" shapeId="0" xr:uid="{3B34C836-5052-4F03-AE6F-A3DB7B675625}">
      <text>
        <t>[Threaded comment]
Your version of Excel allows you to read this threaded comment; however, any edits to it will get removed if the file is opened in a newer version of Excel. Learn more: https://go.microsoft.com/fwlink/?linkid=870924
Comment:
    Abu Dhabi Chemicals Derivatives Company, also called Ta'ziz -- a joint venture between Adnoc and holding company ADQ -- will build the methanol facility with Proman. The plant is expected to have a capacity to produce up to 1.8 million mt methanol annually.
The project is likely to be completed before end-2025, according to an Adnoc spokesperson
Reply:
    https://www.spglobal.com/commodityinsights/en/market-insights/topics/energy-price-crisis</t>
      </text>
    </comment>
    <comment ref="B66" authorId="58" shapeId="0" xr:uid="{7A7194F9-558F-4156-9128-FA1E6C0EA3F0}">
      <text>
        <t>[Threaded comment]
Your version of Excel allows you to read this threaded comment; however, any edits to it will get removed if the file is opened in a newer version of Excel. Learn more: https://go.microsoft.com/fwlink/?linkid=870924
Comment:
    https://coal.gov.in/sites/default/files/ncgm/pmicg-jp.pdf</t>
      </text>
    </comment>
    <comment ref="D66" authorId="59" shapeId="0" xr:uid="{F65B8EC3-FE55-4280-BF93-241A4C2CB365}">
      <text>
        <t>[Threaded comment]
Your version of Excel allows you to read this threaded comment; however, any edits to it will get removed if the file is opened in a newer version of Excel. Learn more: https://go.microsoft.com/fwlink/?linkid=870924
Comment:
      Assam Petro-Chemicals Ltd. is now implementing a mega project of 500TPD Methanol and 200 TPD Formaldehyde plant as an expansion project of the company at a total cost of Rs. 1337 crore.Implementation of the 500 TPD Methanol project is going on at the adjacent plot of existing plant at Namrup in Dibrugarh district of Assam.Implementation of 200 TPD Formalin project is about to start at Boitamari in Bongaigaon District. The Hon'ble Chief Minister of Assam laid the foundation stone of the 200 TPD Formalin Project at Boitamari, Bongaigaon on 4th March, 2019. Governor of Assam, Oil India Limited and Assam Gas Company Limited are investing in equity capital for implementation of 500 TPD Methanol and 200 TPD Formalin project. Government of Assam alongwith Assam Gas Co. Ltd and AIDC Ltd. will hold 51% of shares and Oil India Ltd. will hold 49% of the equity capital of the company.In this connection, an MoU was sighed with Oil India Ltd. in February, 2018 during Advantage Assam -the Global Investors Summit held at Guwahati.
Reply:
    https://assampetrochemicals.co.in/about.php</t>
      </text>
    </comment>
    <comment ref="E66" authorId="60" shapeId="0" xr:uid="{BDF71311-AE75-4F87-BA5A-111EACC562E1}">
      <text>
        <t xml:space="preserve">[Threaded comment]
Your version of Excel allows you to read this threaded comment; however, any edits to it will get removed if the file is opened in a newer version of Excel. Learn more: https://go.microsoft.com/fwlink/?linkid=870924
Comment:
    100 TPD
</t>
      </text>
    </comment>
    <comment ref="M66" authorId="61" shapeId="0" xr:uid="{3E2F0E73-9D29-4432-A61E-BE0E274872FF}">
      <text>
        <t>[Threaded comment]
Your version of Excel allows you to read this threaded comment; however, any edits to it will get removed if the file is opened in a newer version of Excel. Learn more: https://go.microsoft.com/fwlink/?linkid=870924
Comment:
    Another 500 TPD unit
Reply:
    https://assampetrochemicals.co.in/project-progress.php</t>
      </text>
    </comment>
    <comment ref="D67" authorId="62" shapeId="0" xr:uid="{0C091347-5A50-42AE-95A8-FF47D270617D}">
      <text>
        <t>[Threaded comment]
Your version of Excel allows you to read this threaded comment; however, any edits to it will get removed if the file is opened in a newer version of Excel. Learn more: https://go.microsoft.com/fwlink/?linkid=870924
Comment:
    https://www.gnfc.in/divisions/production-sales/
Reply:
    https://www.fert.nic.in/psu/rashtriya-chemicals-and-fertilizers-limited-rcf</t>
      </text>
    </comment>
    <comment ref="J68" authorId="63" shapeId="0" xr:uid="{1EA30DC0-FCD5-4A53-B1D6-C242872F4148}">
      <text>
        <t>[Threaded comment]
Your version of Excel allows you to read this threaded comment; however, any edits to it will get removed if the file is opened in a newer version of Excel. Learn more: https://go.microsoft.com/fwlink/?linkid=870924
Comment:
    242MT Per day
Reply:
    https://vajiramias.com/current-affairs/methanol/5f5ef1821d5def3376eb2611/</t>
      </text>
    </comment>
    <comment ref="D69" authorId="64" shapeId="0" xr:uid="{3875089B-5DD4-445C-A210-5E7334302459}">
      <text>
        <t>[Threaded comment]
Your version of Excel allows you to read this threaded comment; however, any edits to it will get removed if the file is opened in a newer version of Excel. Learn more: https://go.microsoft.com/fwlink/?linkid=870924
Comment:
    https://www.dfpcl.com/industrial-manufactured-products#:~:text=DFPCL%20is%20one%20of%20the%20largest%20producers%20of%20Methanol%20in,on%20site%2C%20ensuring%20uninterrupted%20supply.</t>
      </text>
    </comment>
    <comment ref="D70" authorId="65" shapeId="0" xr:uid="{A0AA7AE5-A847-4B68-A31A-E97D23F393AB}">
      <text>
        <t>[Threaded comment]
Your version of Excel allows you to read this threaded comment; however, any edits to it will get removed if the file is opened in a newer version of Excel. Learn more: https://go.microsoft.com/fwlink/?linkid=870924
Comment:
    https://www.gsfclimited.com/methanol-ch3oh</t>
      </text>
    </comment>
    <comment ref="E70" authorId="66" shapeId="0" xr:uid="{41B04F9B-CC39-419C-B7E3-41E5E0D95085}">
      <text>
        <t>[Threaded comment]
Your version of Excel allows you to read this threaded comment; however, any edits to it will get removed if the file is opened in a newer version of Excel. Learn more: https://go.microsoft.com/fwlink/?linkid=870924
Comment:
    525 metric tonnes per day</t>
      </text>
    </comment>
    <comment ref="J70" authorId="67" shapeId="0" xr:uid="{714A123C-5DCE-420C-97B0-788B4489A592}">
      <text>
        <t>[Threaded comment]
Your version of Excel allows you to read this threaded comment; however, any edits to it will get removed if the file is opened in a newer version of Excel. Learn more: https://go.microsoft.com/fwlink/?linkid=870924
Comment:
    31st August 2020
Reply:
    Gujarat State Fertilizers &amp; Chemicals Limited, Baroda has a Methanol plant with installed capacity of 525 metric tonnes per day. This plant was commissioned in 2013 and was operated for 11 months. Due to non-viability, the plant was shut down in April 2014.
Now, after more than 6 years, GSFC has re-started this plant. Methanol is being produced from 31st August 2020 as per the prescribed specifications and quality. Re-start of GSFC`s Methanol plant is a step towards fulfilling Hon`ble Prime Minister`s vision of `Aatmanirbhar Bharat`, and will help in import substitution.
Reply:
    525 metric tonnes per day</t>
      </text>
    </comment>
    <comment ref="D91" authorId="68" shapeId="0" xr:uid="{2CF7CF28-B29C-44DF-863F-734D452B4FAD}">
      <text>
        <t>[Threaded comment]
Your version of Excel allows you to read this threaded comment; however, any edits to it will get removed if the file is opened in a newer version of Excel. Learn more: https://go.microsoft.com/fwlink/?linkid=870924
Comment:
    https://www.knak.jp/malaysia/petronas.htm</t>
      </text>
    </comment>
    <comment ref="D92" authorId="69" shapeId="0" xr:uid="{41D32FBA-5633-47B4-BF6C-D8B374899FDA}">
      <text>
        <t>[Threaded comment]
Your version of Excel allows you to read this threaded comment; however, any edits to it will get removed if the file is opened in a newer version of Excel. Learn more: https://go.microsoft.com/fwlink/?linkid=870924
Comment:
    http://webcache.googleusercontent.com/search?q=cache%3Ahttps%3A%2F%2Fkaltimmethanol.com%2Fhistory.html%23%3A~%3Atext%3DIt%2520has%2520two%2520loading%2520arms%2Cpressure%2520licensed%2520by%2520Lurgi%2520Germany.&amp;rlz=1C1CHWA_enIN973IN973&amp;oq=cache%3Ahttps%3A%2F%2Fkaltimmethanol.com%2Fhistory.html%23%3A~%3Atext%3DIt%2520has%2520two%2520loading%2520arms%2Cpressure%2520licensed%2520by%2520Lurgi%2520Germany.&amp;aqs=chrome..69i57j69i58.2192j0j4&amp;sourceid=chrome&amp;ie=UTF-8
Reply:
    https://kaltimmethanol.com/manufacturing.html</t>
      </text>
    </comment>
    <comment ref="D93" authorId="70" shapeId="0" xr:uid="{B987BCB9-238E-4D87-9E30-852A06BE99AC}">
      <text>
        <t>[Threaded comment]
Your version of Excel allows you to read this threaded comment; however, any edits to it will get removed if the file is opened in a newer version of Excel. Learn more: https://go.microsoft.com/fwlink/?linkid=870924
Comment:
    https://www.melbana.com/site/PDF/98537309-7153-4e78-9c4b-26f6c1193b56/MediaBackground#:~:text=Each%20plant%20has%20a%20production%20capacity%20of%20approximately%205%2C000%20tonnes%20per%20day.</t>
      </text>
    </comment>
    <comment ref="D94" authorId="71" shapeId="0" xr:uid="{AA3BD00F-36A9-4255-9C2B-F951240C4C8C}">
      <text>
        <t>[Threaded comment]
Your version of Excel allows you to read this threaded comment; however, any edits to it will get removed if the file is opened in a newer version of Excel. Learn more: https://go.microsoft.com/fwlink/?linkid=870924
Comment:
    https://www.methanex.com/location/new-zealand/about-methanex-nz#:~:text=Methanex%20is%20New%20Zealand's%20only,million%20tonnes%20of%20methanol%20annually.</t>
      </text>
    </comment>
    <comment ref="K94" authorId="72" shapeId="0" xr:uid="{BF2494CB-F9E3-4A28-B2F1-FB56B1EFAF54}">
      <text>
        <t>[Threaded comment]
Your version of Excel allows you to read this threaded comment; however, any edits to it will get removed if the file is opened in a newer version of Excel. Learn more: https://go.microsoft.com/fwlink/?linkid=870924
Comment:
    (one facillity, Waitara Valley, is currently idled) providing the capacity to produce up to 2.2 million tonnes of methanol annually.</t>
      </text>
    </comment>
    <comment ref="D95" authorId="73" shapeId="0" xr:uid="{F3A19994-AD61-4BE8-9531-97F4712DE000}">
      <text>
        <t>[Threaded comment]
Your version of Excel allows you to read this threaded comment; however, any edits to it will get removed if the file is opened in a newer version of Excel. Learn more: https://go.microsoft.com/fwlink/?linkid=870924
Comment:
    https://www.coogee.com.au/capabilities/manufacturing-supply/</t>
      </text>
    </comment>
  </commentList>
</comments>
</file>

<file path=xl/sharedStrings.xml><?xml version="1.0" encoding="utf-8"?>
<sst xmlns="http://schemas.openxmlformats.org/spreadsheetml/2006/main" count="1190" uniqueCount="342">
  <si>
    <t>Region</t>
  </si>
  <si>
    <t>Country</t>
  </si>
  <si>
    <t>Location</t>
  </si>
  <si>
    <t>Company</t>
  </si>
  <si>
    <t>2021E</t>
  </si>
  <si>
    <t>Q1 2022</t>
  </si>
  <si>
    <t>Q2 2022</t>
  </si>
  <si>
    <t>Q3 2022</t>
  </si>
  <si>
    <t>Q4 2022</t>
  </si>
  <si>
    <t>2022F</t>
  </si>
  <si>
    <t>2023F</t>
  </si>
  <si>
    <t>2024F</t>
  </si>
  <si>
    <t>2025F</t>
  </si>
  <si>
    <t>2026F</t>
  </si>
  <si>
    <t>2027F</t>
  </si>
  <si>
    <t>2028F</t>
  </si>
  <si>
    <t>2029F</t>
  </si>
  <si>
    <t>2030F</t>
  </si>
  <si>
    <t>Asia Pacific</t>
  </si>
  <si>
    <t>India</t>
  </si>
  <si>
    <t>Dibrugarh</t>
  </si>
  <si>
    <t>Assam Petro-Chemicals Ltd</t>
  </si>
  <si>
    <t>Bharauch</t>
  </si>
  <si>
    <t xml:space="preserve">Gujarat Narmada Valley Fertilizers and Chemicals Ltd </t>
  </si>
  <si>
    <t>Mumbai</t>
  </si>
  <si>
    <t xml:space="preserve">Rashtriya Chemicals &amp; Fertilizers  </t>
  </si>
  <si>
    <t>Raigarh</t>
  </si>
  <si>
    <t>Deepak Fertilizer &amp; Chemicals Ltd</t>
  </si>
  <si>
    <t>Vadodara</t>
  </si>
  <si>
    <t>Gujarat State Fertilizers &amp; Chemicals Ltd</t>
  </si>
  <si>
    <t>Dankuni</t>
  </si>
  <si>
    <t>Coal India Ltd</t>
  </si>
  <si>
    <t>Others</t>
  </si>
  <si>
    <t>China</t>
  </si>
  <si>
    <t>Xuwei</t>
  </si>
  <si>
    <t>Shenhua Ningxia Coal Industry Company</t>
  </si>
  <si>
    <t>Hami</t>
  </si>
  <si>
    <t>Datang Inner Mongolia Duolun Coal Chemical Company</t>
  </si>
  <si>
    <t>Mongolia</t>
  </si>
  <si>
    <t>Jiangsu Sierbang PC Co Ltd</t>
  </si>
  <si>
    <t>Hongtong</t>
  </si>
  <si>
    <t>Hami Hengyou Energy Chemical Tech Co Ltd</t>
  </si>
  <si>
    <t>Inner Mongolia Ruizhi Modern Coal Chemical Tech Co Ltd</t>
  </si>
  <si>
    <t>Ningxia</t>
  </si>
  <si>
    <t>Shanxi Coking Coal Group</t>
  </si>
  <si>
    <t>Xilingol</t>
  </si>
  <si>
    <t>China Coal Ordos</t>
  </si>
  <si>
    <t>Jiutai Energy Inner Mongolia Co., Ltd.</t>
  </si>
  <si>
    <t>Yankunf</t>
  </si>
  <si>
    <t>Yankuang Group Company Limited</t>
  </si>
  <si>
    <t>Sinopec</t>
  </si>
  <si>
    <t>China BlueChemical Ltd.</t>
  </si>
  <si>
    <t>State Power Investment Corporation</t>
  </si>
  <si>
    <t>Ordos Jinchengtai Chemical Co., Ltd.</t>
  </si>
  <si>
    <t>Jining</t>
  </si>
  <si>
    <t>China National Coal Group</t>
  </si>
  <si>
    <t>Shihezi</t>
  </si>
  <si>
    <t>Datang International Kttengtengqi Coal To Natural Gas Co., Ltd</t>
  </si>
  <si>
    <t>Huainan</t>
  </si>
  <si>
    <t>Inner Mongolia Ural Mountain Chemical Fertilizer Co Ltd</t>
  </si>
  <si>
    <t>Japan</t>
  </si>
  <si>
    <t>South Korea</t>
  </si>
  <si>
    <t>Taiwan</t>
  </si>
  <si>
    <t>Total</t>
  </si>
  <si>
    <t>Malaysia</t>
  </si>
  <si>
    <t>Kaula Lampur</t>
  </si>
  <si>
    <t>PETRONAS Chemicals Group Berhad</t>
  </si>
  <si>
    <t>Indonesia</t>
  </si>
  <si>
    <t>Jakarta</t>
  </si>
  <si>
    <t>PT Kaltim Methanol Industry</t>
  </si>
  <si>
    <t>Australia</t>
  </si>
  <si>
    <t>Melbourne</t>
  </si>
  <si>
    <t>Methanol Australia Limited</t>
  </si>
  <si>
    <t>New Zealand</t>
  </si>
  <si>
    <t>Methanex Corporation</t>
  </si>
  <si>
    <t>Laverton, Victoria</t>
  </si>
  <si>
    <t>Coogee</t>
  </si>
  <si>
    <t>Europe</t>
  </si>
  <si>
    <t>Germany</t>
  </si>
  <si>
    <t>Ludwigshafen</t>
  </si>
  <si>
    <t>BASF</t>
  </si>
  <si>
    <t>Gelsenkirchen</t>
  </si>
  <si>
    <t>BP Refining &amp; Petrochemicals</t>
  </si>
  <si>
    <t xml:space="preserve">Leuna </t>
  </si>
  <si>
    <t>MSK</t>
  </si>
  <si>
    <t>Wesseling</t>
  </si>
  <si>
    <t>Russia</t>
  </si>
  <si>
    <t>PJSC Metafrax</t>
  </si>
  <si>
    <t>Nevinnomyssk</t>
  </si>
  <si>
    <t>Mider-Helm Methanol</t>
  </si>
  <si>
    <t>Shchekino</t>
  </si>
  <si>
    <t>Nevinnomyssk Azot</t>
  </si>
  <si>
    <t>Gubakha</t>
  </si>
  <si>
    <t>Shell &amp; DEA Oil</t>
  </si>
  <si>
    <t>Tomsk</t>
  </si>
  <si>
    <t>Togliatti Azot</t>
  </si>
  <si>
    <t>Tomskneftekhim</t>
  </si>
  <si>
    <t>Spain</t>
  </si>
  <si>
    <t>Madrid</t>
  </si>
  <si>
    <t>Repsol YPF</t>
  </si>
  <si>
    <t>North America</t>
  </si>
  <si>
    <t>USA</t>
  </si>
  <si>
    <t>Texas</t>
  </si>
  <si>
    <t>West Virginia</t>
  </si>
  <si>
    <t>US Methanol</t>
  </si>
  <si>
    <t>Geismer</t>
  </si>
  <si>
    <t>LyondellBasell Industries BV</t>
  </si>
  <si>
    <t>Tennessee</t>
  </si>
  <si>
    <t>Eastman Chemical</t>
  </si>
  <si>
    <t>Louisiana</t>
  </si>
  <si>
    <t>Yuhuang Chemical Industries Inc.</t>
  </si>
  <si>
    <t>Canada</t>
  </si>
  <si>
    <t>Alberta</t>
  </si>
  <si>
    <t>Nauticol Energy</t>
  </si>
  <si>
    <t>MEA</t>
  </si>
  <si>
    <t>Saudi Arabia</t>
  </si>
  <si>
    <t>Al-Jubail</t>
  </si>
  <si>
    <t>Saudi Arabia Basic Industries Corporation (SABIC)</t>
  </si>
  <si>
    <t>Riyadh</t>
  </si>
  <si>
    <t>Sipchem</t>
  </si>
  <si>
    <t>Mitsubishi Gas Chemical</t>
  </si>
  <si>
    <t>Gulf Petrochemical Industries Company</t>
  </si>
  <si>
    <t>UAE</t>
  </si>
  <si>
    <t>South Africa</t>
  </si>
  <si>
    <t>Equatorial Guinea</t>
  </si>
  <si>
    <t>Atlantic Methanol</t>
  </si>
  <si>
    <t>South America</t>
  </si>
  <si>
    <t>Brazil</t>
  </si>
  <si>
    <t>Global</t>
  </si>
  <si>
    <t>https://coal.gov.in/sites/default/files/ncgm/pmicg-jp.pdf</t>
  </si>
  <si>
    <t>india</t>
  </si>
  <si>
    <t>https://vikaspedia.in/energy/energy-basics/methanol-economy-in-india#:~:text=India%20has%20an%20installed%20Methanol%20Production%20capacity%20of%202%20MT%20per%20annum.</t>
  </si>
  <si>
    <t>here are 5 main producers of methanol in India – Gujarat Narmada Valley Fertilizer &amp; Chemicals limited, Deepak Fertilizers, Rashtriya Chemicals and Fertilizers, Assam Petrochemicals and National Fertilizers Limited.</t>
  </si>
  <si>
    <t>https://www.argusmedia.com/-/media/Files/sample-reports/20220729methanol.ashx?la=en&amp;hash=FDAA09E0CEEF4BC55B2AE401739F258E4C56AB97</t>
  </si>
  <si>
    <t>CAPACITY</t>
  </si>
  <si>
    <t>Egypt</t>
  </si>
  <si>
    <t>Chile</t>
  </si>
  <si>
    <t>Trinidad</t>
  </si>
  <si>
    <t>&lt;ethanex trinidad and chile plant idled due to shortage of natural gas supply</t>
  </si>
  <si>
    <t>Methanol Holdings (Trinidad) Limited (MHTL)</t>
  </si>
  <si>
    <t>CGCL/Mitsubishi</t>
  </si>
  <si>
    <t xml:space="preserve"> Damietta, Egypt</t>
  </si>
  <si>
    <t>Pemex</t>
  </si>
  <si>
    <t>Texmulcan, Mexico</t>
  </si>
  <si>
    <t>Beaumont, Texas</t>
  </si>
  <si>
    <t>Natgasoline LLC</t>
  </si>
  <si>
    <t>Fairway LLC</t>
  </si>
  <si>
    <t xml:space="preserve">Pampa Fuels LLC  </t>
  </si>
  <si>
    <t>Pampa, Texas</t>
  </si>
  <si>
    <t>Praxair</t>
  </si>
  <si>
    <t>Geismar, LA</t>
  </si>
  <si>
    <t>Koch Methanol One</t>
  </si>
  <si>
    <t>YPF</t>
  </si>
  <si>
    <t>Argentina</t>
  </si>
  <si>
    <t>Metor</t>
  </si>
  <si>
    <t>Venezuela</t>
  </si>
  <si>
    <t>Supermetanol</t>
  </si>
  <si>
    <t>OCI Beaumont</t>
  </si>
  <si>
    <t>BioMCN (The Netherlands)</t>
  </si>
  <si>
    <t>Netherland</t>
  </si>
  <si>
    <t>Equinor</t>
  </si>
  <si>
    <t>Norway</t>
  </si>
  <si>
    <t>UCC Shchekino Azot</t>
  </si>
  <si>
    <t>SOCAR</t>
  </si>
  <si>
    <t>Azerbaijan</t>
  </si>
  <si>
    <t>Iran</t>
  </si>
  <si>
    <t>Brunei</t>
  </si>
  <si>
    <t>Asia</t>
  </si>
  <si>
    <t>NPC-Kharg Island</t>
  </si>
  <si>
    <t>NPC-Fanavaran</t>
  </si>
  <si>
    <t xml:space="preserve">NPC-Zagros </t>
  </si>
  <si>
    <t>QAFAC</t>
  </si>
  <si>
    <t>Qatar</t>
  </si>
  <si>
    <t>Chemanol</t>
  </si>
  <si>
    <t>Oman Methanol Company</t>
  </si>
  <si>
    <t xml:space="preserve">Salalah Methanol  </t>
  </si>
  <si>
    <t>Oman</t>
  </si>
  <si>
    <t>Marjan Petrochemical Company</t>
  </si>
  <si>
    <t>Sabalan Petrochemical Company</t>
  </si>
  <si>
    <t>Kaveh Methanol Petrochemical</t>
  </si>
  <si>
    <t>Khark Petrochemical (Shakhark)</t>
  </si>
  <si>
    <t>Bushehr Petrochemical Complex</t>
  </si>
  <si>
    <t>Shiraz Petrochemical Complex</t>
  </si>
  <si>
    <t>Kimia Pars Middle East Company</t>
  </si>
  <si>
    <t>Apadana Petrochemical Persian Gulf</t>
  </si>
  <si>
    <t xml:space="preserve">Kaltim      </t>
  </si>
  <si>
    <t>Waitara</t>
  </si>
  <si>
    <t>Montunui</t>
  </si>
  <si>
    <t>Louisiana, USA</t>
  </si>
  <si>
    <t>Geismar, USA</t>
  </si>
  <si>
    <t>Texas, USA</t>
  </si>
  <si>
    <t>Alberta, Canada</t>
  </si>
  <si>
    <t>Tennessee, USA</t>
  </si>
  <si>
    <t>West Virginia, USA</t>
  </si>
  <si>
    <t>Chile, South America</t>
  </si>
  <si>
    <t>Trinidad, South America</t>
  </si>
  <si>
    <t>Argetina, South America</t>
  </si>
  <si>
    <t>Venezuela, South America</t>
  </si>
  <si>
    <t>Ludwigshafen, Germany</t>
  </si>
  <si>
    <t>Gelsenkirchen, Germany</t>
  </si>
  <si>
    <t>Leuna, Germany</t>
  </si>
  <si>
    <t>Wesseling, Germany</t>
  </si>
  <si>
    <t>Gubakha, Russia</t>
  </si>
  <si>
    <t>Nevinnomyssk, Russia</t>
  </si>
  <si>
    <t>Shchekino, Russia</t>
  </si>
  <si>
    <t>Tomsk, Russia</t>
  </si>
  <si>
    <t>Tomsk,Russia</t>
  </si>
  <si>
    <t>Madrid,Spain</t>
  </si>
  <si>
    <t>Chemical Park Delfzijl, The Netherlands</t>
  </si>
  <si>
    <t>Tjeldbergodde, Norway</t>
  </si>
  <si>
    <t>Lokbatan, Azerbaijan</t>
  </si>
  <si>
    <t>Al-Jubail, Saudi Arabia</t>
  </si>
  <si>
    <t>Riyadh, Saudi Arabia</t>
  </si>
  <si>
    <t>Equatorial Guinea, South Africa</t>
  </si>
  <si>
    <t>Tehran, Iran</t>
  </si>
  <si>
    <t>Assaluyeh, Iran</t>
  </si>
  <si>
    <t>Khuzestan Province, Iran'</t>
  </si>
  <si>
    <t>Kharg, Iran</t>
  </si>
  <si>
    <t>Fars Province, Iran</t>
  </si>
  <si>
    <t>oha, Qatar</t>
  </si>
  <si>
    <t>Liwa, Oman</t>
  </si>
  <si>
    <t>Raysut, Oman</t>
  </si>
  <si>
    <t>Khark, Iram</t>
  </si>
  <si>
    <t>Dibrugarh, Assam</t>
  </si>
  <si>
    <t>Bharauch, Gujarat</t>
  </si>
  <si>
    <t>Raigarh, Chattisgarh</t>
  </si>
  <si>
    <t>Vadodara, Gujarat</t>
  </si>
  <si>
    <t>Trombay, Mumbai</t>
  </si>
  <si>
    <t>Exported quantity</t>
  </si>
  <si>
    <t>Exported value in 2015</t>
  </si>
  <si>
    <t>Exported value in 2016</t>
  </si>
  <si>
    <t>Exported value in 2017</t>
  </si>
  <si>
    <t>Exported value in 2018</t>
  </si>
  <si>
    <t>Exported value in 2019</t>
  </si>
  <si>
    <t>Exported value in 2020</t>
  </si>
  <si>
    <t>Exported value in 2021</t>
  </si>
  <si>
    <t>Iran, Islamic Republic of</t>
  </si>
  <si>
    <t>United States of America</t>
  </si>
  <si>
    <t>Netherlands</t>
  </si>
  <si>
    <t>Russian Federation</t>
  </si>
  <si>
    <t>Brunei Darussalam</t>
  </si>
  <si>
    <t>Imported value in 2015</t>
  </si>
  <si>
    <t>Imported value in 2016</t>
  </si>
  <si>
    <t>Imported value in 2017</t>
  </si>
  <si>
    <t>Imported value in 2018</t>
  </si>
  <si>
    <t>Imported value in 2019</t>
  </si>
  <si>
    <t>Imported value in 2020</t>
  </si>
  <si>
    <t>Imported value in 2021</t>
  </si>
  <si>
    <t>Imported quantity</t>
  </si>
  <si>
    <t>Korea, Republic of</t>
  </si>
  <si>
    <t>Taipei, Chinese</t>
  </si>
  <si>
    <t>Belgium</t>
  </si>
  <si>
    <t>IMPORTERS</t>
  </si>
  <si>
    <t>value</t>
  </si>
  <si>
    <t>volume</t>
  </si>
  <si>
    <t>EXPORTERS</t>
  </si>
  <si>
    <t>World</t>
  </si>
  <si>
    <t xml:space="preserve">Brunei </t>
  </si>
  <si>
    <t>Iram</t>
  </si>
  <si>
    <t>Demand supply trade</t>
  </si>
  <si>
    <t>https://www.irena.org/-/media/Files/IRENA/Agency/Publication/2021/Jan/IRENA_Innovation_Renewable_Methanol_2021.pdf</t>
  </si>
  <si>
    <t>Abu Dhabi National Oil Company (ADNOC)</t>
  </si>
  <si>
    <t>Abu Dhabi, UAE</t>
  </si>
  <si>
    <t>Anhui Haoyuan Chemical Group Co., Ltd</t>
  </si>
  <si>
    <t>Ningxia Baofeng Energy Group</t>
  </si>
  <si>
    <t>Shaanxi Shenmu Chemical Industry Co. Ltd</t>
  </si>
  <si>
    <t>Shangdong Hualu Hengsheng Group Co., Ltd</t>
  </si>
  <si>
    <t>Zhongyuan Fertilizer Group Corp.</t>
  </si>
  <si>
    <t>Yongcheng Coal - electricity Group</t>
  </si>
  <si>
    <t>Henan Kaixiang Electric Power Industry Co., Ltd.</t>
  </si>
  <si>
    <t>Shenhua Group</t>
  </si>
  <si>
    <t>Sinopec Zhongyuan Petroleum</t>
  </si>
  <si>
    <t>Fund Energy</t>
  </si>
  <si>
    <t>Xuwei, China</t>
  </si>
  <si>
    <t>Hongtong, China</t>
  </si>
  <si>
    <t>Ningxia, China</t>
  </si>
  <si>
    <t>Xilingol, China</t>
  </si>
  <si>
    <t>Ordos City, China</t>
  </si>
  <si>
    <t>Yankunf, China</t>
  </si>
  <si>
    <t>Hainan , China</t>
  </si>
  <si>
    <t>Mongolia, China</t>
  </si>
  <si>
    <t>Ordos, China</t>
  </si>
  <si>
    <t>Shihezi, China</t>
  </si>
  <si>
    <t>Yingdong, China</t>
  </si>
  <si>
    <t>Shenmu, China</t>
  </si>
  <si>
    <t>Dezhou, China</t>
  </si>
  <si>
    <t>Henan, China</t>
  </si>
  <si>
    <t>Baotou, China</t>
  </si>
  <si>
    <t>Puyang, China</t>
  </si>
  <si>
    <t>Ningbo, China</t>
  </si>
  <si>
    <t>Rest of Global</t>
  </si>
  <si>
    <t>Yinchuan, China</t>
  </si>
  <si>
    <t>Shanxi, China</t>
  </si>
  <si>
    <t>2031F</t>
  </si>
  <si>
    <t>2032F</t>
  </si>
  <si>
    <t>OCI</t>
  </si>
  <si>
    <t>2022E</t>
  </si>
  <si>
    <t>ASP</t>
  </si>
  <si>
    <t>Value Market</t>
  </si>
  <si>
    <t>Global Methanol Capacity</t>
  </si>
  <si>
    <t>Global Methanol Production</t>
  </si>
  <si>
    <t>Global Methanol Imports</t>
  </si>
  <si>
    <t>Global Methanol Exports</t>
  </si>
  <si>
    <t>Global Methanol Inventory</t>
  </si>
  <si>
    <t xml:space="preserve"> Global Methanol Demand</t>
  </si>
  <si>
    <t>Global Methanol Demand (Y-O-Y Growth)</t>
  </si>
  <si>
    <t>Global Methanol Demand-Supply gap</t>
  </si>
  <si>
    <t>Formaldehyde</t>
  </si>
  <si>
    <t>Demand by End Use (%)</t>
  </si>
  <si>
    <t>2019E</t>
  </si>
  <si>
    <t>2020F</t>
  </si>
  <si>
    <t>2021F</t>
  </si>
  <si>
    <t>MTO</t>
  </si>
  <si>
    <t>MTBE</t>
  </si>
  <si>
    <t>Gasoline Blending</t>
  </si>
  <si>
    <t>VALUE MARKET</t>
  </si>
  <si>
    <t>Demand by End Use</t>
  </si>
  <si>
    <t>APAC</t>
  </si>
  <si>
    <t>Demand By Region</t>
  </si>
  <si>
    <t>2032f</t>
  </si>
  <si>
    <t>value market</t>
  </si>
  <si>
    <t>Direct</t>
  </si>
  <si>
    <t>Indirect</t>
  </si>
  <si>
    <t>Value market</t>
  </si>
  <si>
    <t>Demand Volume Share (%)</t>
  </si>
  <si>
    <t>2021 Value</t>
  </si>
  <si>
    <t>2022 Value</t>
  </si>
  <si>
    <t>Q1</t>
  </si>
  <si>
    <t>Q2</t>
  </si>
  <si>
    <t>Q3</t>
  </si>
  <si>
    <t>Q4</t>
  </si>
  <si>
    <t>ASP in MT</t>
  </si>
  <si>
    <t>ASP in Kg</t>
  </si>
  <si>
    <t>Kaula Lampur, Malaysia</t>
  </si>
  <si>
    <t>Jakarta, Indonesi</t>
  </si>
  <si>
    <t>Melbourne, Australia</t>
  </si>
  <si>
    <t>Montunui, New Zealand</t>
  </si>
  <si>
    <t>New Zealnad</t>
  </si>
  <si>
    <t>Mexico</t>
  </si>
  <si>
    <t>NA</t>
  </si>
  <si>
    <t>SA</t>
  </si>
  <si>
    <t>Eu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</si>
</sst>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sz val="11"/>
      <color theme="1"/>
      <name val="Calibri"/>
      <family val="2"/>
      <scheme val="minor"/>
    </font>
    <font>
      <b/>
      <sz val="11"/>
      <color theme="1"/>
      <name val="Calibri"/>
      <family val="2"/>
      <scheme val="minor"/>
    </font>
    <font>
      <b/>
      <sz val="15"/>
      <color indexed="56"/>
      <name val="Calibri"/>
      <family val="2"/>
    </font>
    <font>
      <b/>
      <sz val="10"/>
      <color theme="1"/>
      <name val="Arial"/>
      <family val="2"/>
    </font>
    <font>
      <sz val="10"/>
      <name val="Arial"/>
      <family val="2"/>
    </font>
    <font>
      <sz val="10"/>
      <color theme="1"/>
      <name val="Arial"/>
      <family val="2"/>
    </font>
    <font>
      <sz val="10"/>
      <color theme="1"/>
      <name val="Verdana"/>
      <family val="2"/>
    </font>
    <font>
      <sz val="11"/>
      <color rgb="FF333333"/>
      <name val="Roboto"/>
    </font>
    <font>
      <b/>
      <sz val="8"/>
      <color rgb="FFFFFFFF"/>
      <name val="Calibri"/>
      <family val="2"/>
      <scheme val="minor"/>
    </font>
    <font>
      <sz val="8"/>
      <color rgb="FF002B54"/>
      <name val="Calibri"/>
      <family val="2"/>
      <scheme val="minor"/>
    </font>
    <font>
      <sz val="8"/>
      <color rgb="FF008000"/>
      <name val="Calibri"/>
      <family val="2"/>
      <scheme val="minor"/>
    </font>
    <font>
      <sz val="8"/>
      <color rgb="FFDAA520"/>
      <name val="Calibri"/>
      <family val="2"/>
      <scheme val="minor"/>
    </font>
    <font>
      <sz val="8"/>
      <color rgb="FF3CB371"/>
      <name val="Calibri"/>
      <family val="2"/>
      <scheme val="minor"/>
    </font>
    <font>
      <sz val="8"/>
      <color rgb="FF8A2BE2"/>
      <name val="Calibri"/>
      <family val="2"/>
      <scheme val="minor"/>
    </font>
    <font>
      <u/>
      <sz val="11"/>
      <color theme="10"/>
      <name val="Calibri"/>
      <family val="2"/>
      <scheme val="minor"/>
    </font>
    <font>
      <sz val="12"/>
      <color theme="1"/>
      <name val="Calibri"/>
      <family val="2"/>
      <scheme val="minor"/>
    </font>
    <font>
      <sz val="11"/>
      <name val="Calibri"/>
      <family val="2"/>
      <scheme val="minor"/>
    </font>
    <font>
      <sz val="10"/>
      <name val="Verdana"/>
      <family val="2"/>
    </font>
    <font>
      <sz val="11"/>
      <color theme="1"/>
      <name val="Arial"/>
      <family val="2"/>
    </font>
  </fonts>
  <fills count="17">
    <fill>
      <patternFill patternType="none"/>
    </fill>
    <fill>
      <patternFill patternType="gray125"/>
    </fill>
    <fill>
      <patternFill patternType="solid">
        <fgColor theme="9" tint="0.39997558519241921"/>
        <bgColor indexed="64"/>
      </patternFill>
    </fill>
    <fill>
      <patternFill patternType="solid">
        <fgColor theme="8" tint="0.39997558519241921"/>
        <bgColor indexed="64"/>
      </patternFill>
    </fill>
    <fill>
      <patternFill patternType="solid">
        <fgColor rgb="FFFFFF00"/>
        <bgColor indexed="64"/>
      </patternFill>
    </fill>
    <fill>
      <patternFill patternType="solid">
        <fgColor theme="0"/>
        <bgColor indexed="64"/>
      </patternFill>
    </fill>
    <fill>
      <patternFill patternType="solid">
        <fgColor theme="2" tint="-0.249977111117893"/>
        <bgColor indexed="64"/>
      </patternFill>
    </fill>
    <fill>
      <patternFill patternType="solid">
        <fgColor rgb="FF5D7B9D"/>
        <bgColor indexed="64"/>
      </patternFill>
    </fill>
    <fill>
      <patternFill patternType="solid">
        <fgColor rgb="FFF7F6F3"/>
        <bgColor indexed="64"/>
      </patternFill>
    </fill>
    <fill>
      <patternFill patternType="solid">
        <fgColor rgb="FFFFFFFF"/>
        <bgColor indexed="64"/>
      </patternFill>
    </fill>
    <fill>
      <patternFill patternType="solid">
        <fgColor theme="5" tint="0.79998168889431442"/>
        <bgColor indexed="64"/>
      </patternFill>
    </fill>
    <fill>
      <patternFill patternType="solid">
        <fgColor theme="2"/>
        <bgColor indexed="64"/>
      </patternFill>
    </fill>
    <fill>
      <patternFill patternType="solid">
        <fgColor theme="9"/>
        <bgColor indexed="64"/>
      </patternFill>
    </fill>
    <fill>
      <patternFill patternType="solid">
        <fgColor theme="7" tint="0.79998168889431442"/>
        <bgColor indexed="64"/>
      </patternFill>
    </fill>
    <fill>
      <patternFill patternType="solid">
        <fgColor theme="4" tint="0.59999389629810485"/>
        <bgColor indexed="64"/>
      </patternFill>
    </fill>
    <fill>
      <patternFill patternType="solid">
        <fgColor rgb="FF92D050"/>
        <bgColor indexed="64"/>
      </patternFill>
    </fill>
    <fill>
      <patternFill patternType="solid">
        <fgColor theme="7" tint="-0.249977111117893"/>
        <bgColor indexed="64"/>
      </patternFill>
    </fill>
  </fills>
  <borders count="17">
    <border>
      <left/>
      <right/>
      <top/>
      <bottom/>
      <diagonal/>
    </border>
    <border>
      <left/>
      <right/>
      <top/>
      <bottom style="thick">
        <color indexed="62"/>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rgb="FF000000"/>
      </left>
      <right/>
      <top style="thin">
        <color rgb="FF002B54"/>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2B54"/>
      </top>
      <bottom style="thin">
        <color rgb="FF000000"/>
      </bottom>
      <diagonal/>
    </border>
    <border>
      <left style="thin">
        <color rgb="FF000000"/>
      </left>
      <right style="thin">
        <color rgb="FF002B54"/>
      </right>
      <top style="thin">
        <color rgb="FF002B54"/>
      </top>
      <bottom style="thin">
        <color rgb="FF000000"/>
      </bottom>
      <diagonal/>
    </border>
    <border>
      <left style="thin">
        <color rgb="FF002B54"/>
      </left>
      <right style="thin">
        <color rgb="FF000000"/>
      </right>
      <top style="thin">
        <color rgb="FF000000"/>
      </top>
      <bottom style="thin">
        <color rgb="FF000000"/>
      </bottom>
      <diagonal/>
    </border>
    <border>
      <left style="thin">
        <color rgb="FF000000"/>
      </left>
      <right style="thin">
        <color rgb="FF002B54"/>
      </right>
      <top style="thin">
        <color rgb="FF000000"/>
      </top>
      <bottom style="thin">
        <color rgb="FF000000"/>
      </bottom>
      <diagonal/>
    </border>
    <border>
      <left style="thin">
        <color rgb="FF002B54"/>
      </left>
      <right style="thin">
        <color rgb="FF002B54"/>
      </right>
      <top style="thin">
        <color rgb="FF002B54"/>
      </top>
      <bottom style="thin">
        <color rgb="FF002B54"/>
      </bottom>
      <diagonal/>
    </border>
    <border>
      <left style="thin">
        <color rgb="FF000000"/>
      </left>
      <right/>
      <top style="thin">
        <color rgb="FF002B54"/>
      </top>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s>
  <cellStyleXfs count="5">
    <xf numFmtId="0" fontId="0" fillId="0" borderId="0"/>
    <xf numFmtId="9" fontId="1" fillId="0" borderId="0" applyFont="0" applyFill="0" applyBorder="0" applyAlignment="0" applyProtection="0"/>
    <xf numFmtId="0" fontId="3" fillId="0" borderId="1" applyNumberFormat="0" applyFill="0" applyAlignment="0" applyProtection="0"/>
    <xf numFmtId="0" fontId="5" fillId="0" borderId="0"/>
    <xf numFmtId="0" fontId="15" fillId="0" borderId="0" applyNumberFormat="0" applyFill="0" applyBorder="0" applyAlignment="0" applyProtection="0"/>
  </cellStyleXfs>
  <cellXfs count="142">
    <xf numFmtId="0" fontId="0" fillId="0" borderId="0" xfId="0"/>
    <xf numFmtId="0" fontId="4" fillId="2" borderId="2" xfId="2" applyFont="1" applyFill="1" applyBorder="1" applyAlignment="1" applyProtection="1">
      <alignment horizontal="center" vertical="center"/>
      <protection locked="0"/>
    </xf>
    <xf numFmtId="0" fontId="4" fillId="2" borderId="2" xfId="3" applyFont="1" applyFill="1" applyBorder="1" applyAlignment="1" applyProtection="1">
      <alignment horizontal="center"/>
      <protection locked="0"/>
    </xf>
    <xf numFmtId="0" fontId="4" fillId="2" borderId="2" xfId="0" applyFont="1" applyFill="1" applyBorder="1" applyAlignment="1">
      <alignment horizontal="center"/>
    </xf>
    <xf numFmtId="0" fontId="6" fillId="0" borderId="2" xfId="0" applyFont="1" applyBorder="1"/>
    <xf numFmtId="0" fontId="6" fillId="0" borderId="3" xfId="0" applyFont="1" applyBorder="1" applyAlignment="1">
      <alignment horizontal="left"/>
    </xf>
    <xf numFmtId="0" fontId="6" fillId="0" borderId="2" xfId="0" applyFont="1" applyBorder="1" applyAlignment="1">
      <alignment horizontal="left"/>
    </xf>
    <xf numFmtId="1" fontId="6" fillId="0" borderId="2" xfId="0" applyNumberFormat="1" applyFont="1" applyBorder="1" applyAlignment="1">
      <alignment horizontal="center"/>
    </xf>
    <xf numFmtId="2" fontId="7" fillId="3" borderId="2" xfId="0" applyNumberFormat="1" applyFont="1" applyFill="1" applyBorder="1" applyAlignment="1">
      <alignment horizontal="center" vertical="center"/>
    </xf>
    <xf numFmtId="0" fontId="6" fillId="0" borderId="4" xfId="0" applyFont="1" applyBorder="1" applyAlignment="1">
      <alignment horizontal="left"/>
    </xf>
    <xf numFmtId="0" fontId="6" fillId="0" borderId="5" xfId="0" applyFont="1" applyBorder="1" applyAlignment="1">
      <alignment horizontal="left"/>
    </xf>
    <xf numFmtId="0" fontId="6" fillId="0" borderId="5" xfId="0" applyFont="1" applyBorder="1" applyAlignment="1">
      <alignment horizontal="center"/>
    </xf>
    <xf numFmtId="0" fontId="6" fillId="0" borderId="2" xfId="0" applyFont="1" applyBorder="1" applyAlignment="1">
      <alignment horizontal="center"/>
    </xf>
    <xf numFmtId="0" fontId="6" fillId="0" borderId="6" xfId="0" applyFont="1" applyBorder="1"/>
    <xf numFmtId="0" fontId="5" fillId="0" borderId="2" xfId="0" applyFont="1" applyBorder="1" applyAlignment="1">
      <alignment horizontal="center"/>
    </xf>
    <xf numFmtId="0" fontId="4" fillId="4" borderId="2" xfId="0" applyFont="1" applyFill="1" applyBorder="1" applyAlignment="1">
      <alignment horizontal="center"/>
    </xf>
    <xf numFmtId="0" fontId="0" fillId="5" borderId="0" xfId="0" applyFill="1"/>
    <xf numFmtId="0" fontId="0" fillId="5" borderId="0" xfId="0" applyFill="1" applyAlignment="1">
      <alignment horizontal="center"/>
    </xf>
    <xf numFmtId="9" fontId="0" fillId="0" borderId="0" xfId="1" applyFont="1"/>
    <xf numFmtId="10" fontId="0" fillId="0" borderId="0" xfId="1" applyNumberFormat="1" applyFont="1"/>
    <xf numFmtId="0" fontId="6" fillId="4" borderId="2" xfId="0" applyFont="1" applyFill="1" applyBorder="1"/>
    <xf numFmtId="17" fontId="0" fillId="0" borderId="0" xfId="0" applyNumberFormat="1"/>
    <xf numFmtId="0" fontId="0" fillId="0" borderId="2" xfId="0" applyBorder="1" applyAlignment="1">
      <alignment horizontal="center"/>
    </xf>
    <xf numFmtId="0" fontId="6" fillId="6" borderId="2" xfId="0" applyFont="1" applyFill="1" applyBorder="1" applyAlignment="1">
      <alignment horizontal="left"/>
    </xf>
    <xf numFmtId="0" fontId="6" fillId="6" borderId="5" xfId="0" applyFont="1" applyFill="1" applyBorder="1" applyAlignment="1">
      <alignment horizontal="left"/>
    </xf>
    <xf numFmtId="0" fontId="8" fillId="0" borderId="0" xfId="0" applyFont="1"/>
    <xf numFmtId="0" fontId="6" fillId="0" borderId="0" xfId="0" applyFont="1"/>
    <xf numFmtId="2" fontId="6" fillId="0" borderId="2" xfId="1" applyNumberFormat="1" applyFont="1" applyBorder="1" applyAlignment="1">
      <alignment horizontal="center"/>
    </xf>
    <xf numFmtId="0" fontId="9" fillId="7" borderId="7" xfId="0" applyFont="1" applyFill="1" applyBorder="1" applyAlignment="1">
      <alignment horizontal="center" wrapText="1"/>
    </xf>
    <xf numFmtId="0" fontId="9" fillId="7" borderId="8" xfId="0" applyFont="1" applyFill="1" applyBorder="1" applyAlignment="1">
      <alignment horizontal="center" vertical="center" wrapText="1"/>
    </xf>
    <xf numFmtId="0" fontId="9" fillId="7" borderId="9" xfId="0" applyFont="1" applyFill="1" applyBorder="1" applyAlignment="1">
      <alignment horizontal="center" vertical="center" wrapText="1"/>
    </xf>
    <xf numFmtId="0" fontId="9" fillId="7" borderId="10" xfId="0" applyFont="1" applyFill="1" applyBorder="1" applyAlignment="1">
      <alignment horizontal="center" vertical="center" wrapText="1"/>
    </xf>
    <xf numFmtId="0" fontId="10" fillId="8" borderId="11" xfId="0" applyFont="1" applyFill="1" applyBorder="1" applyAlignment="1">
      <alignment horizontal="left" wrapText="1"/>
    </xf>
    <xf numFmtId="0" fontId="10" fillId="8" borderId="8" xfId="0" applyFont="1" applyFill="1" applyBorder="1" applyAlignment="1">
      <alignment horizontal="right" wrapText="1"/>
    </xf>
    <xf numFmtId="0" fontId="10" fillId="9" borderId="8" xfId="0" applyFont="1" applyFill="1" applyBorder="1" applyAlignment="1">
      <alignment horizontal="right" wrapText="1"/>
    </xf>
    <xf numFmtId="0" fontId="10" fillId="9" borderId="12" xfId="0" applyFont="1" applyFill="1" applyBorder="1" applyAlignment="1">
      <alignment horizontal="right" wrapText="1"/>
    </xf>
    <xf numFmtId="0" fontId="10" fillId="9" borderId="11" xfId="0" applyFont="1" applyFill="1" applyBorder="1" applyAlignment="1">
      <alignment horizontal="left" wrapText="1"/>
    </xf>
    <xf numFmtId="0" fontId="11" fillId="9" borderId="8" xfId="0" applyFont="1" applyFill="1" applyBorder="1" applyAlignment="1">
      <alignment horizontal="right" wrapText="1"/>
    </xf>
    <xf numFmtId="0" fontId="10" fillId="8" borderId="13" xfId="0" applyFont="1" applyFill="1" applyBorder="1" applyAlignment="1">
      <alignment horizontal="right" wrapText="1"/>
    </xf>
    <xf numFmtId="0" fontId="12" fillId="9" borderId="13" xfId="0" applyFont="1" applyFill="1" applyBorder="1" applyAlignment="1">
      <alignment horizontal="right" wrapText="1"/>
    </xf>
    <xf numFmtId="0" fontId="10" fillId="8" borderId="12" xfId="0" applyFont="1" applyFill="1" applyBorder="1" applyAlignment="1">
      <alignment horizontal="right" wrapText="1"/>
    </xf>
    <xf numFmtId="0" fontId="13" fillId="8" borderId="8" xfId="0" applyFont="1" applyFill="1" applyBorder="1" applyAlignment="1">
      <alignment horizontal="right" wrapText="1"/>
    </xf>
    <xf numFmtId="0" fontId="10" fillId="9" borderId="13" xfId="0" applyFont="1" applyFill="1" applyBorder="1" applyAlignment="1">
      <alignment horizontal="right" wrapText="1"/>
    </xf>
    <xf numFmtId="0" fontId="11" fillId="9" borderId="13" xfId="0" applyFont="1" applyFill="1" applyBorder="1" applyAlignment="1">
      <alignment horizontal="right" wrapText="1"/>
    </xf>
    <xf numFmtId="0" fontId="11" fillId="8" borderId="8" xfId="0" applyFont="1" applyFill="1" applyBorder="1" applyAlignment="1">
      <alignment horizontal="right" wrapText="1"/>
    </xf>
    <xf numFmtId="0" fontId="11" fillId="8" borderId="13" xfId="0" applyFont="1" applyFill="1" applyBorder="1" applyAlignment="1">
      <alignment horizontal="right" wrapText="1"/>
    </xf>
    <xf numFmtId="0" fontId="14" fillId="8" borderId="13" xfId="0" applyFont="1" applyFill="1" applyBorder="1" applyAlignment="1">
      <alignment horizontal="right" wrapText="1"/>
    </xf>
    <xf numFmtId="0" fontId="9" fillId="7" borderId="9" xfId="0" applyFont="1" applyFill="1" applyBorder="1" applyAlignment="1">
      <alignment horizontal="center" wrapText="1"/>
    </xf>
    <xf numFmtId="0" fontId="9" fillId="7" borderId="10" xfId="0" applyFont="1" applyFill="1" applyBorder="1" applyAlignment="1">
      <alignment horizontal="center" wrapText="1"/>
    </xf>
    <xf numFmtId="0" fontId="9" fillId="7" borderId="14" xfId="0" applyFont="1" applyFill="1" applyBorder="1" applyAlignment="1">
      <alignment horizontal="center" wrapText="1"/>
    </xf>
    <xf numFmtId="0" fontId="10" fillId="9" borderId="2" xfId="0" applyFont="1" applyFill="1" applyBorder="1" applyAlignment="1">
      <alignment horizontal="center" wrapText="1"/>
    </xf>
    <xf numFmtId="0" fontId="10" fillId="8" borderId="2" xfId="0" applyFont="1" applyFill="1" applyBorder="1" applyAlignment="1">
      <alignment horizontal="center" wrapText="1"/>
    </xf>
    <xf numFmtId="0" fontId="2" fillId="0" borderId="2" xfId="0" applyFont="1" applyBorder="1" applyAlignment="1">
      <alignment horizontal="center"/>
    </xf>
    <xf numFmtId="0" fontId="15" fillId="0" borderId="0" xfId="4"/>
    <xf numFmtId="0" fontId="16" fillId="5" borderId="2" xfId="0" applyFont="1" applyFill="1" applyBorder="1" applyAlignment="1">
      <alignment horizontal="center" vertical="center" wrapText="1"/>
    </xf>
    <xf numFmtId="2" fontId="0" fillId="0" borderId="0" xfId="1" applyNumberFormat="1" applyFont="1"/>
    <xf numFmtId="0" fontId="17" fillId="2" borderId="2" xfId="0" applyFont="1" applyFill="1" applyBorder="1" applyAlignment="1">
      <alignment horizontal="center"/>
    </xf>
    <xf numFmtId="0" fontId="0" fillId="2" borderId="2" xfId="0" applyFill="1" applyBorder="1" applyAlignment="1">
      <alignment horizontal="center"/>
    </xf>
    <xf numFmtId="9" fontId="0" fillId="0" borderId="2" xfId="1" applyFont="1" applyBorder="1" applyAlignment="1">
      <alignment horizontal="center"/>
    </xf>
    <xf numFmtId="10" fontId="0" fillId="0" borderId="2" xfId="1" applyNumberFormat="1" applyFont="1" applyBorder="1" applyAlignment="1">
      <alignment horizontal="center" vertical="center"/>
    </xf>
    <xf numFmtId="10" fontId="18" fillId="5" borderId="2" xfId="1" applyNumberFormat="1" applyFont="1" applyFill="1" applyBorder="1" applyAlignment="1">
      <alignment horizontal="right"/>
    </xf>
    <xf numFmtId="10" fontId="18" fillId="5" borderId="15" xfId="1" applyNumberFormat="1" applyFont="1" applyFill="1" applyBorder="1" applyAlignment="1">
      <alignment horizontal="right"/>
    </xf>
    <xf numFmtId="10" fontId="0" fillId="10" borderId="2" xfId="1" applyNumberFormat="1" applyFont="1" applyFill="1" applyBorder="1" applyAlignment="1">
      <alignment horizontal="center" vertical="center"/>
    </xf>
    <xf numFmtId="10" fontId="0" fillId="2" borderId="2" xfId="1" applyNumberFormat="1" applyFont="1" applyFill="1" applyBorder="1" applyAlignment="1">
      <alignment horizontal="center" vertical="center"/>
    </xf>
    <xf numFmtId="9" fontId="0" fillId="0" borderId="0" xfId="0" applyNumberFormat="1"/>
    <xf numFmtId="9" fontId="0" fillId="11" borderId="2" xfId="1" applyFont="1" applyFill="1" applyBorder="1" applyAlignment="1">
      <alignment horizontal="center"/>
    </xf>
    <xf numFmtId="0" fontId="0" fillId="12" borderId="2" xfId="0" applyFill="1" applyBorder="1" applyAlignment="1">
      <alignment wrapText="1"/>
    </xf>
    <xf numFmtId="0" fontId="2" fillId="13" borderId="2" xfId="0" applyFont="1" applyFill="1" applyBorder="1"/>
    <xf numFmtId="2" fontId="0" fillId="0" borderId="2" xfId="0" applyNumberFormat="1" applyBorder="1" applyAlignment="1">
      <alignment horizontal="center" vertical="center"/>
    </xf>
    <xf numFmtId="9" fontId="0" fillId="0" borderId="2" xfId="1" applyFont="1" applyBorder="1" applyAlignment="1">
      <alignment horizontal="center" vertical="center"/>
    </xf>
    <xf numFmtId="0" fontId="0" fillId="0" borderId="2" xfId="0" applyBorder="1" applyAlignment="1">
      <alignment horizontal="center" vertical="center"/>
    </xf>
    <xf numFmtId="2" fontId="0" fillId="14" borderId="2" xfId="0" applyNumberFormat="1" applyFill="1" applyBorder="1" applyAlignment="1">
      <alignment horizontal="center" vertical="center"/>
    </xf>
    <xf numFmtId="2" fontId="0" fillId="0" borderId="2" xfId="0" applyNumberFormat="1" applyBorder="1"/>
    <xf numFmtId="0" fontId="2" fillId="13" borderId="16" xfId="0" applyFont="1" applyFill="1" applyBorder="1"/>
    <xf numFmtId="10" fontId="0" fillId="0" borderId="16" xfId="1" applyNumberFormat="1" applyFont="1" applyBorder="1" applyAlignment="1">
      <alignment horizontal="center" vertical="center"/>
    </xf>
    <xf numFmtId="10" fontId="0" fillId="0" borderId="0" xfId="0" applyNumberFormat="1"/>
    <xf numFmtId="2" fontId="6" fillId="5" borderId="2" xfId="0" applyNumberFormat="1" applyFont="1" applyFill="1" applyBorder="1"/>
    <xf numFmtId="10" fontId="2" fillId="4" borderId="6" xfId="1" applyNumberFormat="1" applyFont="1" applyFill="1" applyBorder="1"/>
    <xf numFmtId="0" fontId="4" fillId="15" borderId="2" xfId="2" applyFont="1" applyFill="1" applyBorder="1" applyAlignment="1" applyProtection="1">
      <alignment horizontal="center" vertical="center"/>
      <protection locked="0"/>
    </xf>
    <xf numFmtId="0" fontId="4" fillId="15" borderId="2" xfId="2" applyNumberFormat="1" applyFont="1" applyFill="1" applyBorder="1" applyAlignment="1" applyProtection="1">
      <alignment horizontal="center" vertical="center"/>
      <protection locked="0"/>
    </xf>
    <xf numFmtId="0" fontId="4" fillId="15" borderId="2" xfId="3" applyFont="1" applyFill="1" applyBorder="1" applyAlignment="1" applyProtection="1">
      <alignment horizontal="center"/>
      <protection locked="0"/>
    </xf>
    <xf numFmtId="2" fontId="4" fillId="15" borderId="2" xfId="3" applyNumberFormat="1" applyFont="1" applyFill="1" applyBorder="1" applyAlignment="1" applyProtection="1">
      <alignment horizontal="center"/>
      <protection locked="0"/>
    </xf>
    <xf numFmtId="2" fontId="4" fillId="15" borderId="6" xfId="3" applyNumberFormat="1" applyFont="1" applyFill="1" applyBorder="1" applyAlignment="1" applyProtection="1">
      <alignment horizontal="center"/>
      <protection locked="0"/>
    </xf>
    <xf numFmtId="2" fontId="4" fillId="15" borderId="2" xfId="0" applyNumberFormat="1" applyFont="1" applyFill="1" applyBorder="1" applyAlignment="1">
      <alignment horizontal="center"/>
    </xf>
    <xf numFmtId="10" fontId="0" fillId="0" borderId="2" xfId="0" applyNumberFormat="1" applyBorder="1" applyAlignment="1">
      <alignment horizontal="center" vertical="center"/>
    </xf>
    <xf numFmtId="10" fontId="0" fillId="14" borderId="2" xfId="0" applyNumberFormat="1" applyFill="1" applyBorder="1" applyAlignment="1">
      <alignment horizontal="center" vertical="center"/>
    </xf>
    <xf numFmtId="10" fontId="0" fillId="0" borderId="2" xfId="0" applyNumberFormat="1" applyBorder="1"/>
    <xf numFmtId="10" fontId="0" fillId="0" borderId="2" xfId="0" applyNumberFormat="1" applyBorder="1" applyAlignment="1">
      <alignment vertical="center"/>
    </xf>
    <xf numFmtId="10" fontId="0" fillId="14" borderId="2" xfId="0" applyNumberFormat="1" applyFill="1" applyBorder="1" applyAlignment="1">
      <alignment vertical="center"/>
    </xf>
    <xf numFmtId="10" fontId="0" fillId="0" borderId="2" xfId="1" applyNumberFormat="1" applyFont="1" applyBorder="1" applyAlignment="1">
      <alignment vertical="center"/>
    </xf>
    <xf numFmtId="10" fontId="0" fillId="14" borderId="2" xfId="1" applyNumberFormat="1" applyFont="1" applyFill="1" applyBorder="1" applyAlignment="1">
      <alignment vertical="center"/>
    </xf>
    <xf numFmtId="10" fontId="0" fillId="0" borderId="6" xfId="1" applyNumberFormat="1" applyFont="1" applyFill="1" applyBorder="1" applyAlignment="1">
      <alignment vertical="center"/>
    </xf>
    <xf numFmtId="0" fontId="4" fillId="15" borderId="16" xfId="2" applyNumberFormat="1" applyFont="1" applyFill="1" applyBorder="1" applyAlignment="1" applyProtection="1">
      <alignment horizontal="center" vertical="center"/>
      <protection locked="0"/>
    </xf>
    <xf numFmtId="0" fontId="4" fillId="15" borderId="16" xfId="3" applyFont="1" applyFill="1" applyBorder="1" applyAlignment="1" applyProtection="1">
      <alignment horizontal="center"/>
      <protection locked="0"/>
    </xf>
    <xf numFmtId="2" fontId="4" fillId="15" borderId="16" xfId="3" applyNumberFormat="1" applyFont="1" applyFill="1" applyBorder="1" applyAlignment="1" applyProtection="1">
      <alignment horizontal="center"/>
      <protection locked="0"/>
    </xf>
    <xf numFmtId="2" fontId="4" fillId="15" borderId="16" xfId="0" applyNumberFormat="1" applyFont="1" applyFill="1" applyBorder="1" applyAlignment="1">
      <alignment horizontal="center"/>
    </xf>
    <xf numFmtId="0" fontId="0" fillId="0" borderId="2" xfId="0" applyBorder="1"/>
    <xf numFmtId="0" fontId="6" fillId="0" borderId="0" xfId="0" applyFont="1" applyAlignment="1">
      <alignment horizontal="left"/>
    </xf>
    <xf numFmtId="2" fontId="0" fillId="0" borderId="0" xfId="0" applyNumberFormat="1"/>
    <xf numFmtId="0" fontId="0" fillId="12" borderId="2" xfId="0" applyFill="1" applyBorder="1" applyAlignment="1">
      <alignment horizontal="center" vertical="center"/>
    </xf>
    <xf numFmtId="0" fontId="0" fillId="12" borderId="2" xfId="0" applyFill="1" applyBorder="1" applyAlignment="1">
      <alignment horizontal="center" vertical="center" wrapText="1"/>
    </xf>
    <xf numFmtId="0" fontId="2" fillId="0" borderId="2" xfId="0" applyFont="1" applyBorder="1" applyAlignment="1">
      <alignment horizontal="center" vertical="center"/>
    </xf>
    <xf numFmtId="10" fontId="2" fillId="0" borderId="2" xfId="1" applyNumberFormat="1" applyFont="1" applyBorder="1" applyAlignment="1">
      <alignment horizontal="center" vertical="center"/>
    </xf>
    <xf numFmtId="10" fontId="0" fillId="0" borderId="2" xfId="0" applyNumberFormat="1" applyBorder="1" applyAlignment="1">
      <alignment horizontal="center"/>
    </xf>
    <xf numFmtId="0" fontId="4" fillId="0" borderId="2" xfId="0" applyFont="1" applyBorder="1" applyAlignment="1">
      <alignment horizontal="left"/>
    </xf>
    <xf numFmtId="0" fontId="19" fillId="5" borderId="2" xfId="0" applyFont="1" applyFill="1" applyBorder="1"/>
    <xf numFmtId="10" fontId="0" fillId="5" borderId="2" xfId="0" applyNumberFormat="1" applyFill="1" applyBorder="1"/>
    <xf numFmtId="0" fontId="4" fillId="0" borderId="2" xfId="0" applyFont="1" applyBorder="1" applyAlignment="1">
      <alignment horizontal="center"/>
    </xf>
    <xf numFmtId="0" fontId="19" fillId="5" borderId="2" xfId="0" applyFont="1" applyFill="1" applyBorder="1" applyAlignment="1">
      <alignment horizontal="center"/>
    </xf>
    <xf numFmtId="10" fontId="0" fillId="0" borderId="2" xfId="1" applyNumberFormat="1" applyFont="1" applyBorder="1"/>
    <xf numFmtId="0" fontId="0" fillId="0" borderId="15" xfId="0" applyBorder="1"/>
    <xf numFmtId="2" fontId="0" fillId="0" borderId="2" xfId="0" applyNumberFormat="1" applyBorder="1" applyAlignment="1">
      <alignment horizontal="center"/>
    </xf>
    <xf numFmtId="10" fontId="0" fillId="0" borderId="2" xfId="1" applyNumberFormat="1" applyFont="1" applyBorder="1" applyAlignment="1">
      <alignment horizontal="center"/>
    </xf>
    <xf numFmtId="0" fontId="0" fillId="4" borderId="2" xfId="0" applyFill="1" applyBorder="1"/>
    <xf numFmtId="0" fontId="0" fillId="4" borderId="2" xfId="0" applyFill="1" applyBorder="1" applyAlignment="1">
      <alignment horizontal="center"/>
    </xf>
    <xf numFmtId="0" fontId="2" fillId="4" borderId="2" xfId="0" applyFont="1" applyFill="1" applyBorder="1" applyAlignment="1">
      <alignment horizontal="center"/>
    </xf>
    <xf numFmtId="10" fontId="0" fillId="4" borderId="2" xfId="0" applyNumberFormat="1" applyFill="1" applyBorder="1" applyAlignment="1">
      <alignment vertical="center"/>
    </xf>
    <xf numFmtId="10" fontId="0" fillId="4" borderId="2" xfId="0" applyNumberFormat="1" applyFill="1" applyBorder="1"/>
    <xf numFmtId="10" fontId="0" fillId="4" borderId="0" xfId="1" applyNumberFormat="1" applyFont="1" applyFill="1"/>
    <xf numFmtId="0" fontId="4" fillId="2" borderId="2" xfId="3" applyFont="1" applyFill="1" applyBorder="1" applyAlignment="1" applyProtection="1">
      <alignment horizontal="center" vertical="center"/>
      <protection locked="0"/>
    </xf>
    <xf numFmtId="0" fontId="4" fillId="2" borderId="2" xfId="0" applyFont="1" applyFill="1" applyBorder="1" applyAlignment="1">
      <alignment horizontal="center" vertical="center"/>
    </xf>
    <xf numFmtId="0" fontId="4" fillId="2" borderId="6" xfId="0" applyFont="1" applyFill="1" applyBorder="1" applyAlignment="1">
      <alignment horizontal="center" vertical="center"/>
    </xf>
    <xf numFmtId="0" fontId="6" fillId="0" borderId="2" xfId="0" applyFont="1" applyBorder="1" applyAlignment="1">
      <alignment horizontal="center" vertical="center"/>
    </xf>
    <xf numFmtId="0" fontId="0" fillId="0" borderId="0" xfId="0" applyAlignment="1">
      <alignment horizontal="center" vertical="center"/>
    </xf>
    <xf numFmtId="0" fontId="6" fillId="0" borderId="5" xfId="0" applyFont="1" applyBorder="1" applyAlignment="1">
      <alignment horizontal="center" vertical="center"/>
    </xf>
    <xf numFmtId="0" fontId="6" fillId="4" borderId="2" xfId="0" applyFont="1" applyFill="1" applyBorder="1" applyAlignment="1">
      <alignment horizontal="center" vertical="center"/>
    </xf>
    <xf numFmtId="0" fontId="5" fillId="0" borderId="2" xfId="0" applyFont="1" applyBorder="1" applyAlignment="1">
      <alignment horizontal="center" vertical="center"/>
    </xf>
    <xf numFmtId="0" fontId="6" fillId="6" borderId="2" xfId="0" applyFont="1" applyFill="1" applyBorder="1" applyAlignment="1">
      <alignment horizontal="center" vertical="center"/>
    </xf>
    <xf numFmtId="0" fontId="6" fillId="5" borderId="2" xfId="0" applyFont="1" applyFill="1" applyBorder="1" applyAlignment="1">
      <alignment horizontal="center" vertical="center"/>
    </xf>
    <xf numFmtId="1" fontId="6" fillId="5" borderId="2" xfId="0" applyNumberFormat="1" applyFont="1" applyFill="1" applyBorder="1" applyAlignment="1">
      <alignment horizontal="center" vertical="center"/>
    </xf>
    <xf numFmtId="1" fontId="6" fillId="0" borderId="2" xfId="0" applyNumberFormat="1" applyFont="1" applyBorder="1" applyAlignment="1">
      <alignment horizontal="center" vertical="center"/>
    </xf>
    <xf numFmtId="2" fontId="6" fillId="5" borderId="2" xfId="1" applyNumberFormat="1" applyFont="1" applyFill="1" applyBorder="1" applyAlignment="1">
      <alignment horizontal="center" vertical="center"/>
    </xf>
    <xf numFmtId="2" fontId="6" fillId="0" borderId="2" xfId="1" applyNumberFormat="1" applyFont="1" applyBorder="1" applyAlignment="1">
      <alignment horizontal="center" vertical="center"/>
    </xf>
    <xf numFmtId="0" fontId="6" fillId="5" borderId="5" xfId="0" applyFont="1" applyFill="1" applyBorder="1" applyAlignment="1">
      <alignment horizontal="center" vertical="center"/>
    </xf>
    <xf numFmtId="0" fontId="6" fillId="5" borderId="6" xfId="0" applyFont="1" applyFill="1" applyBorder="1" applyAlignment="1">
      <alignment horizontal="center" vertical="center"/>
    </xf>
    <xf numFmtId="0" fontId="0" fillId="5" borderId="2" xfId="0" applyFill="1" applyBorder="1" applyAlignment="1">
      <alignment horizontal="center" vertical="center"/>
    </xf>
    <xf numFmtId="0" fontId="2" fillId="5" borderId="2" xfId="0" applyFont="1" applyFill="1" applyBorder="1" applyAlignment="1">
      <alignment horizontal="center" vertical="center"/>
    </xf>
    <xf numFmtId="0" fontId="2" fillId="13" borderId="0" xfId="0" applyFont="1" applyFill="1"/>
    <xf numFmtId="0" fontId="0" fillId="0" borderId="6" xfId="0" applyBorder="1" applyAlignment="1">
      <alignment horizontal="center" vertical="center"/>
    </xf>
    <xf numFmtId="0" fontId="6" fillId="16" borderId="2" xfId="0" applyFont="1" applyFill="1" applyBorder="1" applyAlignment="1">
      <alignment horizontal="center"/>
    </xf>
    <xf numFmtId="0" fontId="6" fillId="16" borderId="5" xfId="0" applyFont="1" applyFill="1" applyBorder="1" applyAlignment="1">
      <alignment horizontal="left"/>
    </xf>
    <xf numFmtId="0" fontId="6" fillId="16" borderId="2" xfId="0" applyFont="1" applyFill="1" applyBorder="1" applyAlignment="1">
      <alignment horizontal="left"/>
    </xf>
  </cellXfs>
  <cellStyles count="5">
    <cellStyle name="Heading 1 2" xfId="2" xr:uid="{C150CA14-1893-4B60-85AE-EEC8E7E44E57}"/>
    <cellStyle name="Hyperlink" xfId="4" builtinId="8"/>
    <cellStyle name="Normal" xfId="0" builtinId="0"/>
    <cellStyle name="Normal 2" xfId="3" xr:uid="{76BE53D0-4842-4720-9982-C8FEFAE00337}"/>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png"/><Relationship Id="rId1" Type="http://schemas.openxmlformats.org/officeDocument/2006/relationships/image" Target="../media/image8.png"/></Relationships>
</file>

<file path=xl/drawings/_rels/drawing3.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1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3.png"/></Relationships>
</file>

<file path=xl/drawings/_rels/drawing5.xml.rels><?xml version="1.0" encoding="UTF-8" standalone="yes"?>
<Relationships xmlns="http://schemas.openxmlformats.org/package/2006/relationships"><Relationship Id="rId1" Type="http://schemas.openxmlformats.org/officeDocument/2006/relationships/image" Target="../media/image14.png"/></Relationships>
</file>

<file path=xl/drawings/_rels/drawing6.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6.png"/><Relationship Id="rId1" Type="http://schemas.openxmlformats.org/officeDocument/2006/relationships/image" Target="../media/image15.png"/><Relationship Id="rId4" Type="http://schemas.openxmlformats.org/officeDocument/2006/relationships/image" Target="../media/image14.png"/></Relationships>
</file>

<file path=xl/drawings/_rels/drawing7.xml.rels><?xml version="1.0" encoding="UTF-8" standalone="yes"?>
<Relationships xmlns="http://schemas.openxmlformats.org/package/2006/relationships"><Relationship Id="rId1" Type="http://schemas.openxmlformats.org/officeDocument/2006/relationships/image" Target="../media/image17.png"/></Relationships>
</file>

<file path=xl/drawings/drawing1.xml><?xml version="1.0" encoding="utf-8"?>
<xdr:wsDr xmlns:xdr="http://schemas.openxmlformats.org/drawingml/2006/spreadsheetDrawing" xmlns:a="http://schemas.openxmlformats.org/drawingml/2006/main">
  <xdr:twoCellAnchor editAs="oneCell">
    <xdr:from>
      <xdr:col>0</xdr:col>
      <xdr:colOff>533400</xdr:colOff>
      <xdr:row>1</xdr:row>
      <xdr:rowOff>47625</xdr:rowOff>
    </xdr:from>
    <xdr:to>
      <xdr:col>5</xdr:col>
      <xdr:colOff>418733</xdr:colOff>
      <xdr:row>20</xdr:row>
      <xdr:rowOff>161458</xdr:rowOff>
    </xdr:to>
    <xdr:pic>
      <xdr:nvPicPr>
        <xdr:cNvPr id="2" name="Picture 1">
          <a:extLst>
            <a:ext uri="{FF2B5EF4-FFF2-40B4-BE49-F238E27FC236}">
              <a16:creationId xmlns:a16="http://schemas.microsoft.com/office/drawing/2014/main" id="{83636A7E-1991-2D0E-04A3-694E69EF11A7}"/>
            </a:ext>
          </a:extLst>
        </xdr:cNvPr>
        <xdr:cNvPicPr>
          <a:picLocks noChangeAspect="1"/>
        </xdr:cNvPicPr>
      </xdr:nvPicPr>
      <xdr:blipFill>
        <a:blip xmlns:r="http://schemas.openxmlformats.org/officeDocument/2006/relationships" r:embed="rId1"/>
        <a:stretch>
          <a:fillRect/>
        </a:stretch>
      </xdr:blipFill>
      <xdr:spPr>
        <a:xfrm>
          <a:off x="533400" y="238125"/>
          <a:ext cx="2933333" cy="3733333"/>
        </a:xfrm>
        <a:prstGeom prst="rect">
          <a:avLst/>
        </a:prstGeom>
      </xdr:spPr>
    </xdr:pic>
    <xdr:clientData/>
  </xdr:twoCellAnchor>
  <xdr:twoCellAnchor editAs="oneCell">
    <xdr:from>
      <xdr:col>6</xdr:col>
      <xdr:colOff>257175</xdr:colOff>
      <xdr:row>4</xdr:row>
      <xdr:rowOff>57150</xdr:rowOff>
    </xdr:from>
    <xdr:to>
      <xdr:col>13</xdr:col>
      <xdr:colOff>18546</xdr:colOff>
      <xdr:row>21</xdr:row>
      <xdr:rowOff>56745</xdr:rowOff>
    </xdr:to>
    <xdr:pic>
      <xdr:nvPicPr>
        <xdr:cNvPr id="3" name="Picture 2">
          <a:extLst>
            <a:ext uri="{FF2B5EF4-FFF2-40B4-BE49-F238E27FC236}">
              <a16:creationId xmlns:a16="http://schemas.microsoft.com/office/drawing/2014/main" id="{DE33C91C-B540-8A08-59FA-33EF293407FA}"/>
            </a:ext>
          </a:extLst>
        </xdr:cNvPr>
        <xdr:cNvPicPr>
          <a:picLocks noChangeAspect="1"/>
        </xdr:cNvPicPr>
      </xdr:nvPicPr>
      <xdr:blipFill>
        <a:blip xmlns:r="http://schemas.openxmlformats.org/officeDocument/2006/relationships" r:embed="rId2"/>
        <a:stretch>
          <a:fillRect/>
        </a:stretch>
      </xdr:blipFill>
      <xdr:spPr>
        <a:xfrm>
          <a:off x="3914775" y="819150"/>
          <a:ext cx="4028571" cy="3238095"/>
        </a:xfrm>
        <a:prstGeom prst="rect">
          <a:avLst/>
        </a:prstGeom>
      </xdr:spPr>
    </xdr:pic>
    <xdr:clientData/>
  </xdr:twoCellAnchor>
  <xdr:twoCellAnchor editAs="oneCell">
    <xdr:from>
      <xdr:col>2</xdr:col>
      <xdr:colOff>0</xdr:colOff>
      <xdr:row>25</xdr:row>
      <xdr:rowOff>0</xdr:rowOff>
    </xdr:from>
    <xdr:to>
      <xdr:col>14</xdr:col>
      <xdr:colOff>113371</xdr:colOff>
      <xdr:row>45</xdr:row>
      <xdr:rowOff>170952</xdr:rowOff>
    </xdr:to>
    <xdr:pic>
      <xdr:nvPicPr>
        <xdr:cNvPr id="4" name="Picture 3">
          <a:extLst>
            <a:ext uri="{FF2B5EF4-FFF2-40B4-BE49-F238E27FC236}">
              <a16:creationId xmlns:a16="http://schemas.microsoft.com/office/drawing/2014/main" id="{751DC380-C94C-711D-3940-A295FD43E592}"/>
            </a:ext>
          </a:extLst>
        </xdr:cNvPr>
        <xdr:cNvPicPr>
          <a:picLocks noChangeAspect="1"/>
        </xdr:cNvPicPr>
      </xdr:nvPicPr>
      <xdr:blipFill>
        <a:blip xmlns:r="http://schemas.openxmlformats.org/officeDocument/2006/relationships" r:embed="rId3"/>
        <a:stretch>
          <a:fillRect/>
        </a:stretch>
      </xdr:blipFill>
      <xdr:spPr>
        <a:xfrm>
          <a:off x="1219200" y="4762500"/>
          <a:ext cx="7428571" cy="3980952"/>
        </a:xfrm>
        <a:prstGeom prst="rect">
          <a:avLst/>
        </a:prstGeom>
      </xdr:spPr>
    </xdr:pic>
    <xdr:clientData/>
  </xdr:twoCellAnchor>
  <xdr:twoCellAnchor editAs="oneCell">
    <xdr:from>
      <xdr:col>2</xdr:col>
      <xdr:colOff>0</xdr:colOff>
      <xdr:row>53</xdr:row>
      <xdr:rowOff>0</xdr:rowOff>
    </xdr:from>
    <xdr:to>
      <xdr:col>13</xdr:col>
      <xdr:colOff>56305</xdr:colOff>
      <xdr:row>81</xdr:row>
      <xdr:rowOff>66000</xdr:rowOff>
    </xdr:to>
    <xdr:pic>
      <xdr:nvPicPr>
        <xdr:cNvPr id="5" name="Picture 4">
          <a:extLst>
            <a:ext uri="{FF2B5EF4-FFF2-40B4-BE49-F238E27FC236}">
              <a16:creationId xmlns:a16="http://schemas.microsoft.com/office/drawing/2014/main" id="{2C10F9D4-D6AB-EDD4-D750-890A32DA4B5E}"/>
            </a:ext>
          </a:extLst>
        </xdr:cNvPr>
        <xdr:cNvPicPr>
          <a:picLocks noChangeAspect="1"/>
        </xdr:cNvPicPr>
      </xdr:nvPicPr>
      <xdr:blipFill>
        <a:blip xmlns:r="http://schemas.openxmlformats.org/officeDocument/2006/relationships" r:embed="rId4"/>
        <a:stretch>
          <a:fillRect/>
        </a:stretch>
      </xdr:blipFill>
      <xdr:spPr>
        <a:xfrm>
          <a:off x="1219200" y="10096500"/>
          <a:ext cx="6761905" cy="5400000"/>
        </a:xfrm>
        <a:prstGeom prst="rect">
          <a:avLst/>
        </a:prstGeom>
      </xdr:spPr>
    </xdr:pic>
    <xdr:clientData/>
  </xdr:twoCellAnchor>
  <xdr:twoCellAnchor editAs="oneCell">
    <xdr:from>
      <xdr:col>14</xdr:col>
      <xdr:colOff>0</xdr:colOff>
      <xdr:row>54</xdr:row>
      <xdr:rowOff>0</xdr:rowOff>
    </xdr:from>
    <xdr:to>
      <xdr:col>24</xdr:col>
      <xdr:colOff>408762</xdr:colOff>
      <xdr:row>78</xdr:row>
      <xdr:rowOff>56571</xdr:rowOff>
    </xdr:to>
    <xdr:pic>
      <xdr:nvPicPr>
        <xdr:cNvPr id="6" name="Picture 5">
          <a:extLst>
            <a:ext uri="{FF2B5EF4-FFF2-40B4-BE49-F238E27FC236}">
              <a16:creationId xmlns:a16="http://schemas.microsoft.com/office/drawing/2014/main" id="{3AA48282-9D97-C198-9E49-195613797A19}"/>
            </a:ext>
          </a:extLst>
        </xdr:cNvPr>
        <xdr:cNvPicPr>
          <a:picLocks noChangeAspect="1"/>
        </xdr:cNvPicPr>
      </xdr:nvPicPr>
      <xdr:blipFill>
        <a:blip xmlns:r="http://schemas.openxmlformats.org/officeDocument/2006/relationships" r:embed="rId5"/>
        <a:stretch>
          <a:fillRect/>
        </a:stretch>
      </xdr:blipFill>
      <xdr:spPr>
        <a:xfrm>
          <a:off x="8534400" y="10287000"/>
          <a:ext cx="6504762" cy="4628571"/>
        </a:xfrm>
        <a:prstGeom prst="rect">
          <a:avLst/>
        </a:prstGeom>
      </xdr:spPr>
    </xdr:pic>
    <xdr:clientData/>
  </xdr:twoCellAnchor>
  <xdr:twoCellAnchor editAs="oneCell">
    <xdr:from>
      <xdr:col>2</xdr:col>
      <xdr:colOff>0</xdr:colOff>
      <xdr:row>82</xdr:row>
      <xdr:rowOff>0</xdr:rowOff>
    </xdr:from>
    <xdr:to>
      <xdr:col>12</xdr:col>
      <xdr:colOff>56381</xdr:colOff>
      <xdr:row>109</xdr:row>
      <xdr:rowOff>8881</xdr:rowOff>
    </xdr:to>
    <xdr:pic>
      <xdr:nvPicPr>
        <xdr:cNvPr id="7" name="Picture 6">
          <a:extLst>
            <a:ext uri="{FF2B5EF4-FFF2-40B4-BE49-F238E27FC236}">
              <a16:creationId xmlns:a16="http://schemas.microsoft.com/office/drawing/2014/main" id="{539DBE64-CC89-7BD7-A9E3-F6F15119E173}"/>
            </a:ext>
          </a:extLst>
        </xdr:cNvPr>
        <xdr:cNvPicPr>
          <a:picLocks noChangeAspect="1"/>
        </xdr:cNvPicPr>
      </xdr:nvPicPr>
      <xdr:blipFill>
        <a:blip xmlns:r="http://schemas.openxmlformats.org/officeDocument/2006/relationships" r:embed="rId6"/>
        <a:stretch>
          <a:fillRect/>
        </a:stretch>
      </xdr:blipFill>
      <xdr:spPr>
        <a:xfrm>
          <a:off x="1219200" y="15621000"/>
          <a:ext cx="6152381" cy="5152381"/>
        </a:xfrm>
        <a:prstGeom prst="rect">
          <a:avLst/>
        </a:prstGeom>
      </xdr:spPr>
    </xdr:pic>
    <xdr:clientData/>
  </xdr:twoCellAnchor>
  <xdr:twoCellAnchor editAs="oneCell">
    <xdr:from>
      <xdr:col>13</xdr:col>
      <xdr:colOff>0</xdr:colOff>
      <xdr:row>83</xdr:row>
      <xdr:rowOff>0</xdr:rowOff>
    </xdr:from>
    <xdr:to>
      <xdr:col>23</xdr:col>
      <xdr:colOff>227809</xdr:colOff>
      <xdr:row>101</xdr:row>
      <xdr:rowOff>132905</xdr:rowOff>
    </xdr:to>
    <xdr:pic>
      <xdr:nvPicPr>
        <xdr:cNvPr id="8" name="Picture 7">
          <a:extLst>
            <a:ext uri="{FF2B5EF4-FFF2-40B4-BE49-F238E27FC236}">
              <a16:creationId xmlns:a16="http://schemas.microsoft.com/office/drawing/2014/main" id="{8F5D0DEF-ABC2-5CC6-1F75-C1DFFCA334ED}"/>
            </a:ext>
          </a:extLst>
        </xdr:cNvPr>
        <xdr:cNvPicPr>
          <a:picLocks noChangeAspect="1"/>
        </xdr:cNvPicPr>
      </xdr:nvPicPr>
      <xdr:blipFill>
        <a:blip xmlns:r="http://schemas.openxmlformats.org/officeDocument/2006/relationships" r:embed="rId7"/>
        <a:stretch>
          <a:fillRect/>
        </a:stretch>
      </xdr:blipFill>
      <xdr:spPr>
        <a:xfrm>
          <a:off x="7924800" y="15811500"/>
          <a:ext cx="6323809" cy="356190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447675</xdr:colOff>
      <xdr:row>0</xdr:row>
      <xdr:rowOff>0</xdr:rowOff>
    </xdr:from>
    <xdr:to>
      <xdr:col>15</xdr:col>
      <xdr:colOff>484703</xdr:colOff>
      <xdr:row>20</xdr:row>
      <xdr:rowOff>47143</xdr:rowOff>
    </xdr:to>
    <xdr:pic>
      <xdr:nvPicPr>
        <xdr:cNvPr id="2" name="Picture 1">
          <a:extLst>
            <a:ext uri="{FF2B5EF4-FFF2-40B4-BE49-F238E27FC236}">
              <a16:creationId xmlns:a16="http://schemas.microsoft.com/office/drawing/2014/main" id="{A11E3E7B-C539-409A-A1BE-8AE6DC0B8CDD}"/>
            </a:ext>
          </a:extLst>
        </xdr:cNvPr>
        <xdr:cNvPicPr>
          <a:picLocks noChangeAspect="1"/>
        </xdr:cNvPicPr>
      </xdr:nvPicPr>
      <xdr:blipFill>
        <a:blip xmlns:r="http://schemas.openxmlformats.org/officeDocument/2006/relationships" r:embed="rId1"/>
        <a:stretch>
          <a:fillRect/>
        </a:stretch>
      </xdr:blipFill>
      <xdr:spPr>
        <a:xfrm>
          <a:off x="1057275" y="0"/>
          <a:ext cx="8571428" cy="3857143"/>
        </a:xfrm>
        <a:prstGeom prst="rect">
          <a:avLst/>
        </a:prstGeom>
      </xdr:spPr>
    </xdr:pic>
    <xdr:clientData/>
  </xdr:twoCellAnchor>
  <xdr:twoCellAnchor editAs="oneCell">
    <xdr:from>
      <xdr:col>0</xdr:col>
      <xdr:colOff>0</xdr:colOff>
      <xdr:row>21</xdr:row>
      <xdr:rowOff>85725</xdr:rowOff>
    </xdr:from>
    <xdr:to>
      <xdr:col>15</xdr:col>
      <xdr:colOff>27428</xdr:colOff>
      <xdr:row>26</xdr:row>
      <xdr:rowOff>9415</xdr:rowOff>
    </xdr:to>
    <xdr:pic>
      <xdr:nvPicPr>
        <xdr:cNvPr id="3" name="Picture 2">
          <a:extLst>
            <a:ext uri="{FF2B5EF4-FFF2-40B4-BE49-F238E27FC236}">
              <a16:creationId xmlns:a16="http://schemas.microsoft.com/office/drawing/2014/main" id="{DFB96AAC-2A04-4173-BC12-7AF16D05C561}"/>
            </a:ext>
          </a:extLst>
        </xdr:cNvPr>
        <xdr:cNvPicPr>
          <a:picLocks noChangeAspect="1"/>
        </xdr:cNvPicPr>
      </xdr:nvPicPr>
      <xdr:blipFill>
        <a:blip xmlns:r="http://schemas.openxmlformats.org/officeDocument/2006/relationships" r:embed="rId2"/>
        <a:stretch>
          <a:fillRect/>
        </a:stretch>
      </xdr:blipFill>
      <xdr:spPr>
        <a:xfrm>
          <a:off x="0" y="4086225"/>
          <a:ext cx="9171428" cy="876190"/>
        </a:xfrm>
        <a:prstGeom prst="rect">
          <a:avLst/>
        </a:prstGeom>
      </xdr:spPr>
    </xdr:pic>
    <xdr:clientData/>
  </xdr:twoCellAnchor>
  <xdr:twoCellAnchor editAs="oneCell">
    <xdr:from>
      <xdr:col>14</xdr:col>
      <xdr:colOff>323850</xdr:colOff>
      <xdr:row>2</xdr:row>
      <xdr:rowOff>57150</xdr:rowOff>
    </xdr:from>
    <xdr:to>
      <xdr:col>25</xdr:col>
      <xdr:colOff>65869</xdr:colOff>
      <xdr:row>17</xdr:row>
      <xdr:rowOff>94888</xdr:rowOff>
    </xdr:to>
    <xdr:pic>
      <xdr:nvPicPr>
        <xdr:cNvPr id="4" name="Picture 3">
          <a:extLst>
            <a:ext uri="{FF2B5EF4-FFF2-40B4-BE49-F238E27FC236}">
              <a16:creationId xmlns:a16="http://schemas.microsoft.com/office/drawing/2014/main" id="{88708FD2-3C2B-4816-87A7-196E258521C1}"/>
            </a:ext>
          </a:extLst>
        </xdr:cNvPr>
        <xdr:cNvPicPr>
          <a:picLocks noChangeAspect="1"/>
        </xdr:cNvPicPr>
      </xdr:nvPicPr>
      <xdr:blipFill>
        <a:blip xmlns:r="http://schemas.openxmlformats.org/officeDocument/2006/relationships" r:embed="rId3"/>
        <a:stretch>
          <a:fillRect/>
        </a:stretch>
      </xdr:blipFill>
      <xdr:spPr>
        <a:xfrm>
          <a:off x="8858250" y="438150"/>
          <a:ext cx="6447619" cy="28952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10</xdr:col>
      <xdr:colOff>0</xdr:colOff>
      <xdr:row>132</xdr:row>
      <xdr:rowOff>0</xdr:rowOff>
    </xdr:from>
    <xdr:to>
      <xdr:col>17</xdr:col>
      <xdr:colOff>342324</xdr:colOff>
      <xdr:row>150</xdr:row>
      <xdr:rowOff>123381</xdr:rowOff>
    </xdr:to>
    <xdr:pic>
      <xdr:nvPicPr>
        <xdr:cNvPr id="5" name="Picture 4">
          <a:extLst>
            <a:ext uri="{FF2B5EF4-FFF2-40B4-BE49-F238E27FC236}">
              <a16:creationId xmlns:a16="http://schemas.microsoft.com/office/drawing/2014/main" id="{2707858A-FA45-19AE-6BD3-5C5D0963E474}"/>
            </a:ext>
          </a:extLst>
        </xdr:cNvPr>
        <xdr:cNvPicPr>
          <a:picLocks noChangeAspect="1"/>
        </xdr:cNvPicPr>
      </xdr:nvPicPr>
      <xdr:blipFill>
        <a:blip xmlns:r="http://schemas.openxmlformats.org/officeDocument/2006/relationships" r:embed="rId1"/>
        <a:stretch>
          <a:fillRect/>
        </a:stretch>
      </xdr:blipFill>
      <xdr:spPr>
        <a:xfrm>
          <a:off x="9839325" y="3810000"/>
          <a:ext cx="4609524" cy="3552381"/>
        </a:xfrm>
        <a:prstGeom prst="rect">
          <a:avLst/>
        </a:prstGeom>
      </xdr:spPr>
    </xdr:pic>
    <xdr:clientData/>
  </xdr:twoCellAnchor>
  <xdr:twoCellAnchor editAs="oneCell">
    <xdr:from>
      <xdr:col>10</xdr:col>
      <xdr:colOff>0</xdr:colOff>
      <xdr:row>150</xdr:row>
      <xdr:rowOff>0</xdr:rowOff>
    </xdr:from>
    <xdr:to>
      <xdr:col>16</xdr:col>
      <xdr:colOff>437638</xdr:colOff>
      <xdr:row>164</xdr:row>
      <xdr:rowOff>56809</xdr:rowOff>
    </xdr:to>
    <xdr:pic>
      <xdr:nvPicPr>
        <xdr:cNvPr id="6" name="Picture 5">
          <a:extLst>
            <a:ext uri="{FF2B5EF4-FFF2-40B4-BE49-F238E27FC236}">
              <a16:creationId xmlns:a16="http://schemas.microsoft.com/office/drawing/2014/main" id="{AB4DD867-4E35-E9A3-8274-6F38392A868D}"/>
            </a:ext>
          </a:extLst>
        </xdr:cNvPr>
        <xdr:cNvPicPr>
          <a:picLocks noChangeAspect="1"/>
        </xdr:cNvPicPr>
      </xdr:nvPicPr>
      <xdr:blipFill>
        <a:blip xmlns:r="http://schemas.openxmlformats.org/officeDocument/2006/relationships" r:embed="rId2"/>
        <a:stretch>
          <a:fillRect/>
        </a:stretch>
      </xdr:blipFill>
      <xdr:spPr>
        <a:xfrm>
          <a:off x="11058525" y="7429500"/>
          <a:ext cx="4095238" cy="272380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219075</xdr:colOff>
      <xdr:row>12</xdr:row>
      <xdr:rowOff>57150</xdr:rowOff>
    </xdr:from>
    <xdr:to>
      <xdr:col>10</xdr:col>
      <xdr:colOff>294480</xdr:colOff>
      <xdr:row>33</xdr:row>
      <xdr:rowOff>170936</xdr:rowOff>
    </xdr:to>
    <xdr:pic>
      <xdr:nvPicPr>
        <xdr:cNvPr id="2" name="Picture 1">
          <a:extLst>
            <a:ext uri="{FF2B5EF4-FFF2-40B4-BE49-F238E27FC236}">
              <a16:creationId xmlns:a16="http://schemas.microsoft.com/office/drawing/2014/main" id="{9FBC34CE-04C5-910C-C2BF-098123AA983E}"/>
            </a:ext>
          </a:extLst>
        </xdr:cNvPr>
        <xdr:cNvPicPr>
          <a:picLocks noChangeAspect="1"/>
        </xdr:cNvPicPr>
      </xdr:nvPicPr>
      <xdr:blipFill>
        <a:blip xmlns:r="http://schemas.openxmlformats.org/officeDocument/2006/relationships" r:embed="rId1"/>
        <a:stretch>
          <a:fillRect/>
        </a:stretch>
      </xdr:blipFill>
      <xdr:spPr>
        <a:xfrm>
          <a:off x="219075" y="2343150"/>
          <a:ext cx="6361905" cy="411428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4</xdr:col>
      <xdr:colOff>396784</xdr:colOff>
      <xdr:row>35</xdr:row>
      <xdr:rowOff>57150</xdr:rowOff>
    </xdr:from>
    <xdr:to>
      <xdr:col>12</xdr:col>
      <xdr:colOff>399144</xdr:colOff>
      <xdr:row>54</xdr:row>
      <xdr:rowOff>8862</xdr:rowOff>
    </xdr:to>
    <xdr:pic>
      <xdr:nvPicPr>
        <xdr:cNvPr id="2" name="Picture 1">
          <a:extLst>
            <a:ext uri="{FF2B5EF4-FFF2-40B4-BE49-F238E27FC236}">
              <a16:creationId xmlns:a16="http://schemas.microsoft.com/office/drawing/2014/main" id="{799E71A9-25D7-4419-82D5-BF96F2800E66}"/>
            </a:ext>
          </a:extLst>
        </xdr:cNvPr>
        <xdr:cNvPicPr>
          <a:picLocks noChangeAspect="1"/>
        </xdr:cNvPicPr>
      </xdr:nvPicPr>
      <xdr:blipFill>
        <a:blip xmlns:r="http://schemas.openxmlformats.org/officeDocument/2006/relationships" r:embed="rId1"/>
        <a:stretch>
          <a:fillRect/>
        </a:stretch>
      </xdr:blipFill>
      <xdr:spPr>
        <a:xfrm>
          <a:off x="3740059" y="6724650"/>
          <a:ext cx="4879160" cy="3571212"/>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4</xdr:col>
      <xdr:colOff>428625</xdr:colOff>
      <xdr:row>14</xdr:row>
      <xdr:rowOff>180975</xdr:rowOff>
    </xdr:from>
    <xdr:to>
      <xdr:col>19</xdr:col>
      <xdr:colOff>132244</xdr:colOff>
      <xdr:row>39</xdr:row>
      <xdr:rowOff>75618</xdr:rowOff>
    </xdr:to>
    <xdr:pic>
      <xdr:nvPicPr>
        <xdr:cNvPr id="2" name="Picture 1">
          <a:extLst>
            <a:ext uri="{FF2B5EF4-FFF2-40B4-BE49-F238E27FC236}">
              <a16:creationId xmlns:a16="http://schemas.microsoft.com/office/drawing/2014/main" id="{A179D6F0-91E9-E091-7843-15434A1BA56B}"/>
            </a:ext>
          </a:extLst>
        </xdr:cNvPr>
        <xdr:cNvPicPr>
          <a:picLocks noChangeAspect="1"/>
        </xdr:cNvPicPr>
      </xdr:nvPicPr>
      <xdr:blipFill>
        <a:blip xmlns:r="http://schemas.openxmlformats.org/officeDocument/2006/relationships" r:embed="rId1"/>
        <a:stretch>
          <a:fillRect/>
        </a:stretch>
      </xdr:blipFill>
      <xdr:spPr>
        <a:xfrm>
          <a:off x="2867025" y="2847975"/>
          <a:ext cx="8847619" cy="4657143"/>
        </a:xfrm>
        <a:prstGeom prst="rect">
          <a:avLst/>
        </a:prstGeom>
      </xdr:spPr>
    </xdr:pic>
    <xdr:clientData/>
  </xdr:twoCellAnchor>
  <xdr:twoCellAnchor editAs="oneCell">
    <xdr:from>
      <xdr:col>1</xdr:col>
      <xdr:colOff>19050</xdr:colOff>
      <xdr:row>5</xdr:row>
      <xdr:rowOff>171450</xdr:rowOff>
    </xdr:from>
    <xdr:to>
      <xdr:col>15</xdr:col>
      <xdr:colOff>579888</xdr:colOff>
      <xdr:row>17</xdr:row>
      <xdr:rowOff>66402</xdr:rowOff>
    </xdr:to>
    <xdr:pic>
      <xdr:nvPicPr>
        <xdr:cNvPr id="3" name="Picture 2">
          <a:extLst>
            <a:ext uri="{FF2B5EF4-FFF2-40B4-BE49-F238E27FC236}">
              <a16:creationId xmlns:a16="http://schemas.microsoft.com/office/drawing/2014/main" id="{888ADF39-1124-7004-9B0C-B06B47D0BC54}"/>
            </a:ext>
          </a:extLst>
        </xdr:cNvPr>
        <xdr:cNvPicPr>
          <a:picLocks noChangeAspect="1"/>
        </xdr:cNvPicPr>
      </xdr:nvPicPr>
      <xdr:blipFill>
        <a:blip xmlns:r="http://schemas.openxmlformats.org/officeDocument/2006/relationships" r:embed="rId2"/>
        <a:stretch>
          <a:fillRect/>
        </a:stretch>
      </xdr:blipFill>
      <xdr:spPr>
        <a:xfrm>
          <a:off x="628650" y="1123950"/>
          <a:ext cx="9095238" cy="2180952"/>
        </a:xfrm>
        <a:prstGeom prst="rect">
          <a:avLst/>
        </a:prstGeom>
      </xdr:spPr>
    </xdr:pic>
    <xdr:clientData/>
  </xdr:twoCellAnchor>
  <xdr:twoCellAnchor editAs="oneCell">
    <xdr:from>
      <xdr:col>4</xdr:col>
      <xdr:colOff>0</xdr:colOff>
      <xdr:row>41</xdr:row>
      <xdr:rowOff>0</xdr:rowOff>
    </xdr:from>
    <xdr:to>
      <xdr:col>10</xdr:col>
      <xdr:colOff>437638</xdr:colOff>
      <xdr:row>55</xdr:row>
      <xdr:rowOff>56809</xdr:rowOff>
    </xdr:to>
    <xdr:pic>
      <xdr:nvPicPr>
        <xdr:cNvPr id="4" name="Picture 3">
          <a:extLst>
            <a:ext uri="{FF2B5EF4-FFF2-40B4-BE49-F238E27FC236}">
              <a16:creationId xmlns:a16="http://schemas.microsoft.com/office/drawing/2014/main" id="{3EEBAAC6-61F0-4CA7-A55B-BE0755BD378F}"/>
            </a:ext>
          </a:extLst>
        </xdr:cNvPr>
        <xdr:cNvPicPr>
          <a:picLocks noChangeAspect="1"/>
        </xdr:cNvPicPr>
      </xdr:nvPicPr>
      <xdr:blipFill>
        <a:blip xmlns:r="http://schemas.openxmlformats.org/officeDocument/2006/relationships" r:embed="rId3"/>
        <a:stretch>
          <a:fillRect/>
        </a:stretch>
      </xdr:blipFill>
      <xdr:spPr>
        <a:xfrm>
          <a:off x="2438400" y="7810500"/>
          <a:ext cx="4095238" cy="2723809"/>
        </a:xfrm>
        <a:prstGeom prst="rect">
          <a:avLst/>
        </a:prstGeom>
      </xdr:spPr>
    </xdr:pic>
    <xdr:clientData/>
  </xdr:twoCellAnchor>
  <xdr:twoCellAnchor editAs="oneCell">
    <xdr:from>
      <xdr:col>12</xdr:col>
      <xdr:colOff>514350</xdr:colOff>
      <xdr:row>43</xdr:row>
      <xdr:rowOff>114300</xdr:rowOff>
    </xdr:from>
    <xdr:to>
      <xdr:col>24</xdr:col>
      <xdr:colOff>446769</xdr:colOff>
      <xdr:row>71</xdr:row>
      <xdr:rowOff>85062</xdr:rowOff>
    </xdr:to>
    <xdr:pic>
      <xdr:nvPicPr>
        <xdr:cNvPr id="5" name="Picture 4">
          <a:extLst>
            <a:ext uri="{FF2B5EF4-FFF2-40B4-BE49-F238E27FC236}">
              <a16:creationId xmlns:a16="http://schemas.microsoft.com/office/drawing/2014/main" id="{1518EB68-FF3E-D051-D3CE-81CAEE990312}"/>
            </a:ext>
          </a:extLst>
        </xdr:cNvPr>
        <xdr:cNvPicPr>
          <a:picLocks noChangeAspect="1"/>
        </xdr:cNvPicPr>
      </xdr:nvPicPr>
      <xdr:blipFill>
        <a:blip xmlns:r="http://schemas.openxmlformats.org/officeDocument/2006/relationships" r:embed="rId4"/>
        <a:stretch>
          <a:fillRect/>
        </a:stretch>
      </xdr:blipFill>
      <xdr:spPr>
        <a:xfrm>
          <a:off x="7829550" y="8305800"/>
          <a:ext cx="7247619" cy="5304762"/>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oneCellAnchor>
    <xdr:from>
      <xdr:col>0</xdr:col>
      <xdr:colOff>0</xdr:colOff>
      <xdr:row>13</xdr:row>
      <xdr:rowOff>132933</xdr:rowOff>
    </xdr:from>
    <xdr:ext cx="3358366" cy="134418"/>
    <xdr:pic>
      <xdr:nvPicPr>
        <xdr:cNvPr id="2" name="image10.png">
          <a:extLst>
            <a:ext uri="{FF2B5EF4-FFF2-40B4-BE49-F238E27FC236}">
              <a16:creationId xmlns:a16="http://schemas.microsoft.com/office/drawing/2014/main" id="{51383773-F507-4417-9622-314DDCE1A15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19453" y="2133183"/>
          <a:ext cx="3358366" cy="134418"/>
        </a:xfrm>
        <a:prstGeom prst="rect">
          <a:avLst/>
        </a:prstGeom>
      </xdr:spPr>
    </xdr:pic>
    <xdr:clientData/>
  </xdr:oneCellAnchor>
</xdr:wsDr>
</file>

<file path=xl/persons/person.xml><?xml version="1.0" encoding="utf-8"?>
<personList xmlns="http://schemas.microsoft.com/office/spreadsheetml/2018/threadedcomments" xmlns:x="http://schemas.openxmlformats.org/spreadsheetml/2006/main">
  <person displayName="Priya Rawat" id="{21E0E8C2-A916-4E08-AEE0-0F250CDC6195}" userId="S-1-5-21-1964979238-429942662-834490965-172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B2" dT="2022-10-26T11:20:08.76" personId="{21E0E8C2-A916-4E08-AEE0-0F250CDC6195}" id="{01615AC4-DE58-401F-8CC2-33BE63E7F6BA}">
    <text>https://coal.gov.in/sites/default/files/ncgm/pmicg-jp.pdf</text>
  </threadedComment>
  <threadedComment ref="D2" dT="2022-10-27T05:08:20.22" personId="{21E0E8C2-A916-4E08-AEE0-0F250CDC6195}" id="{85913536-37A8-4BCC-B34B-A278AD1D5D18}">
    <text xml:space="preserve">  Assam Petro-Chemicals Ltd. is now implementing a mega project of 500TPD Methanol and 200 TPD Formaldehyde plant as an expansion project of the company at a total cost of Rs. 1337 crore.Implementation of the 500 TPD Methanol project is going on at the adjacent plot of existing plant at Namrup in Dibrugarh district of Assam.Implementation of 200 TPD Formalin project is about to start at Boitamari in Bongaigaon District. The Hon'ble Chief Minister of Assam laid the foundation stone of the 200 TPD Formalin Project at Boitamari, Bongaigaon on 4th March, 2019. Governor of Assam, Oil India Limited and Assam Gas Company Limited are investing in equity capital for implementation of 500 TPD Methanol and 200 TPD Formalin project. Government of Assam alongwith Assam Gas Co. Ltd and AIDC Ltd. will hold 51% of shares and Oil India Ltd. will hold 49% of the equity capital of the company.In this connection, an MoU was sighed with Oil India Ltd. in February, 2018 during Advantage Assam -the Global Investors Summit held at Guwahati.</text>
  </threadedComment>
  <threadedComment ref="D2" dT="2022-10-27T05:08:25.89" personId="{21E0E8C2-A916-4E08-AEE0-0F250CDC6195}" id="{0F3026F9-F05F-4E45-86DB-BF519F2D5630}" parentId="{85913536-37A8-4BCC-B34B-A278AD1D5D18}">
    <text>https://assampetrochemicals.co.in/about.php</text>
  </threadedComment>
  <threadedComment ref="E2" dT="2022-10-27T05:08:50.95" personId="{21E0E8C2-A916-4E08-AEE0-0F250CDC6195}" id="{223A37EF-82A7-43C1-919B-A005455211D9}">
    <text xml:space="preserve">100 TPD
</text>
  </threadedComment>
  <threadedComment ref="Q2" dT="2022-10-27T05:09:20.18" personId="{21E0E8C2-A916-4E08-AEE0-0F250CDC6195}" id="{CDF734A2-47D6-4BA8-BDEA-A734C0A010C3}">
    <text>Another 500 TPD unit</text>
  </threadedComment>
  <threadedComment ref="Q2" dT="2022-10-27T05:10:31.17" personId="{21E0E8C2-A916-4E08-AEE0-0F250CDC6195}" id="{01EADE95-4E2B-4CC4-9968-887B32B95CF5}" parentId="{CDF734A2-47D6-4BA8-BDEA-A734C0A010C3}">
    <text>https://assampetrochemicals.co.in/project-progress.php</text>
  </threadedComment>
  <threadedComment ref="D3" dT="2022-10-27T04:50:55.98" personId="{21E0E8C2-A916-4E08-AEE0-0F250CDC6195}" id="{F30FB0AF-CD5D-4DB1-9DB7-59D1FCA3A74E}">
    <text>https://www.gnfc.in/divisions/production-sales/</text>
  </threadedComment>
  <threadedComment ref="D3" dT="2022-10-27T05:18:56.55" personId="{21E0E8C2-A916-4E08-AEE0-0F250CDC6195}" id="{2EF475D5-D306-4D9B-800B-EB7FF6789A81}" parentId="{F30FB0AF-CD5D-4DB1-9DB7-59D1FCA3A74E}">
    <text>https://www.fert.nic.in/psu/rashtriya-chemicals-and-fertilizers-limited-rcf</text>
  </threadedComment>
  <threadedComment ref="J4" dT="2022-10-27T05:17:42.95" personId="{21E0E8C2-A916-4E08-AEE0-0F250CDC6195}" id="{BEE68E72-244F-42E4-BE91-064AF3DD753F}">
    <text>242MT Per day</text>
  </threadedComment>
  <threadedComment ref="J4" dT="2022-10-27T05:18:10.18" personId="{21E0E8C2-A916-4E08-AEE0-0F250CDC6195}" id="{B2053431-54CE-4648-A0D3-BA0DB65C3431}" parentId="{BEE68E72-244F-42E4-BE91-064AF3DD753F}">
    <text>https://vajiramias.com/current-affairs/methanol/5f5ef1821d5def3376eb2611/</text>
  </threadedComment>
  <threadedComment ref="D5" dT="2022-10-27T05:22:43.53" personId="{21E0E8C2-A916-4E08-AEE0-0F250CDC6195}" id="{E0FC93D4-4380-471F-9D51-45E54EC4D2C8}">
    <text>https://www.dfpcl.com/industrial-manufactured-products#:~:text=DFPCL%20is%20one%20of%20the%20largest%20producers%20of%20Methanol%20in,on%20site%2C%20ensuring%20uninterrupted%20supply.</text>
  </threadedComment>
  <threadedComment ref="D6" dT="2022-10-27T05:27:08.86" personId="{21E0E8C2-A916-4E08-AEE0-0F250CDC6195}" id="{AD6317D4-61D2-4678-A21C-09AC3924D7DA}">
    <text>https://www.gsfclimited.com/methanol-ch3oh</text>
  </threadedComment>
  <threadedComment ref="E6" dT="2022-10-27T05:25:32.71" personId="{21E0E8C2-A916-4E08-AEE0-0F250CDC6195}" id="{4E9ECE9F-A69E-4240-8106-A0B70BB5E6F0}">
    <text>525 metric tonnes per day</text>
  </threadedComment>
  <threadedComment ref="J6" dT="2022-10-27T05:24:26.04" personId="{21E0E8C2-A916-4E08-AEE0-0F250CDC6195}" id="{30B7A76E-20FD-4CE0-9086-497B0AFEBF64}">
    <text>31st August 2020</text>
  </threadedComment>
  <threadedComment ref="J6" dT="2022-10-27T05:26:04.58" personId="{21E0E8C2-A916-4E08-AEE0-0F250CDC6195}" id="{989E97E5-1BAE-478B-8D26-DBD902412459}" parentId="{30B7A76E-20FD-4CE0-9086-497B0AFEBF64}">
    <text>Gujarat State Fertilizers &amp; Chemicals Limited, Baroda has a Methanol plant with installed capacity of 525 metric tonnes per day. This plant was commissioned in 2013 and was operated for 11 months. Due to non-viability, the plant was shut down in April 2014.
Now, after more than 6 years, GSFC has re-started this plant. Methanol is being produced from 31st August 2020 as per the prescribed specifications and quality. Re-start of GSFC`s Methanol plant is a step towards fulfilling Hon`ble Prime Minister`s vision of `Aatmanirbhar Bharat`, and will help in import substitution.</text>
  </threadedComment>
  <threadedComment ref="J6" dT="2022-10-27T05:26:16.80" personId="{21E0E8C2-A916-4E08-AEE0-0F250CDC6195}" id="{AA80A427-DEA1-403D-9DAF-1407BEF5D7BE}" parentId="{30B7A76E-20FD-4CE0-9086-497B0AFEBF64}">
    <text>525 metric tonnes per day</text>
  </threadedComment>
  <threadedComment ref="D24" dT="2022-10-26T11:47:40.56" personId="{21E0E8C2-A916-4E08-AEE0-0F250CDC6195}" id="{9665363A-7616-4E0A-9793-E5D3C6CB53D2}">
    <text>https://www.knak.jp/malaysia/petronas.htm</text>
  </threadedComment>
  <threadedComment ref="D25" dT="2022-10-26T11:40:44.12" personId="{21E0E8C2-A916-4E08-AEE0-0F250CDC6195}" id="{34CF92BD-9782-446E-9686-BAFCC329D326}">
    <text>http://webcache.googleusercontent.com/search?q=cache%3Ahttps%3A%2F%2Fkaltimmethanol.com%2Fhistory.html%23%3A~%3Atext%3DIt%2520has%2520two%2520loading%2520arms%2Cpressure%2520licensed%2520by%2520Lurgi%2520Germany.&amp;rlz=1C1CHWA_enIN973IN973&amp;oq=cache%3Ahttps%3A%2F%2Fkaltimmethanol.com%2Fhistory.html%23%3A~%3Atext%3DIt%2520has%2520two%2520loading%2520arms%2Cpressure%2520licensed%2520by%2520Lurgi%2520Germany.&amp;aqs=chrome..69i57j69i58.2192j0j4&amp;sourceid=chrome&amp;ie=UTF-8</text>
  </threadedComment>
  <threadedComment ref="D25" dT="2022-10-26T11:41:08.17" personId="{21E0E8C2-A916-4E08-AEE0-0F250CDC6195}" id="{EE7A003A-1E0A-4C67-BADB-BA335925FE99}" parentId="{34CF92BD-9782-446E-9686-BAFCC329D326}">
    <text>https://kaltimmethanol.com/manufacturing.html</text>
  </threadedComment>
  <threadedComment ref="D26" dT="2022-10-26T11:39:17.59" personId="{21E0E8C2-A916-4E08-AEE0-0F250CDC6195}" id="{E5A62DD0-7CA6-4054-90DC-DB5A91A1654D}">
    <text>https://www.melbana.com/site/PDF/98537309-7153-4e78-9c4b-26f6c1193b56/MediaBackground#:~:text=Each%20plant%20has%20a%20production%20capacity%20of%20approximately%205%2C000%20tonnes%20per%20day.</text>
  </threadedComment>
  <threadedComment ref="D27" dT="2022-10-26T11:13:18.69" personId="{21E0E8C2-A916-4E08-AEE0-0F250CDC6195}" id="{00F5C773-848C-49E5-9544-5015CC6FFCDC}">
    <text>https://www.methanex.com/location/new-zealand/about-methanex-nz#:~:text=Methanex%20is%20New%20Zealand's%20only,million%20tonnes%20of%20methanol%20annually.</text>
  </threadedComment>
  <threadedComment ref="K27" dT="2022-10-26T11:13:56.18" personId="{21E0E8C2-A916-4E08-AEE0-0F250CDC6195}" id="{950D0D90-7FAF-4FA4-BF7D-96B820DB0931}">
    <text>(one facillity, Waitara Valley, is currently idled) providing the capacity to produce up to 2.2 million tonnes of methanol annually.</text>
  </threadedComment>
  <threadedComment ref="D28" dT="2022-10-26T11:13:21.61" personId="{21E0E8C2-A916-4E08-AEE0-0F250CDC6195}" id="{1F5B26F6-BF47-4329-85D1-2B23525B4C24}">
    <text>https://www.methanex.com/location/new-zealand/about-methanex-nz#:~:text=Methanex%20is%20New%20Zealand's%20only,million%20tonnes%20of%20methanol%20annually.</text>
  </threadedComment>
  <threadedComment ref="D29" dT="2022-10-26T11:13:25.17" personId="{21E0E8C2-A916-4E08-AEE0-0F250CDC6195}" id="{57833179-BC2A-4262-A55A-1C472C328860}">
    <text>https://www.methanex.com/location/new-zealand/about-methanex-nz#:~:text=Methanex%20is%20New%20Zealand's%20only,million%20tonnes%20of%20methanol%20annually.</text>
  </threadedComment>
  <threadedComment ref="D30" dT="2022-10-26T11:36:15.09" personId="{21E0E8C2-A916-4E08-AEE0-0F250CDC6195}" id="{71BD24E7-8B9D-4714-A930-7883773C264C}">
    <text>https://www.coogee.com.au/capabilities/manufacturing-supply/</text>
  </threadedComment>
  <threadedComment ref="D31" dT="2022-10-26T09:31:29.48" personId="{21E0E8C2-A916-4E08-AEE0-0F250CDC6195}" id="{F98C924B-85BB-4303-A61B-7CDC662C40BF}">
    <text>https://www.methanol.org/wp-content/uploads/2020/04/IRENA_Innovation_Renewable_Methanol_2021.pdf</text>
  </threadedComment>
  <threadedComment ref="D33" dT="2022-10-26T09:43:48.93" personId="{21E0E8C2-A916-4E08-AEE0-0F250CDC6195}" id="{E462C269-C2F7-4797-BE75-54096566E091}">
    <text>http://www.msk.co.rs/en-GB/content/cid259/about-us#:~:text=200.000%20t%2Fg%20of%20methanol</text>
  </threadedComment>
  <threadedComment ref="D34" dT="2022-10-26T09:47:49.99" personId="{21E0E8C2-A916-4E08-AEE0-0F250CDC6195}" id="{E76FBAF6-C62E-44E0-8FD3-C9D37E7459BB}">
    <text>https://blog.topsoe.com/ucc-shchekinoazot-launches-methanol-and-ammonia-co-production-plant-licensed-by-haldor-topsoe</text>
  </threadedComment>
  <threadedComment ref="K34" dT="2022-10-26T09:49:07.24" personId="{21E0E8C2-A916-4E08-AEE0-0F250CDC6195}" id="{B480A1E1-F3FD-4CBF-BC23-0D1E46517965}">
    <text>https://xn--90ab5f.xn--p1ai/en/press-center/50840/</text>
  </threadedComment>
  <threadedComment ref="D35" dT="2022-10-26T09:43:02.07" personId="{21E0E8C2-A916-4E08-AEE0-0F250CDC6195}" id="{B7E1986A-F6B7-4C1A-B57E-2816C6456DB2}">
    <text>https://www.metafrax.ru/files/documents/33_EN_1628610449.pdf</text>
  </threadedComment>
  <threadedComment ref="D37" dT="2022-10-26T09:58:38.48" personId="{21E0E8C2-A916-4E08-AEE0-0F250CDC6195}" id="{ACD70116-B0BA-4F4F-AAA5-632E6BBA9A4F}">
    <text>https://www.argusmedia.com/-/media/Files/sample-reports/20220729methanol.ashx?la=en&amp;hash=FDAA09E0CEEF4BC55B2AE401739F258E4C56AB97</text>
  </threadedComment>
  <threadedComment ref="D40" dT="2022-10-26T09:37:57.69" personId="{21E0E8C2-A916-4E08-AEE0-0F250CDC6195}" id="{BB072A3E-B862-4703-A247-7FE6C4B2D630}">
    <text>https://www.spglobal.com/commodityinsights/en/market-insights/latest-news/petrochemicals/102814-russias-tomsk-methanol-restarts-plant-after-turnaround</text>
  </threadedComment>
  <threadedComment ref="D41" dT="2022-10-26T10:08:10.35" personId="{21E0E8C2-A916-4E08-AEE0-0F250CDC6195}" id="{B6BDB079-6A6C-49B8-917D-712D40248E86}">
    <text>https://www.repsol.com/imagenes/global/en/24_11_YPF_imoran_tcm14-13798.pdf</text>
  </threadedComment>
  <threadedComment ref="D41" dT="2022-10-26T10:08:24.16" personId="{21E0E8C2-A916-4E08-AEE0-0F250CDC6195}" id="{0E2A4221-5CC1-4B8B-8DD6-7CB4DC18F951}" parentId="{B6BDB079-6A6C-49B8-917D-712D40248E86}">
    <text>Plaza Huincul</text>
  </threadedComment>
  <threadedComment ref="D42" dT="2022-10-26T07:15:21.18" personId="{21E0E8C2-A916-4E08-AEE0-0F250CDC6195}" id="{2D9E94D4-9BBD-40FB-BF3B-DEBCCAA09D94}">
    <text>https://www.argusmedia.com/-/media/Files/sample-reports/20220729methanol.ashx?la=en&amp;hash=FDAA09E0CEEF4BC55B2AE401739F258E4C56AB97</text>
  </threadedComment>
  <threadedComment ref="D42" dT="2022-10-26T07:26:41.29" personId="{21E0E8C2-A916-4E08-AEE0-0F250CDC6195}" id="{AD2758E9-5A7B-4C3B-A716-8711F456F8A9}" parentId="{2D9E94D4-9BBD-40FB-BF3B-DEBCCAA09D94}">
    <text>The joint venture operates as Fairway Methanol LLC, with both Celanese and Mitsui maintaining a 50/50 ownership.</text>
  </threadedComment>
  <threadedComment ref="D42" dT="2022-10-26T07:27:36.49" personId="{21E0E8C2-A916-4E08-AEE0-0F250CDC6195}" id="{44AB5FD1-E8DA-42CC-B278-33FFFBFB2B5D}" parentId="{2D9E94D4-9BBD-40FB-BF3B-DEBCCAA09D94}">
    <text>https://www.icis.com/explore/resources/news/2019/04/17/10350110/celanese-to-expand-methanol-capacity-at-us-plant/</text>
  </threadedComment>
  <threadedComment ref="D43" dT="2022-10-26T07:20:09.01" personId="{21E0E8C2-A916-4E08-AEE0-0F250CDC6195}" id="{40830EA9-EB86-4C2D-BBD4-0D5ED3AECACC}">
    <text>https://www.usmeoh.com/read-me</text>
  </threadedComment>
  <threadedComment ref="D43" dT="2022-10-26T07:20:55.55" personId="{21E0E8C2-A916-4E08-AEE0-0F250CDC6195}" id="{07536148-4298-4573-9A29-EFA18E0CE914}" parentId="{40830EA9-EB86-4C2D-BBD4-0D5ED3AECACC}">
    <text>US Methanol has completed construction and is in the final stage of commissioning the Liberty One Methanol plant with commercial operations expected to commence during 3Q 2022.</text>
  </threadedComment>
  <threadedComment ref="D43" dT="2022-10-26T07:22:17.00" personId="{21E0E8C2-A916-4E08-AEE0-0F250CDC6195}" id="{330E0239-7DC0-47B2-AC02-4A967CAE36BB}" parentId="{40830EA9-EB86-4C2D-BBD4-0D5ED3AECACC}">
    <text>https://www.usmeoh.com/what-we-do</text>
  </threadedComment>
  <threadedComment ref="P43" dT="2022-10-26T07:21:47.32" personId="{21E0E8C2-A916-4E08-AEE0-0F250CDC6195}" id="{C24754BC-4945-4107-9969-C0E963D6A016}">
    <text>https://www.usmeoh.com/</text>
  </threadedComment>
  <threadedComment ref="D44" dT="2022-10-26T06:36:18.63" personId="{21E0E8C2-A916-4E08-AEE0-0F250CDC6195}" id="{F9362A2C-A52A-4E43-8D70-E9B22F29A4D7}">
    <text>https://www.methanex.com/sites/default/files/MEOH%20Presentation%20-%202021-11-18.pdf</text>
  </threadedComment>
  <threadedComment ref="D44" dT="2022-10-26T06:36:47.38" personId="{21E0E8C2-A916-4E08-AEE0-0F250CDC6195}" id="{2BE79B0C-47DB-4ADC-8453-0554F7615C91}" parentId="{F9362A2C-A52A-4E43-8D70-E9B22F29A4D7}">
    <text>https://www.argusmedia.com/-/media/Files/sample-reports/20220729methanol.ashx?la=en&amp;hash=FDAA09E0CEEF4BC55B2AE401739F258E4C56AB97</text>
  </threadedComment>
  <threadedComment ref="D45" dT="2022-10-26T07:11:04.12" personId="{21E0E8C2-A916-4E08-AEE0-0F250CDC6195}" id="{A9425A69-3CFA-45A4-8D8B-B2A5D5A4DEF3}">
    <text>https://www.argusmedia.com/-/media/Files/sample-reports/20220729methanol.ashx?la=en&amp;hash=FDAA09E0CEEF4BC55B2AE401739F258E4C56AB97</text>
  </threadedComment>
  <threadedComment ref="D45" dT="2022-10-26T08:43:55.26" personId="{21E0E8C2-A916-4E08-AEE0-0F250CDC6195}" id="{00228066-18E5-422E-9D7B-BEDE737FE5CC}" parentId="{A9425A69-3CFA-45A4-8D8B-B2A5D5A4DEF3}">
    <text>http://www.globalchemicalprice.com/chemical-market-news/lyondellbasell-s-methanol-plant-likely-to-restart-by-mid-december</text>
  </threadedComment>
  <threadedComment ref="D46" dT="2022-10-26T07:15:15.09" personId="{21E0E8C2-A916-4E08-AEE0-0F250CDC6195}" id="{BC9E1ACD-BEEB-4C16-8CCF-089A264385CE}">
    <text>https://www.argusmedia.com/-/media/Files/sample-reports/20220729methanol.ashx?la=en&amp;hash=FDAA09E0CEEF4BC55B2AE401739F258E4C56AB97</text>
  </threadedComment>
  <threadedComment ref="I46" dT="2022-10-26T08:51:07.49" personId="{21E0E8C2-A916-4E08-AEE0-0F250CDC6195}" id="{E12F9AE9-BBA4-4571-9E3F-36AD458C28CA}">
    <text xml:space="preserve">July 2019
</text>
  </threadedComment>
  <threadedComment ref="I46" dT="2022-10-26T08:51:18.51" personId="{21E0E8C2-A916-4E08-AEE0-0F250CDC6195}" id="{7B02B3EB-6A00-4182-B9E3-BBEF2C2E8B41}" parentId="{E12F9AE9-BBA4-4571-9E3F-36AD458C28CA}">
    <text>1
Includes 125ktpa added in July 2019 as a result of debottlenecking project; 2 JV with Consolidated Energy Ltd</text>
  </threadedComment>
  <threadedComment ref="D47" dT="2022-10-26T07:09:05.39" personId="{21E0E8C2-A916-4E08-AEE0-0F250CDC6195}" id="{50AFBC19-3F4E-47C2-88F2-C58360061201}">
    <text>https://www.argusmedia.com/-/media/Files/sample-reports/20220729methanol.ashx?la=en&amp;hash=FDAA09E0CEEF4BC55B2AE401739F258E4C56AB97</text>
  </threadedComment>
  <threadedComment ref="D48" dT="2022-10-26T09:08:56.60" personId="{21E0E8C2-A916-4E08-AEE0-0F250CDC6195}" id="{A93431F6-1554-4BB1-80E8-43A4777DD338}">
    <text>https://cdn.ihs.com/www/pdf/IHS-WMC-Alvarado-Final-Oct16.pdf</text>
  </threadedComment>
  <threadedComment ref="D49" dT="2022-10-26T06:36:31.24" personId="{21E0E8C2-A916-4E08-AEE0-0F250CDC6195}" id="{D79D89A7-E901-4AF3-A488-0248DDCD679B}">
    <text>https://www.methanex.com/sites/default/files/MEOH%20Presentation%20-%202021-11-18.pdf</text>
  </threadedComment>
  <threadedComment ref="D49" dT="2022-10-26T06:36:51.26" personId="{21E0E8C2-A916-4E08-AEE0-0F250CDC6195}" id="{2F274B92-939F-4EC0-A24E-F4B8DE428310}" parentId="{D79D89A7-E901-4AF3-A488-0248DDCD679B}">
    <text>https://www.argusmedia.com/-/media/Files/sample-reports/20220729methanol.ashx?la=en&amp;hash=FDAA09E0CEEF4BC55B2AE401739F258E4C56AB97</text>
  </threadedComment>
  <threadedComment ref="Q50" dT="2022-10-26T09:16:49.01" personId="{21E0E8C2-A916-4E08-AEE0-0F250CDC6195}" id="{A5C8D664-D158-4B5A-864B-1B5D1FA2AE09}">
    <text>https://www.nauticolenergy.com/operations/methanol/</text>
  </threadedComment>
  <threadedComment ref="D52" dT="2022-10-26T10:18:38.74" personId="{21E0E8C2-A916-4E08-AEE0-0F250CDC6195}" id="{BF89C4FB-0DA2-42BA-AF97-36B56DBE6551}">
    <text>https://www.refiningandpetrochemicalsme.com/petrochemicals/24413-sipchem-brings-methanol-plant-back-onstream-after-maintenance</text>
  </threadedComment>
  <threadedComment ref="D53" dT="2022-10-26T10:20:15.28" personId="{21E0E8C2-A916-4E08-AEE0-0F250CDC6195}" id="{2BFA69E6-BF57-4875-90CF-B91F20A7A3FA}">
    <text>https://www.mgc.co.jp/eng/company/basic-chemicals/capacity.html</text>
  </threadedComment>
  <threadedComment ref="D55" dT="2022-10-26T10:28:56.04" personId="{21E0E8C2-A916-4E08-AEE0-0F250CDC6195}" id="{AE09430C-960C-404D-8730-B5EF75F3E090}">
    <text>https://www.atlanticmethanol.com/about-us.html</text>
  </threadedComment>
  <threadedComment ref="D56" dT="2022-10-26T06:36:21.26" personId="{21E0E8C2-A916-4E08-AEE0-0F250CDC6195}" id="{6756ED9A-B120-4CCE-BE3B-428020746E41}">
    <text>https://www.methanex.com/sites/default/files/MEOH%20Presentation%20-%202021-11-18.pdf</text>
  </threadedComment>
  <threadedComment ref="D56" dT="2022-10-26T06:36:53.87" personId="{21E0E8C2-A916-4E08-AEE0-0F250CDC6195}" id="{E9E2A9E1-3792-4355-8A85-F80A8A5F2EB0}" parentId="{6756ED9A-B120-4CCE-BE3B-428020746E41}">
    <text>https://www.argusmedia.com/-/media/Files/sample-reports/20220729methanol.ashx?la=en&amp;hash=FDAA09E0CEEF4BC55B2AE401739F258E4C56AB97</text>
  </threadedComment>
  <threadedComment ref="E56" dT="2022-10-26T06:56:50.16" personId="{21E0E8C2-A916-4E08-AEE0-0F250CDC6195}" id="{DE0E2CBD-2899-4EA5-80D8-DF0C1435F992}">
    <text>https://www.methanex.com/location/middle-east/egypt/about-methanex-egypt</text>
  </threadedComment>
  <threadedComment ref="D57" dT="2022-10-26T06:36:24.79" personId="{21E0E8C2-A916-4E08-AEE0-0F250CDC6195}" id="{93285EEC-E8F1-4845-8B46-EA546AA1433A}">
    <text>https://www.methanex.com/sites/default/files/MEOH%20Presentation%20-%202021-11-18.pdf</text>
  </threadedComment>
  <threadedComment ref="D57" dT="2022-10-26T06:36:57.07" personId="{21E0E8C2-A916-4E08-AEE0-0F250CDC6195}" id="{1B634766-AA93-4C6B-8CB5-F462900A9630}" parentId="{93285EEC-E8F1-4845-8B46-EA546AA1433A}">
    <text>https://www.argusmedia.com/-/media/Files/sample-reports/20220729methanol.ashx?la=en&amp;hash=FDAA09E0CEEF4BC55B2AE401739F258E4C56AB97</text>
  </threadedComment>
  <threadedComment ref="B58" dT="2022-10-26T06:40:12.18" personId="{21E0E8C2-A916-4E08-AEE0-0F250CDC6195}" id="{1350EB42-D8FB-4832-923E-14DB5A070BEF}">
    <text>https://www.methanex.com/30th-anniversary/stories-and-celebrations/our-operations-trinidad-tobago</text>
  </threadedComment>
  <threadedComment ref="B58" dT="2022-10-26T06:41:25.03" personId="{21E0E8C2-A916-4E08-AEE0-0F250CDC6195}" id="{36A201BB-1931-4A51-B053-B94681473D6D}" parentId="{1350EB42-D8FB-4832-923E-14DB5A070BEF}">
    <text>https://www.energy.gov.tt/our-business/lng-petrochemicals/petrochemicals/methanol/</text>
  </threadedComment>
  <threadedComment ref="B58" dT="2022-10-26T06:42:14.51" personId="{21E0E8C2-A916-4E08-AEE0-0F250CDC6195}" id="{FC222C33-6EA0-4E97-844B-9356FFFAC918}" parentId="{1350EB42-D8FB-4832-923E-14DB5A070BEF}">
    <text xml:space="preserve">Titan methanol facility </text>
  </threadedComment>
  <threadedComment ref="D58" dT="2022-10-26T06:36:27.76" personId="{21E0E8C2-A916-4E08-AEE0-0F250CDC6195}" id="{3BEFECF3-961C-470A-B346-B91CC8B8C3F8}">
    <text>https://www.methanex.com/sites/default/files/MEOH%20Presentation%20-%202021-11-18.pdf</text>
  </threadedComment>
  <threadedComment ref="D58" dT="2022-10-26T06:37:00.10" personId="{21E0E8C2-A916-4E08-AEE0-0F250CDC6195}" id="{E88B79B7-E8E6-4A31-B787-ACEAD65477A5}" parentId="{3BEFECF3-961C-470A-B346-B91CC8B8C3F8}">
    <text>https://www.argusmedia.com/-/media/Files/sample-reports/20220729methanol.ashx?la=en&amp;hash=FDAA09E0CEEF4BC55B2AE401739F258E4C56AB97</text>
  </threadedComment>
  <threadedComment ref="D58" dT="2022-10-26T06:38:01.62" personId="{21E0E8C2-A916-4E08-AEE0-0F250CDC6195}" id="{DD5AFFB5-A5EB-462C-8ED5-6A81C93D2551}" parentId="{3BEFECF3-961C-470A-B346-B91CC8B8C3F8}">
    <text>https://www.argusmedia.com/-/media/Files/sample-reports/20220729methanol.ashx?la=en&amp;hash=FDAA09E0CEEF4BC55B2AE401739F258E4C56AB97</text>
  </threadedComment>
  <threadedComment ref="D58" dT="2022-10-26T06:40:06.16" personId="{21E0E8C2-A916-4E08-AEE0-0F250CDC6195}" id="{6DB29406-2282-4D27-98F8-BE795D5E77FD}" parentId="{3BEFECF3-961C-470A-B346-B91CC8B8C3F8}">
    <text>https://www.methanex.com/30th-anniversary/stories-and-celebrations/our-operations-trinidad-tobago</text>
  </threadedComment>
  <threadedComment ref="B59" dT="2022-10-26T06:43:12.42" personId="{21E0E8C2-A916-4E08-AEE0-0F250CDC6195}" id="{EF607DCC-5258-47EA-98CD-55709AA1E809}">
    <text>Atlas Methanex</text>
  </threadedComment>
  <threadedComment ref="D60" dT="2022-10-26T06:48:53.98" personId="{21E0E8C2-A916-4E08-AEE0-0F250CDC6195}" id="{CE84CB61-7549-468E-98A1-626B180D048D}">
    <text>CMC (M2)</text>
  </threadedComment>
  <threadedComment ref="D60" dT="2022-10-26T06:51:00.09" personId="{21E0E8C2-A916-4E08-AEE0-0F250CDC6195}" id="{78B97DF6-063D-47DC-92F0-4AE08B171E29}" parentId="{CE84CB61-7549-468E-98A1-626B180D048D}">
    <text>https://www.argusmedia.com/-/media/Files/sample-reports/20220729methanol.ashx?la=en&amp;hash=FDAA09E0CEEF4BC55B2AE401739F258E4C56AB97</text>
  </threadedComment>
  <threadedComment ref="D60" dT="2022-10-26T06:51:53.71" personId="{21E0E8C2-A916-4E08-AEE0-0F250CDC6195}" id="{7CE18601-9C46-4AD1-81E4-935E288AA762}" parentId="{CE84CB61-7549-468E-98A1-626B180D048D}">
    <text>https://www.energy.gov.tt/our-business/lng-petrochemicals/petrochemicals/methanol/</text>
  </threadedComment>
  <threadedComment ref="D61" dT="2022-10-26T06:49:06.26" personId="{21E0E8C2-A916-4E08-AEE0-0F250CDC6195}" id="{FC503461-F69D-4DCF-8B1E-EF6DB14E4CAE}">
    <text>Methanol IV (M4)</text>
  </threadedComment>
  <threadedComment ref="D61" dT="2022-10-26T06:51:03.44" personId="{21E0E8C2-A916-4E08-AEE0-0F250CDC6195}" id="{7955681B-A5C2-407F-A481-A43DECD3ACE6}" parentId="{FC503461-F69D-4DCF-8B1E-EF6DB14E4CAE}">
    <text>https://www.argusmedia.com/-/media/Files/sample-reports/20220729methanol.ashx?la=en&amp;hash=FDAA09E0CEEF4BC55B2AE401739F258E4C56AB97</text>
  </threadedComment>
  <threadedComment ref="D61" dT="2022-10-26T06:51:56.32" personId="{21E0E8C2-A916-4E08-AEE0-0F250CDC6195}" id="{22BDD562-40DE-4374-A2A4-E32C5806D9B5}" parentId="{FC503461-F69D-4DCF-8B1E-EF6DB14E4CAE}">
    <text>https://www.energy.gov.tt/our-business/lng-petrochemicals/petrochemicals/methanol/</text>
  </threadedComment>
  <threadedComment ref="D62" dT="2022-10-26T06:49:53.89" personId="{21E0E8C2-A916-4E08-AEE0-0F250CDC6195}" id="{84629E2A-2611-4298-8D3C-E6A730F3E5B4}">
    <text>TTMC #1 (M1)</text>
  </threadedComment>
  <threadedComment ref="D62" dT="2022-10-26T06:51:06.49" personId="{21E0E8C2-A916-4E08-AEE0-0F250CDC6195}" id="{5ADCDAB5-E3AC-4CB3-86A5-077266416626}" parentId="{84629E2A-2611-4298-8D3C-E6A730F3E5B4}">
    <text>https://www.argusmedia.com/-/media/Files/sample-reports/20220729methanol.ashx?la=en&amp;hash=FDAA09E0CEEF4BC55B2AE401739F258E4C56AB97</text>
  </threadedComment>
  <threadedComment ref="D62" dT="2022-10-26T06:51:59.23" personId="{21E0E8C2-A916-4E08-AEE0-0F250CDC6195}" id="{8D2D398A-1833-4AC1-BF1D-10D0FD2578DD}" parentId="{84629E2A-2611-4298-8D3C-E6A730F3E5B4}">
    <text>https://www.energy.gov.tt/our-business/lng-petrochemicals/petrochemicals/methanol/</text>
  </threadedComment>
  <threadedComment ref="D63" dT="2022-10-26T06:49:57.34" personId="{21E0E8C2-A916-4E08-AEE0-0F250CDC6195}" id="{B428A7DE-E209-494D-A27C-D70B52066969}">
    <text>TTMC #2 (M3)</text>
  </threadedComment>
  <threadedComment ref="D63" dT="2022-10-26T06:51:09.38" personId="{21E0E8C2-A916-4E08-AEE0-0F250CDC6195}" id="{F9D2365A-5B79-46FD-9568-749247270385}" parentId="{B428A7DE-E209-494D-A27C-D70B52066969}">
    <text>https://www.argusmedia.com/-/media/Files/sample-reports/20220729methanol.ashx?la=en&amp;hash=FDAA09E0CEEF4BC55B2AE401739F258E4C56AB97</text>
  </threadedComment>
  <threadedComment ref="D63" dT="2022-10-26T06:52:02.58" personId="{21E0E8C2-A916-4E08-AEE0-0F250CDC6195}" id="{85FFFA20-1F15-4E48-8370-B90C9FD1B1BC}" parentId="{B428A7DE-E209-494D-A27C-D70B52066969}">
    <text>https://www.energy.gov.tt/our-business/lng-petrochemicals/petrochemicals/methanol/</text>
  </threadedComment>
  <threadedComment ref="D64" dT="2022-10-26T06:50:08.94" personId="{21E0E8C2-A916-4E08-AEE0-0F250CDC6195}" id="{90B74140-DB4D-4F62-BD45-A230036BFB02}">
    <text>MHTL (M5)</text>
  </threadedComment>
  <threadedComment ref="D64" dT="2022-10-26T06:51:12.48" personId="{21E0E8C2-A916-4E08-AEE0-0F250CDC6195}" id="{0BA8CF98-F4EC-4F1C-B861-D849C5C8756E}" parentId="{90B74140-DB4D-4F62-BD45-A230036BFB02}">
    <text>https://www.argusmedia.com/-/media/Files/sample-reports/20220729methanol.ashx?la=en&amp;hash=FDAA09E0CEEF4BC55B2AE401739F258E4C56AB97</text>
  </threadedComment>
  <threadedComment ref="D64" dT="2022-10-26T06:52:05.34" personId="{21E0E8C2-A916-4E08-AEE0-0F250CDC6195}" id="{280888BB-0DFE-41C0-8383-1C25E777E7EB}" parentId="{90B74140-DB4D-4F62-BD45-A230036BFB02}">
    <text>https://www.energy.gov.tt/our-business/lng-petrochemicals/petrochemicals/methanol/</text>
  </threadedComment>
  <threadedComment ref="D65" dT="2022-10-26T06:51:17.61" personId="{21E0E8C2-A916-4E08-AEE0-0F250CDC6195}" id="{4C3DC542-CCFC-4334-AF5A-CCF7F569930F}">
    <text>https://www.argusmedia.com/-/media/Files/sample-reports/20220729methanol.ashx?la=en&amp;hash=FDAA09E0CEEF4BC55B2AE401739F258E4C56AB97</text>
  </threadedComment>
  <threadedComment ref="D66" dT="2022-10-26T07:15:12.68" personId="{21E0E8C2-A916-4E08-AEE0-0F250CDC6195}" id="{593F6CF7-0E81-4794-9212-AFB36539BD07}">
    <text>https://www.argusmedia.com/-/media/Files/sample-reports/20220729methanol.ashx?la=en&amp;hash=FDAA09E0CEEF4BC55B2AE401739F258E4C56AB97</text>
  </threadedComment>
  <threadedComment ref="D67" dT="2022-10-26T07:15:17.50" personId="{21E0E8C2-A916-4E08-AEE0-0F250CDC6195}" id="{73A1A370-09DE-43A9-B1BD-2E92646C2C0D}">
    <text>https://www.argusmedia.com/-/media/Files/sample-reports/20220729methanol.ashx?la=en&amp;hash=FDAA09E0CEEF4BC55B2AE401739F258E4C56AB97</text>
  </threadedComment>
  <threadedComment ref="D67" dT="2022-10-26T08:46:43.65" personId="{21E0E8C2-A916-4E08-AEE0-0F250CDC6195}" id="{1FB189E3-441A-443F-9AFC-15FA72314420}" parentId="{73A1A370-09DE-43A9-B1BD-2E92646C2C0D}">
    <text>https://www.oci.nl/media/1335/natgasoline-begins-methanol-production-final.pdf</text>
  </threadedComment>
  <threadedComment ref="H67" dT="2022-10-26T08:46:53.56" personId="{21E0E8C2-A916-4E08-AEE0-0F250CDC6195}" id="{F8B17604-12D5-4BBC-B2B7-223310B48138}">
    <text>June 2018</text>
  </threadedComment>
  <threadedComment ref="H67" dT="2022-10-26T08:52:12.36" personId="{21E0E8C2-A916-4E08-AEE0-0F250CDC6195}" id="{381E43D3-216E-4AD1-9199-06CCE8DD57B3}" parentId="{F8B17604-12D5-4BBC-B2B7-223310B48138}">
    <text>Commercial production started in June 2018</text>
  </threadedComment>
  <threadedComment ref="D68" dT="2022-10-26T07:15:26.77" personId="{21E0E8C2-A916-4E08-AEE0-0F250CDC6195}" id="{644980A9-9D1D-4902-AFF1-6EA25CBA6750}">
    <text>https://www.argusmedia.com/-/media/Files/sample-reports/20220729methanol.ashx?la=en&amp;hash=FDAA09E0CEEF4BC55B2AE401739F258E4C56AB97</text>
  </threadedComment>
  <threadedComment ref="D69" dT="2022-10-26T07:15:29.14" personId="{21E0E8C2-A916-4E08-AEE0-0F250CDC6195}" id="{90EF840A-8601-4CBC-815C-8EBF2D940F76}">
    <text>https://www.argusmedia.com/-/media/Files/sample-reports/20220729methanol.ashx?la=en&amp;hash=FDAA09E0CEEF4BC55B2AE401739F258E4C56AB97</text>
  </threadedComment>
  <threadedComment ref="D70" dT="2022-10-26T07:15:33.11" personId="{21E0E8C2-A916-4E08-AEE0-0F250CDC6195}" id="{28B7AA45-C48E-4C0C-9D65-BB52BF6CB22B}">
    <text>https://www.argusmedia.com/-/media/Files/sample-reports/20220729methanol.ashx?la=en&amp;hash=FDAA09E0CEEF4BC55B2AE401739F258E4C56AB97</text>
  </threadedComment>
  <threadedComment ref="D71" dT="2022-10-26T07:15:36.53" personId="{21E0E8C2-A916-4E08-AEE0-0F250CDC6195}" id="{D1E0D4C9-E3CF-4A4F-A7F8-CE7B6828ECE7}">
    <text>https://www.argusmedia.com/-/media/Files/sample-reports/20220729methanol.ashx?la=en&amp;hash=FDAA09E0CEEF4BC55B2AE401739F258E4C56AB97</text>
  </threadedComment>
  <threadedComment ref="D72" dT="2022-10-26T07:15:39.06" personId="{21E0E8C2-A916-4E08-AEE0-0F250CDC6195}" id="{ABD30AAB-6631-42F2-A978-76967BE01D4D}">
    <text>https://www.argusmedia.com/-/media/Files/sample-reports/20220729methanol.ashx?la=en&amp;hash=FDAA09E0CEEF4BC55B2AE401739F258E4C56AB97</text>
  </threadedComment>
  <threadedComment ref="D73" dT="2022-10-26T07:15:42.11" personId="{21E0E8C2-A916-4E08-AEE0-0F250CDC6195}" id="{BAE64C25-A854-42A6-ACD5-DB72A084BC37}">
    <text>https://www.argusmedia.com/-/media/Files/sample-reports/20220729methanol.ashx?la=en&amp;hash=FDAA09E0CEEF4BC55B2AE401739F258E4C56AB97</text>
  </threadedComment>
  <threadedComment ref="D74" dT="2022-10-26T07:15:45.11" personId="{21E0E8C2-A916-4E08-AEE0-0F250CDC6195}" id="{79D55099-FCE6-485D-83CE-D9268255F647}">
    <text>https://www.argusmedia.com/-/media/Files/sample-reports/20220729methanol.ashx?la=en&amp;hash=FDAA09E0CEEF4BC55B2AE401739F258E4C56AB97</text>
  </threadedComment>
  <threadedComment ref="D75" dT="2022-10-26T08:51:47.23" personId="{21E0E8C2-A916-4E08-AEE0-0F250CDC6195}" id="{A0A02DC5-462B-4AB0-AB06-E369B0EC4F05}">
    <text>https://www.oci.nl/media/1906/oci-nv-investor-presentation-march-2021.pdf</text>
  </threadedComment>
  <threadedComment ref="D76" dT="2022-10-26T08:51:47.23" personId="{21E0E8C2-A916-4E08-AEE0-0F250CDC6195}" id="{35C0AABF-AD24-44AE-9619-840B9F968483}">
    <text>https://www.oci.nl/media/1906/oci-nv-investor-presentation-march-2021.pdf</text>
  </threadedComment>
  <threadedComment ref="D77" dT="2022-10-26T10:00:02.95" personId="{21E0E8C2-A916-4E08-AEE0-0F250CDC6195}" id="{EAB442B4-AB4B-4E1E-A3CE-ADCDF8FAC49D}">
    <text>https://www.equinor.com/energy/onshore-facilities</text>
  </threadedComment>
  <threadedComment ref="D79" dT="2022-10-26T10:35:43.28" personId="{21E0E8C2-A916-4E08-AEE0-0F250CDC6195}" id="{280A96F3-941C-45AC-B8B4-9ABFC9023340}">
    <text>https://kavehglass.com/?page_id=3453&amp;lang=en#:~:text=Established%20in%202006%2C%20Kaveh%20Methanol,million%20metric%20tons%20of%20methanol.</text>
  </threadedComment>
  <threadedComment ref="D79" dT="2022-10-26T10:36:03.16" personId="{21E0E8C2-A916-4E08-AEE0-0F250CDC6195}" id="{ED0A6049-0F95-4328-BD89-249993A29377}" parentId="{280A96F3-941C-45AC-B8B4-9ABFC9023340}">
    <text>http://petrokaveh.com/kaveh-methanol-plant/</text>
  </threadedComment>
  <threadedComment ref="D81" dT="2022-10-26T10:37:52.59" personId="{21E0E8C2-A916-4E08-AEE0-0F250CDC6195}" id="{D1E98001-AF09-4669-B85D-2A325F8049B7}">
    <text>https://www.knak.jp/others/iran-now-1.htm</text>
  </threadedComment>
  <threadedComment ref="D81" dT="2022-10-26T10:48:44.16" personId="{21E0E8C2-A916-4E08-AEE0-0F250CDC6195}" id="{A48DE1F7-5826-4B94-9F31-9225C6DF0E1E}" parentId="{D1E98001-AF09-4669-B85D-2A325F8049B7}">
    <text>Fanavaran Petrochemical Company</text>
  </threadedComment>
  <threadedComment ref="D81" dT="2022-10-26T10:48:54.24" personId="{21E0E8C2-A916-4E08-AEE0-0F250CDC6195}" id="{48F66085-483B-4EF2-9F32-63C94A361AF4}" parentId="{D1E98001-AF09-4669-B85D-2A325F8049B7}">
    <text>https://smartcatalyst.ir/en/methanol-manufacturers-in-iran/</text>
  </threadedComment>
  <threadedComment ref="D82" dT="2022-10-26T10:38:46.16" personId="{21E0E8C2-A916-4E08-AEE0-0F250CDC6195}" id="{61F57463-7311-4E06-A407-0644666B9FE2}">
    <text>https://www.gpca.org.ae/2020/07/12/zagros-petrochemical-company/#:~:text=Zagros%20Petrochemical%20Company%20has%20long,grade%20AA%20and%20purity%2099.85%25.</text>
  </threadedComment>
  <threadedComment ref="D82" dT="2022-10-26T10:47:20.12" personId="{21E0E8C2-A916-4E08-AEE0-0F250CDC6195}" id="{CE13A705-2A68-4C4F-850C-DADCEB6A9A40}" parentId="{61F57463-7311-4E06-A407-0644666B9FE2}">
    <text>Zagros Petrochemical Company</text>
  </threadedComment>
  <threadedComment ref="D82" dT="2022-10-26T10:47:58.23" personId="{21E0E8C2-A916-4E08-AEE0-0F250CDC6195}" id="{FA963112-6B0C-409E-9593-3C3D73E84FDC}" parentId="{61F57463-7311-4E06-A407-0644666B9FE2}">
    <text>https://smartcatalyst.ir/en/methanol-manufacturers-in-iran/</text>
  </threadedComment>
  <threadedComment ref="D83" dT="2022-10-26T10:40:00.48" personId="{21E0E8C2-A916-4E08-AEE0-0F250CDC6195}" id="{8DD76664-CF26-42F1-9301-B5ACE699F51A}">
    <text>https://financialtribune.com/articles/energy/115177/marjan-petrochem-company-reduces-pollution-expenses#:~:text=Located%20in%20South%20Pars%20Petzone,in%20the%20southern%20Bushehr%20Province.</text>
  </threadedComment>
  <threadedComment ref="D83" dT="2022-10-26T10:40:32.49" personId="{21E0E8C2-A916-4E08-AEE0-0F250CDC6195}" id="{9C63D819-C9FA-45D4-A3F7-1F1B756CFBCA}" parentId="{8DD76664-CF26-42F1-9301-B5ACE699F51A}">
    <text>https://www.pedc.ir/news-media/news/id/171/marjan-petchem-plant-operational</text>
  </threadedComment>
  <threadedComment ref="D84" dT="2022-10-26T10:46:09.30" personId="{21E0E8C2-A916-4E08-AEE0-0F250CDC6195}" id="{75B009C3-46BD-455C-8DA4-3DBA34DB57F7}">
    <text xml:space="preserve">https://www.sabalanpico.com/en/about-us/#:~:text=Aiming%20at%20constructing%20an%20AA,established%20on%20October%206%2C%202010.
</text>
  </threadedComment>
  <threadedComment ref="D85" dT="2022-10-26T10:52:07.10" personId="{21E0E8C2-A916-4E08-AEE0-0F250CDC6195}" id="{81958748-1A56-404F-843F-32011AFD3DC0}">
    <text>https://smartcatalyst.ir/en/methanol-manufacturers-in-iran/</text>
  </threadedComment>
  <threadedComment ref="D90" dT="2022-10-26T10:56:09.27" personId="{21E0E8C2-A916-4E08-AEE0-0F250CDC6195}" id="{01303E30-4162-4711-A164-349C218EC0BA}">
    <text>https://www.qafac.com.qa/about-us#:~:text=The%20QAFAC%20plant%20is%20designed,and%20610%2C000%20TPA%20of%20MTBE.</text>
  </threadedComment>
  <threadedComment ref="D90" dT="2022-10-26T10:56:45.20" personId="{21E0E8C2-A916-4E08-AEE0-0F250CDC6195}" id="{B29879B4-EB08-4E87-81E5-2AD39E000244}" parentId="{01303E30-4162-4711-A164-349C218EC0BA}">
    <text>https://www.qafac.com.qa/methanol</text>
  </threadedComment>
  <threadedComment ref="D92" dT="2022-10-26T11:02:28.09" personId="{21E0E8C2-A916-4E08-AEE0-0F250CDC6195}" id="{D9A5C53F-B208-4266-91EB-52E0FC99A0EE}">
    <text>https://www.omanmethanol.com/</text>
  </threadedComment>
  <threadedComment ref="D92" dT="2022-10-26T11:02:46.28" personId="{21E0E8C2-A916-4E08-AEE0-0F250CDC6195}" id="{E9C06157-A625-4778-911F-D2B40408DE3B}" parentId="{D9A5C53F-B208-4266-91EB-52E0FC99A0EE}">
    <text>https://www.omanmethanol.com/Pages.aspx?id=1</text>
  </threadedComment>
  <threadedComment ref="D93" dT="2022-10-26T11:04:55.18" personId="{21E0E8C2-A916-4E08-AEE0-0F250CDC6195}" id="{48A44312-3128-42D8-B838-21E598A024DE}">
    <text>https://oq.com/en/products/intermediates/methanol</text>
  </threadedComment>
  <threadedComment ref="D94" dT="2022-10-26T10:21:19.12" personId="{21E0E8C2-A916-4E08-AEE0-0F250CDC6195}" id="{3D446A49-04F0-49E6-9DA4-2679359E3B7F}">
    <text>https://www.mgc.co.jp/eng/company/basic-chemicals/capacity.html</text>
  </threadedComment>
  <threadedComment ref="D130" dT="2022-10-26T06:36:21.26" personId="{21E0E8C2-A916-4E08-AEE0-0F250CDC6195}" id="{81E4F019-D477-420C-8B20-E8F03FA82BB8}">
    <text>https://www.methanex.com/sites/default/files/MEOH%20Presentation%20-%202021-11-18.pdf</text>
  </threadedComment>
  <threadedComment ref="D130" dT="2022-10-26T06:36:53.87" personId="{21E0E8C2-A916-4E08-AEE0-0F250CDC6195}" id="{E7DBC17A-6F0B-457E-8BF9-32217D145E2D}" parentId="{81E4F019-D477-420C-8B20-E8F03FA82BB8}">
    <text>https://www.argusmedia.com/-/media/Files/sample-reports/20220729methanol.ashx?la=en&amp;hash=FDAA09E0CEEF4BC55B2AE401739F258E4C56AB97</text>
  </threadedComment>
  <threadedComment ref="E130" dT="2022-10-26T06:56:50.16" personId="{21E0E8C2-A916-4E08-AEE0-0F250CDC6195}" id="{50BAEE05-DEAD-4CFF-A49A-D4E11B25CA4A}">
    <text>https://www.methanex.com/location/middle-east/egypt/about-methanex-egypt</text>
  </threadedComment>
  <threadedComment ref="D131" dT="2022-10-26T06:36:24.79" personId="{21E0E8C2-A916-4E08-AEE0-0F250CDC6195}" id="{487803DA-70FF-4421-BA30-9A95D0133EEF}">
    <text>https://www.methanex.com/sites/default/files/MEOH%20Presentation%20-%202021-11-18.pdf</text>
  </threadedComment>
  <threadedComment ref="D131" dT="2022-10-26T06:36:57.07" personId="{21E0E8C2-A916-4E08-AEE0-0F250CDC6195}" id="{434957DA-FE66-4065-99B1-7C074170B86C}" parentId="{487803DA-70FF-4421-BA30-9A95D0133EEF}">
    <text>https://www.argusmedia.com/-/media/Files/sample-reports/20220729methanol.ashx?la=en&amp;hash=FDAA09E0CEEF4BC55B2AE401739F258E4C56AB97</text>
  </threadedComment>
  <threadedComment ref="B132" dT="2022-10-26T06:40:12.18" personId="{21E0E8C2-A916-4E08-AEE0-0F250CDC6195}" id="{7929D78A-21C8-41F7-9055-4021AE76CB98}">
    <text>https://www.methanex.com/30th-anniversary/stories-and-celebrations/our-operations-trinidad-tobago</text>
  </threadedComment>
  <threadedComment ref="B132" dT="2022-10-26T06:41:25.03" personId="{21E0E8C2-A916-4E08-AEE0-0F250CDC6195}" id="{DD4BF407-730F-42CA-88D6-27F5828770BD}" parentId="{7929D78A-21C8-41F7-9055-4021AE76CB98}">
    <text>https://www.energy.gov.tt/our-business/lng-petrochemicals/petrochemicals/methanol/</text>
  </threadedComment>
  <threadedComment ref="B132" dT="2022-10-26T06:42:14.51" personId="{21E0E8C2-A916-4E08-AEE0-0F250CDC6195}" id="{CA951A7E-7B98-462F-BE54-F357A2D68FA4}" parentId="{7929D78A-21C8-41F7-9055-4021AE76CB98}">
    <text xml:space="preserve">Titan methanol facility </text>
  </threadedComment>
  <threadedComment ref="D132" dT="2022-10-26T06:36:27.76" personId="{21E0E8C2-A916-4E08-AEE0-0F250CDC6195}" id="{0BB03134-9F28-4EFD-8881-F9FF43286E1B}">
    <text>https://www.methanex.com/sites/default/files/MEOH%20Presentation%20-%202021-11-18.pdf</text>
  </threadedComment>
  <threadedComment ref="D132" dT="2022-10-26T06:37:00.10" personId="{21E0E8C2-A916-4E08-AEE0-0F250CDC6195}" id="{D2FD3195-4A71-4BC9-B3EF-F6A9CDA25286}" parentId="{0BB03134-9F28-4EFD-8881-F9FF43286E1B}">
    <text>https://www.argusmedia.com/-/media/Files/sample-reports/20220729methanol.ashx?la=en&amp;hash=FDAA09E0CEEF4BC55B2AE401739F258E4C56AB97</text>
  </threadedComment>
  <threadedComment ref="D132" dT="2022-10-26T06:38:01.62" personId="{21E0E8C2-A916-4E08-AEE0-0F250CDC6195}" id="{3791ABD2-A66E-4AF5-83F7-04BECAC013FD}" parentId="{0BB03134-9F28-4EFD-8881-F9FF43286E1B}">
    <text>https://www.argusmedia.com/-/media/Files/sample-reports/20220729methanol.ashx?la=en&amp;hash=FDAA09E0CEEF4BC55B2AE401739F258E4C56AB97</text>
  </threadedComment>
  <threadedComment ref="D132" dT="2022-10-26T06:40:06.16" personId="{21E0E8C2-A916-4E08-AEE0-0F250CDC6195}" id="{89868374-3EC3-48A3-BA3D-434177F09F08}" parentId="{0BB03134-9F28-4EFD-8881-F9FF43286E1B}">
    <text>https://www.methanex.com/30th-anniversary/stories-and-celebrations/our-operations-trinidad-tobago</text>
  </threadedComment>
  <threadedComment ref="B133" dT="2022-10-26T06:43:12.42" personId="{21E0E8C2-A916-4E08-AEE0-0F250CDC6195}" id="{FFA37690-987D-4B66-80D1-89E56ECA0032}">
    <text>Atlas Methanex</text>
  </threadedComment>
  <threadedComment ref="D134" dT="2022-10-26T06:48:53.98" personId="{21E0E8C2-A916-4E08-AEE0-0F250CDC6195}" id="{56449A96-885B-4C4C-8A08-E00760853375}">
    <text>CMC (M2)</text>
  </threadedComment>
  <threadedComment ref="D134" dT="2022-10-26T06:51:00.09" personId="{21E0E8C2-A916-4E08-AEE0-0F250CDC6195}" id="{1191EB9D-AEA0-4EAF-95A9-C9A65EE53C00}" parentId="{56449A96-885B-4C4C-8A08-E00760853375}">
    <text>https://www.argusmedia.com/-/media/Files/sample-reports/20220729methanol.ashx?la=en&amp;hash=FDAA09E0CEEF4BC55B2AE401739F258E4C56AB97</text>
  </threadedComment>
  <threadedComment ref="D134" dT="2022-10-26T06:51:53.71" personId="{21E0E8C2-A916-4E08-AEE0-0F250CDC6195}" id="{E7ED8F67-20F1-4631-86EE-C2C0D7B8DFF6}" parentId="{56449A96-885B-4C4C-8A08-E00760853375}">
    <text>https://www.energy.gov.tt/our-business/lng-petrochemicals/petrochemicals/methanol/</text>
  </threadedComment>
  <threadedComment ref="D135" dT="2022-10-26T06:49:06.26" personId="{21E0E8C2-A916-4E08-AEE0-0F250CDC6195}" id="{62B78715-934F-45E0-8654-40A8CD0CD5C4}">
    <text>Methanol IV (M4)</text>
  </threadedComment>
  <threadedComment ref="D135" dT="2022-10-26T06:51:03.44" personId="{21E0E8C2-A916-4E08-AEE0-0F250CDC6195}" id="{82ADA341-18F4-4B51-8538-DE3653D59D05}" parentId="{62B78715-934F-45E0-8654-40A8CD0CD5C4}">
    <text>https://www.argusmedia.com/-/media/Files/sample-reports/20220729methanol.ashx?la=en&amp;hash=FDAA09E0CEEF4BC55B2AE401739F258E4C56AB97</text>
  </threadedComment>
  <threadedComment ref="D135" dT="2022-10-26T06:51:56.32" personId="{21E0E8C2-A916-4E08-AEE0-0F250CDC6195}" id="{BD2FCBDE-50CD-4457-B375-53D2CF8B2D3C}" parentId="{62B78715-934F-45E0-8654-40A8CD0CD5C4}">
    <text>https://www.energy.gov.tt/our-business/lng-petrochemicals/petrochemicals/methanol/</text>
  </threadedComment>
  <threadedComment ref="D136" dT="2022-10-26T06:49:53.89" personId="{21E0E8C2-A916-4E08-AEE0-0F250CDC6195}" id="{8E39C37B-6C17-430A-844E-5ABED0A4CE88}">
    <text>TTMC #1 (M1)</text>
  </threadedComment>
  <threadedComment ref="D136" dT="2022-10-26T06:51:06.49" personId="{21E0E8C2-A916-4E08-AEE0-0F250CDC6195}" id="{58244534-EC43-4433-8690-0EB1124CE04C}" parentId="{8E39C37B-6C17-430A-844E-5ABED0A4CE88}">
    <text>https://www.argusmedia.com/-/media/Files/sample-reports/20220729methanol.ashx?la=en&amp;hash=FDAA09E0CEEF4BC55B2AE401739F258E4C56AB97</text>
  </threadedComment>
  <threadedComment ref="D136" dT="2022-10-26T06:51:59.23" personId="{21E0E8C2-A916-4E08-AEE0-0F250CDC6195}" id="{45DAA1DE-72B4-44C5-AE3F-7E4E8315848B}" parentId="{8E39C37B-6C17-430A-844E-5ABED0A4CE88}">
    <text>https://www.energy.gov.tt/our-business/lng-petrochemicals/petrochemicals/methanol/</text>
  </threadedComment>
  <threadedComment ref="D137" dT="2022-10-26T06:49:57.34" personId="{21E0E8C2-A916-4E08-AEE0-0F250CDC6195}" id="{4B10CE74-153F-4031-890A-63D3245D24CB}">
    <text>TTMC #2 (M3)</text>
  </threadedComment>
  <threadedComment ref="D137" dT="2022-10-26T06:51:09.38" personId="{21E0E8C2-A916-4E08-AEE0-0F250CDC6195}" id="{E2F54C54-7EE7-4568-90A3-E6B0663A641F}" parentId="{4B10CE74-153F-4031-890A-63D3245D24CB}">
    <text>https://www.argusmedia.com/-/media/Files/sample-reports/20220729methanol.ashx?la=en&amp;hash=FDAA09E0CEEF4BC55B2AE401739F258E4C56AB97</text>
  </threadedComment>
  <threadedComment ref="D137" dT="2022-10-26T06:52:02.58" personId="{21E0E8C2-A916-4E08-AEE0-0F250CDC6195}" id="{23B635E3-9E73-4085-BF4D-252F7CE71351}" parentId="{4B10CE74-153F-4031-890A-63D3245D24CB}">
    <text>https://www.energy.gov.tt/our-business/lng-petrochemicals/petrochemicals/methanol/</text>
  </threadedComment>
  <threadedComment ref="D138" dT="2022-10-26T06:50:08.94" personId="{21E0E8C2-A916-4E08-AEE0-0F250CDC6195}" id="{6A18BED5-207E-4C67-8413-63AAA886A2F4}">
    <text>MHTL (M5)</text>
  </threadedComment>
  <threadedComment ref="D138" dT="2022-10-26T06:51:12.48" personId="{21E0E8C2-A916-4E08-AEE0-0F250CDC6195}" id="{27D7EA4B-94FF-4568-8BBE-C11A5221E5F5}" parentId="{6A18BED5-207E-4C67-8413-63AAA886A2F4}">
    <text>https://www.argusmedia.com/-/media/Files/sample-reports/20220729methanol.ashx?la=en&amp;hash=FDAA09E0CEEF4BC55B2AE401739F258E4C56AB97</text>
  </threadedComment>
  <threadedComment ref="D138" dT="2022-10-26T06:52:05.34" personId="{21E0E8C2-A916-4E08-AEE0-0F250CDC6195}" id="{F39D280A-44A9-4EE8-90ED-D243E1F40BD5}" parentId="{6A18BED5-207E-4C67-8413-63AAA886A2F4}">
    <text>https://www.energy.gov.tt/our-business/lng-petrochemicals/petrochemicals/methanol/</text>
  </threadedComment>
  <threadedComment ref="D139" dT="2022-10-26T06:51:17.61" personId="{21E0E8C2-A916-4E08-AEE0-0F250CDC6195}" id="{7C4C2D45-BEC5-47F7-B264-3DB7EA2DB80B}">
    <text>https://www.argusmedia.com/-/media/Files/sample-reports/20220729methanol.ashx?la=en&amp;hash=FDAA09E0CEEF4BC55B2AE401739F258E4C56AB97</text>
  </threadedComment>
  <threadedComment ref="D140" dT="2022-10-26T07:15:12.68" personId="{21E0E8C2-A916-4E08-AEE0-0F250CDC6195}" id="{AAB09583-B109-424A-B135-DE0A89754DFF}">
    <text>https://www.argusmedia.com/-/media/Files/sample-reports/20220729methanol.ashx?la=en&amp;hash=FDAA09E0CEEF4BC55B2AE401739F258E4C56AB97</text>
  </threadedComment>
  <threadedComment ref="D141" dT="2022-10-26T07:15:17.50" personId="{21E0E8C2-A916-4E08-AEE0-0F250CDC6195}" id="{E0BB7566-6A82-46B9-B5BC-A8EE88CAE9E3}">
    <text>https://www.argusmedia.com/-/media/Files/sample-reports/20220729methanol.ashx?la=en&amp;hash=FDAA09E0CEEF4BC55B2AE401739F258E4C56AB97</text>
  </threadedComment>
  <threadedComment ref="D141" dT="2022-10-26T08:46:43.65" personId="{21E0E8C2-A916-4E08-AEE0-0F250CDC6195}" id="{9A5A5F39-AD94-4EB3-A6C2-DB90DA8AA2E3}" parentId="{E0BB7566-6A82-46B9-B5BC-A8EE88CAE9E3}">
    <text>https://www.oci.nl/media/1335/natgasoline-begins-methanol-production-final.pdf</text>
  </threadedComment>
  <threadedComment ref="H141" dT="2022-10-26T08:46:53.56" personId="{21E0E8C2-A916-4E08-AEE0-0F250CDC6195}" id="{EB46A63D-D84C-4589-9CAC-3248096BC642}">
    <text>June 2018</text>
  </threadedComment>
  <threadedComment ref="H141" dT="2022-10-26T08:52:12.36" personId="{21E0E8C2-A916-4E08-AEE0-0F250CDC6195}" id="{177207DC-5468-4002-95A8-BBF587B0E2E9}" parentId="{EB46A63D-D84C-4589-9CAC-3248096BC642}">
    <text>Commercial production started in June 2018</text>
  </threadedComment>
  <threadedComment ref="D142" dT="2022-10-26T07:15:26.77" personId="{21E0E8C2-A916-4E08-AEE0-0F250CDC6195}" id="{34FD6224-453E-4FA8-B21F-432473984B58}">
    <text>https://www.argusmedia.com/-/media/Files/sample-reports/20220729methanol.ashx?la=en&amp;hash=FDAA09E0CEEF4BC55B2AE401739F258E4C56AB97</text>
  </threadedComment>
  <threadedComment ref="D143" dT="2022-10-26T07:15:29.14" personId="{21E0E8C2-A916-4E08-AEE0-0F250CDC6195}" id="{136B6662-F9A2-4713-8AB1-AD8210DFBC04}">
    <text>https://www.argusmedia.com/-/media/Files/sample-reports/20220729methanol.ashx?la=en&amp;hash=FDAA09E0CEEF4BC55B2AE401739F258E4C56AB97</text>
  </threadedComment>
  <threadedComment ref="D144" dT="2022-10-26T07:15:33.11" personId="{21E0E8C2-A916-4E08-AEE0-0F250CDC6195}" id="{E08AE1BC-F06C-4383-BF2E-9068A7AE2A1F}">
    <text>https://www.argusmedia.com/-/media/Files/sample-reports/20220729methanol.ashx?la=en&amp;hash=FDAA09E0CEEF4BC55B2AE401739F258E4C56AB97</text>
  </threadedComment>
  <threadedComment ref="D145" dT="2022-10-26T07:15:36.53" personId="{21E0E8C2-A916-4E08-AEE0-0F250CDC6195}" id="{60807F18-B31D-4C1D-9D4C-CE08F2A381AB}">
    <text>https://www.argusmedia.com/-/media/Files/sample-reports/20220729methanol.ashx?la=en&amp;hash=FDAA09E0CEEF4BC55B2AE401739F258E4C56AB97</text>
  </threadedComment>
  <threadedComment ref="D146" dT="2022-10-26T07:15:39.06" personId="{21E0E8C2-A916-4E08-AEE0-0F250CDC6195}" id="{30B6F839-11C8-461E-86FD-B930E2C7C57E}">
    <text>https://www.argusmedia.com/-/media/Files/sample-reports/20220729methanol.ashx?la=en&amp;hash=FDAA09E0CEEF4BC55B2AE401739F258E4C56AB97</text>
  </threadedComment>
  <threadedComment ref="D147" dT="2022-10-26T07:15:42.11" personId="{21E0E8C2-A916-4E08-AEE0-0F250CDC6195}" id="{BA0BC94B-1E53-4395-825B-6648F9661ADE}">
    <text>https://www.argusmedia.com/-/media/Files/sample-reports/20220729methanol.ashx?la=en&amp;hash=FDAA09E0CEEF4BC55B2AE401739F258E4C56AB97</text>
  </threadedComment>
  <threadedComment ref="D148" dT="2022-10-26T07:15:45.11" personId="{21E0E8C2-A916-4E08-AEE0-0F250CDC6195}" id="{B2D11C67-4221-4F1A-8088-C3E5FDB772A9}">
    <text>https://www.argusmedia.com/-/media/Files/sample-reports/20220729methanol.ashx?la=en&amp;hash=FDAA09E0CEEF4BC55B2AE401739F258E4C56AB97</text>
  </threadedComment>
  <threadedComment ref="D149" dT="2022-10-26T08:51:47.23" personId="{21E0E8C2-A916-4E08-AEE0-0F250CDC6195}" id="{B3DE8F42-3250-45BB-A1F4-7DDB1C292C16}">
    <text>https://www.oci.nl/media/1906/oci-nv-investor-presentation-march-2021.pdf</text>
  </threadedComment>
  <threadedComment ref="D163" dT="2022-10-26T06:43:58.25" personId="{21E0E8C2-A916-4E08-AEE0-0F250CDC6195}" id="{2C82794D-F059-46E5-9856-8BCE3444A59A}">
    <text>https://www.argusmedia.com/en/news/2087301-methanex-idles-methanol-capacity-in-trinidad-and-chile</text>
  </threadedComment>
  <threadedComment ref="D163" dT="2022-10-26T06:44:22.51" personId="{21E0E8C2-A916-4E08-AEE0-0F250CDC6195}" id="{6F8D7E01-A9C2-4A49-B104-50DFFE13EDED}" parentId="{2C82794D-F059-46E5-9856-8BCE3444A59A}">
    <text>Methanex president and chief excutive John Floren said that the closures were because of an anticipated fall in demand during the second quarter when there will be a substantial reduction in manufacturing activity caused by the coronavirus pandemic. Methanex is reducing production at facilities where it has flexibility in gas agreements, to prepare for this lower demand, Floren said.
Methanol prices have come under pressure in all regions this month. The Argus daily assessment of methanol barges fob Houston was $285.95/t on 13 March, down from $327.51/t on the same date last month.
In other regions, Argus assessed methanol cfr China at $198.5/t on 13 March, down from $228/t cfr China on 13 February; and methanol barges fob Rotterdam were at €199/t ($222/t) on 13 March, down from €234.25/t ($254/t) fob Rotterdam on 13 February.</text>
  </threadedComment>
</ThreadedComments>
</file>

<file path=xl/threadedComments/threadedComment2.xml><?xml version="1.0" encoding="utf-8"?>
<ThreadedComments xmlns="http://schemas.microsoft.com/office/spreadsheetml/2018/threadedcomments" xmlns:x="http://schemas.openxmlformats.org/spreadsheetml/2006/main">
  <threadedComment ref="D2" dT="2022-10-26T07:15:21.18" personId="{21E0E8C2-A916-4E08-AEE0-0F250CDC6195}" id="{D2F5DAC7-3C6E-4864-8BB1-DEB8D7C02A96}">
    <text>https://www.argusmedia.com/-/media/Files/sample-reports/20220729methanol.ashx?la=en&amp;hash=FDAA09E0CEEF4BC55B2AE401739F258E4C56AB97</text>
  </threadedComment>
  <threadedComment ref="D2" dT="2022-10-26T07:26:41.29" personId="{21E0E8C2-A916-4E08-AEE0-0F250CDC6195}" id="{C85F034B-CD2A-4969-A965-29ABDCC53756}" parentId="{D2F5DAC7-3C6E-4864-8BB1-DEB8D7C02A96}">
    <text>The joint venture operates as Fairway Methanol LLC, with both Celanese and Mitsui maintaining a 50/50 ownership.</text>
  </threadedComment>
  <threadedComment ref="D2" dT="2022-10-26T07:27:36.49" personId="{21E0E8C2-A916-4E08-AEE0-0F250CDC6195}" id="{B3E303EA-ED4C-4CB5-B894-05E6A115F797}" parentId="{D2F5DAC7-3C6E-4864-8BB1-DEB8D7C02A96}">
    <text>https://www.icis.com/explore/resources/news/2019/04/17/10350110/celanese-to-expand-methanol-capacity-at-us-plant/</text>
  </threadedComment>
  <threadedComment ref="D3" dT="2022-10-26T07:20:09.01" personId="{21E0E8C2-A916-4E08-AEE0-0F250CDC6195}" id="{A9FBB833-512B-43C4-8D97-C6B9F163CBF2}">
    <text>https://www.usmeoh.com/read-me</text>
  </threadedComment>
  <threadedComment ref="D3" dT="2022-10-26T07:20:55.55" personId="{21E0E8C2-A916-4E08-AEE0-0F250CDC6195}" id="{EE25F78B-25B9-40A7-BB5E-D4B4DB9F3CAA}" parentId="{A9FBB833-512B-43C4-8D97-C6B9F163CBF2}">
    <text>US Methanol has completed construction and is in the final stage of commissioning the Liberty One Methanol plant with commercial operations expected to commence during 3Q 2022.</text>
  </threadedComment>
  <threadedComment ref="D3" dT="2022-10-26T07:22:17.00" personId="{21E0E8C2-A916-4E08-AEE0-0F250CDC6195}" id="{E9FCCA79-8890-481F-AC24-21E9207A0A89}" parentId="{A9FBB833-512B-43C4-8D97-C6B9F163CBF2}">
    <text>https://www.usmeoh.com/what-we-do</text>
  </threadedComment>
  <threadedComment ref="L3" dT="2022-10-26T07:21:47.32" personId="{21E0E8C2-A916-4E08-AEE0-0F250CDC6195}" id="{8D3FD275-5F02-4A25-B93D-5DEF0553565F}">
    <text>https://www.usmeoh.com/</text>
  </threadedComment>
  <threadedComment ref="D4" dT="2022-10-26T06:36:18.63" personId="{21E0E8C2-A916-4E08-AEE0-0F250CDC6195}" id="{44F0C3FD-6CC6-4E16-AB18-BFD5BC0D5F0B}">
    <text>https://www.methanex.com/sites/default/files/MEOH%20Presentation%20-%202021-11-18.pdf</text>
  </threadedComment>
  <threadedComment ref="D4" dT="2022-10-26T06:36:47.38" personId="{21E0E8C2-A916-4E08-AEE0-0F250CDC6195}" id="{3BD56658-06C1-4694-9F63-A66EF406A2E5}" parentId="{44F0C3FD-6CC6-4E16-AB18-BFD5BC0D5F0B}">
    <text>https://www.argusmedia.com/-/media/Files/sample-reports/20220729methanol.ashx?la=en&amp;hash=FDAA09E0CEEF4BC55B2AE401739F258E4C56AB97</text>
  </threadedComment>
  <threadedComment ref="M4" dT="2022-10-27T06:00:28.95" personId="{21E0E8C2-A916-4E08-AEE0-0F250CDC6195}" id="{049AF25B-0F22-47ED-A12A-AAC3A595C56D}">
    <text>Commercial operations targeted for the end of 2023/early 2024</text>
  </threadedComment>
  <threadedComment ref="M4" dT="2022-10-27T06:01:59.79" personId="{21E0E8C2-A916-4E08-AEE0-0F250CDC6195}" id="{C3982465-548F-4447-9D20-98DEB3B0F621}" parentId="{049AF25B-0F22-47ED-A12A-AAC3A595C56D}">
    <text>The Geismar 3 (G3) project, budgeted at $1.25-1.3 billion, is adjacent to our existing G1 and G2 plants, with shared infrastructure that creates material capital and operating cost advantages. G3 will be one of our lowest cost plants with one of the lowest CO₂ emissions intensity profiles in the industry by utilizing excess hydrogen from the G1 and G2 steam reforming plants coupled with access to abundant and low-cost natural gas.
Once commissioned, the G3 facility will be capable of producing 1.8 million tonnes of methanol per year. Combined with the G1 and G2 plants, our three Methanex plants in Geismar will represent one of the largest methanol complexes in the world.
G3 is a highly advantaged project that will strengthen our asset portfolio given its location, access to abundant natural gas and lower cost structure - and will further solidify our position as the world’s largest methanol supplier.
G3 is scheduled to begin commercial operations by the end of 2023.</text>
  </threadedComment>
  <threadedComment ref="M4" dT="2022-10-27T06:02:03.46" personId="{21E0E8C2-A916-4E08-AEE0-0F250CDC6195}" id="{5C7DD46F-068D-4F76-BA02-5F85831CE9C8}" parentId="{049AF25B-0F22-47ED-A12A-AAC3A595C56D}">
    <text>https://www.methanex.com/geismar-3</text>
  </threadedComment>
  <threadedComment ref="D5" dT="2022-10-26T07:11:04.12" personId="{21E0E8C2-A916-4E08-AEE0-0F250CDC6195}" id="{D8E5E5F1-D7C6-4FDC-8691-1AD5B877A4DC}">
    <text>https://www.argusmedia.com/-/media/Files/sample-reports/20220729methanol.ashx?la=en&amp;hash=FDAA09E0CEEF4BC55B2AE401739F258E4C56AB97</text>
  </threadedComment>
  <threadedComment ref="D5" dT="2022-10-26T08:43:55.26" personId="{21E0E8C2-A916-4E08-AEE0-0F250CDC6195}" id="{7D4B4AAE-19EC-445A-AACB-3456C2600129}" parentId="{D8E5E5F1-D7C6-4FDC-8691-1AD5B877A4DC}">
    <text>http://www.globalchemicalprice.com/chemical-market-news/lyondellbasell-s-methanol-plant-likely-to-restart-by-mid-december</text>
  </threadedComment>
  <threadedComment ref="D6" dT="2022-10-26T07:15:15.09" personId="{21E0E8C2-A916-4E08-AEE0-0F250CDC6195}" id="{E5C49B4A-6160-4C42-974B-DD1C8D6CC516}">
    <text>https://www.argusmedia.com/-/media/Files/sample-reports/20220729methanol.ashx?la=en&amp;hash=FDAA09E0CEEF4BC55B2AE401739F258E4C56AB97</text>
  </threadedComment>
  <threadedComment ref="I6" dT="2022-10-26T08:51:07.49" personId="{21E0E8C2-A916-4E08-AEE0-0F250CDC6195}" id="{2CBEE5EC-AED6-4595-8314-D4D045B3C682}">
    <text xml:space="preserve">July 2019
</text>
  </threadedComment>
  <threadedComment ref="I6" dT="2022-10-26T08:51:18.51" personId="{21E0E8C2-A916-4E08-AEE0-0F250CDC6195}" id="{AE7889B5-CA74-4520-AC96-2AB78BACCC9F}" parentId="{2CBEE5EC-AED6-4595-8314-D4D045B3C682}">
    <text>1
Includes 125ktpa added in July 2019 as a result of debottlenecking project; 2 JV with Consolidated Energy Ltd</text>
  </threadedComment>
  <threadedComment ref="D7" dT="2022-10-26T07:09:05.39" personId="{21E0E8C2-A916-4E08-AEE0-0F250CDC6195}" id="{C195263E-01A0-4157-817C-73868F5FBFDA}">
    <text>https://www.argusmedia.com/-/media/Files/sample-reports/20220729methanol.ashx?la=en&amp;hash=FDAA09E0CEEF4BC55B2AE401739F258E4C56AB97</text>
  </threadedComment>
  <threadedComment ref="D8" dT="2022-10-26T09:08:56.60" personId="{21E0E8C2-A916-4E08-AEE0-0F250CDC6195}" id="{6372C969-F712-4992-94EC-31210AEF087F}">
    <text>https://cdn.ihs.com/www/pdf/IHS-WMC-Alvarado-Final-Oct16.pdf</text>
  </threadedComment>
  <threadedComment ref="D9" dT="2022-10-26T06:36:31.24" personId="{21E0E8C2-A916-4E08-AEE0-0F250CDC6195}" id="{8E44616B-808D-4DB1-8392-054E93EFE7E0}">
    <text>https://www.methanex.com/sites/default/files/MEOH%20Presentation%20-%202021-11-18.pdf</text>
  </threadedComment>
  <threadedComment ref="D9" dT="2022-10-26T06:36:51.26" personId="{21E0E8C2-A916-4E08-AEE0-0F250CDC6195}" id="{606A8AB6-BCFF-47FA-9987-4C1F4A7C6023}" parentId="{8E44616B-808D-4DB1-8392-054E93EFE7E0}">
    <text>https://www.argusmedia.com/-/media/Files/sample-reports/20220729methanol.ashx?la=en&amp;hash=FDAA09E0CEEF4BC55B2AE401739F258E4C56AB97</text>
  </threadedComment>
  <threadedComment ref="M10" dT="2022-10-26T09:16:49.01" personId="{21E0E8C2-A916-4E08-AEE0-0F250CDC6195}" id="{49E1C5C1-187C-41BC-853C-02CE966D1327}">
    <text>https://www.nauticolenergy.com/operations/methanol/</text>
  </threadedComment>
  <threadedComment ref="D11" dT="2022-10-26T07:15:12.68" personId="{21E0E8C2-A916-4E08-AEE0-0F250CDC6195}" id="{FEA47F6A-A85A-41A1-B010-5132929D5CB9}">
    <text>https://www.argusmedia.com/-/media/Files/sample-reports/20220729methanol.ashx?la=en&amp;hash=FDAA09E0CEEF4BC55B2AE401739F258E4C56AB97</text>
  </threadedComment>
  <threadedComment ref="D12" dT="2022-10-26T07:15:17.50" personId="{21E0E8C2-A916-4E08-AEE0-0F250CDC6195}" id="{9AB34029-3A8E-42CD-AE7D-ADBDD4C52CC5}">
    <text>https://www.argusmedia.com/-/media/Files/sample-reports/20220729methanol.ashx?la=en&amp;hash=FDAA09E0CEEF4BC55B2AE401739F258E4C56AB97</text>
  </threadedComment>
  <threadedComment ref="D12" dT="2022-10-26T08:46:43.65" personId="{21E0E8C2-A916-4E08-AEE0-0F250CDC6195}" id="{1A910D1D-9666-431C-A826-52E38130D8B7}" parentId="{9AB34029-3A8E-42CD-AE7D-ADBDD4C52CC5}">
    <text>https://www.oci.nl/media/1335/natgasoline-begins-methanol-production-final.pdf</text>
  </threadedComment>
  <threadedComment ref="D12" dT="2022-10-27T05:38:58.29" personId="{21E0E8C2-A916-4E08-AEE0-0F250CDC6195}" id="{B64AADC6-CD4C-49C6-ABFA-5A1793FA56C5}" parentId="{9AB34029-3A8E-42CD-AE7D-ADBDD4C52CC5}">
    <text>OCI company</text>
  </threadedComment>
  <threadedComment ref="D12" dT="2022-10-27T05:39:08.80" personId="{21E0E8C2-A916-4E08-AEE0-0F250CDC6195}" id="{EA26F060-B371-4B9B-837E-7DFE16155452}" parentId="{9AB34029-3A8E-42CD-AE7D-ADBDD4C52CC5}">
    <text>50% share</text>
  </threadedComment>
  <threadedComment ref="H12" dT="2022-10-26T08:46:53.56" personId="{21E0E8C2-A916-4E08-AEE0-0F250CDC6195}" id="{2C2E13CE-C76D-49EF-A191-6EE70DD8FCA7}">
    <text>June 2018</text>
  </threadedComment>
  <threadedComment ref="H12" dT="2022-10-26T08:52:12.36" personId="{21E0E8C2-A916-4E08-AEE0-0F250CDC6195}" id="{0C6BEEEA-CA5F-428B-8D4E-F9368C2FFE17}" parentId="{2C2E13CE-C76D-49EF-A191-6EE70DD8FCA7}">
    <text>Commercial production started in June 2018</text>
  </threadedComment>
  <threadedComment ref="D13" dT="2022-10-26T07:15:26.77" personId="{21E0E8C2-A916-4E08-AEE0-0F250CDC6195}" id="{19928CD1-A02D-4365-A7E6-0343DA1C008A}">
    <text>https://www.argusmedia.com/-/media/Files/sample-reports/20220729methanol.ashx?la=en&amp;hash=FDAA09E0CEEF4BC55B2AE401739F258E4C56AB97</text>
  </threadedComment>
  <threadedComment ref="D14" dT="2022-10-26T07:15:29.14" personId="{21E0E8C2-A916-4E08-AEE0-0F250CDC6195}" id="{F4FCC747-F04B-4DC6-9391-D3028A2559B3}">
    <text>https://www.argusmedia.com/-/media/Files/sample-reports/20220729methanol.ashx?la=en&amp;hash=FDAA09E0CEEF4BC55B2AE401739F258E4C56AB97</text>
  </threadedComment>
  <threadedComment ref="D15" dT="2022-10-26T07:15:33.11" personId="{21E0E8C2-A916-4E08-AEE0-0F250CDC6195}" id="{52B40DD4-CF75-468B-9809-4BB475B8270D}">
    <text>https://www.argusmedia.com/-/media/Files/sample-reports/20220729methanol.ashx?la=en&amp;hash=FDAA09E0CEEF4BC55B2AE401739F258E4C56AB97</text>
  </threadedComment>
  <threadedComment ref="D16" dT="2022-10-26T06:36:24.79" personId="{21E0E8C2-A916-4E08-AEE0-0F250CDC6195}" id="{01774713-3E23-4FA7-8969-2344BD610C01}">
    <text>https://www.methanex.com/sites/default/files/MEOH%20Presentation%20-%202021-11-18.pdf</text>
  </threadedComment>
  <threadedComment ref="D16" dT="2022-10-26T06:36:57.07" personId="{21E0E8C2-A916-4E08-AEE0-0F250CDC6195}" id="{9B459677-A7FD-4DB6-AC0E-724685570FDE}" parentId="{01774713-3E23-4FA7-8969-2344BD610C01}">
    <text>https://www.argusmedia.com/-/media/Files/sample-reports/20220729methanol.ashx?la=en&amp;hash=FDAA09E0CEEF4BC55B2AE401739F258E4C56AB97</text>
  </threadedComment>
  <threadedComment ref="B17" dT="2022-10-26T06:40:12.18" personId="{21E0E8C2-A916-4E08-AEE0-0F250CDC6195}" id="{71B919DE-A6CF-4EC1-91DD-6C21252A2457}">
    <text>https://www.methanex.com/30th-anniversary/stories-and-celebrations/our-operations-trinidad-tobago</text>
  </threadedComment>
  <threadedComment ref="B17" dT="2022-10-26T06:41:25.03" personId="{21E0E8C2-A916-4E08-AEE0-0F250CDC6195}" id="{0C0002C0-EED7-4B94-9361-F6302130380E}" parentId="{71B919DE-A6CF-4EC1-91DD-6C21252A2457}">
    <text>https://www.energy.gov.tt/our-business/lng-petrochemicals/petrochemicals/methanol/</text>
  </threadedComment>
  <threadedComment ref="B17" dT="2022-10-26T06:42:14.51" personId="{21E0E8C2-A916-4E08-AEE0-0F250CDC6195}" id="{C57CA321-6601-47EE-BC39-2592ADF2EB14}" parentId="{71B919DE-A6CF-4EC1-91DD-6C21252A2457}">
    <text xml:space="preserve">Titan methanol facility </text>
  </threadedComment>
  <threadedComment ref="D17" dT="2022-10-26T06:36:27.76" personId="{21E0E8C2-A916-4E08-AEE0-0F250CDC6195}" id="{6E5E78B9-A638-4B2D-BDA6-EF711C8E32A9}">
    <text>https://www.methanex.com/sites/default/files/MEOH%20Presentation%20-%202021-11-18.pdf</text>
  </threadedComment>
  <threadedComment ref="D17" dT="2022-10-26T06:37:00.10" personId="{21E0E8C2-A916-4E08-AEE0-0F250CDC6195}" id="{5BA3BD27-1804-4E50-BE15-6C7497422F4C}" parentId="{6E5E78B9-A638-4B2D-BDA6-EF711C8E32A9}">
    <text>https://www.argusmedia.com/-/media/Files/sample-reports/20220729methanol.ashx?la=en&amp;hash=FDAA09E0CEEF4BC55B2AE401739F258E4C56AB97</text>
  </threadedComment>
  <threadedComment ref="D17" dT="2022-10-26T06:38:01.62" personId="{21E0E8C2-A916-4E08-AEE0-0F250CDC6195}" id="{F9A659E4-0EA6-482A-8BAB-38694488D670}" parentId="{6E5E78B9-A638-4B2D-BDA6-EF711C8E32A9}">
    <text>https://www.argusmedia.com/-/media/Files/sample-reports/20220729methanol.ashx?la=en&amp;hash=FDAA09E0CEEF4BC55B2AE401739F258E4C56AB97</text>
  </threadedComment>
  <threadedComment ref="D17" dT="2022-10-26T06:40:06.16" personId="{21E0E8C2-A916-4E08-AEE0-0F250CDC6195}" id="{DB8FE28D-5A3C-44F2-BB0C-EACD712FC19A}" parentId="{6E5E78B9-A638-4B2D-BDA6-EF711C8E32A9}">
    <text>https://www.methanex.com/30th-anniversary/stories-and-celebrations/our-operations-trinidad-tobago</text>
  </threadedComment>
  <threadedComment ref="B18" dT="2022-10-26T06:43:12.42" personId="{21E0E8C2-A916-4E08-AEE0-0F250CDC6195}" id="{5D54937B-7563-42AA-B44C-7486214837A0}">
    <text>Atlas Methanex</text>
  </threadedComment>
  <threadedComment ref="D19" dT="2022-10-26T06:48:53.98" personId="{21E0E8C2-A916-4E08-AEE0-0F250CDC6195}" id="{B595DB99-24DA-46D3-B2C4-F92E3705DD84}">
    <text>CMC (M2)</text>
  </threadedComment>
  <threadedComment ref="D19" dT="2022-10-26T06:51:00.09" personId="{21E0E8C2-A916-4E08-AEE0-0F250CDC6195}" id="{C03DD037-ACD3-4190-B287-9BAA85E25117}" parentId="{B595DB99-24DA-46D3-B2C4-F92E3705DD84}">
    <text>https://www.argusmedia.com/-/media/Files/sample-reports/20220729methanol.ashx?la=en&amp;hash=FDAA09E0CEEF4BC55B2AE401739F258E4C56AB97</text>
  </threadedComment>
  <threadedComment ref="D19" dT="2022-10-26T06:51:53.71" personId="{21E0E8C2-A916-4E08-AEE0-0F250CDC6195}" id="{30D9DC16-5F55-473B-9A58-63053AD70F03}" parentId="{B595DB99-24DA-46D3-B2C4-F92E3705DD84}">
    <text>https://www.energy.gov.tt/our-business/lng-petrochemicals/petrochemicals/methanol/</text>
  </threadedComment>
  <threadedComment ref="D20" dT="2022-10-26T06:49:06.26" personId="{21E0E8C2-A916-4E08-AEE0-0F250CDC6195}" id="{BAAA68B9-2857-497F-AD24-E02D0D3A48E6}">
    <text>Methanol IV (M4)</text>
  </threadedComment>
  <threadedComment ref="D20" dT="2022-10-26T06:51:03.44" personId="{21E0E8C2-A916-4E08-AEE0-0F250CDC6195}" id="{67F02A22-8B7D-44A3-B045-71F9520726A7}" parentId="{BAAA68B9-2857-497F-AD24-E02D0D3A48E6}">
    <text>https://www.argusmedia.com/-/media/Files/sample-reports/20220729methanol.ashx?la=en&amp;hash=FDAA09E0CEEF4BC55B2AE401739F258E4C56AB97</text>
  </threadedComment>
  <threadedComment ref="D20" dT="2022-10-26T06:51:56.32" personId="{21E0E8C2-A916-4E08-AEE0-0F250CDC6195}" id="{2F27E8D9-650A-4811-9C83-16984200107D}" parentId="{BAAA68B9-2857-497F-AD24-E02D0D3A48E6}">
    <text>https://www.energy.gov.tt/our-business/lng-petrochemicals/petrochemicals/methanol/</text>
  </threadedComment>
  <threadedComment ref="D21" dT="2022-10-26T06:49:53.89" personId="{21E0E8C2-A916-4E08-AEE0-0F250CDC6195}" id="{463862AD-9B92-443B-8148-C1E4D28ED363}">
    <text>TTMC #1 (M1)</text>
  </threadedComment>
  <threadedComment ref="D21" dT="2022-10-26T06:51:06.49" personId="{21E0E8C2-A916-4E08-AEE0-0F250CDC6195}" id="{6D88EAC5-3829-4551-B3E2-B3533720B25B}" parentId="{463862AD-9B92-443B-8148-C1E4D28ED363}">
    <text>https://www.argusmedia.com/-/media/Files/sample-reports/20220729methanol.ashx?la=en&amp;hash=FDAA09E0CEEF4BC55B2AE401739F258E4C56AB97</text>
  </threadedComment>
  <threadedComment ref="D21" dT="2022-10-26T06:51:59.23" personId="{21E0E8C2-A916-4E08-AEE0-0F250CDC6195}" id="{E486F512-2ECC-4E8D-A3FA-29C4B6F8CDAB}" parentId="{463862AD-9B92-443B-8148-C1E4D28ED363}">
    <text>https://www.energy.gov.tt/our-business/lng-petrochemicals/petrochemicals/methanol/</text>
  </threadedComment>
  <threadedComment ref="D22" dT="2022-10-26T06:49:57.34" personId="{21E0E8C2-A916-4E08-AEE0-0F250CDC6195}" id="{C31A292D-097F-4F0A-8883-13BA175FE97C}">
    <text>TTMC #2 (M3)</text>
  </threadedComment>
  <threadedComment ref="D22" dT="2022-10-26T06:51:09.38" personId="{21E0E8C2-A916-4E08-AEE0-0F250CDC6195}" id="{C0CCFC44-A6F4-4BB8-B9DE-D145606FDB6E}" parentId="{C31A292D-097F-4F0A-8883-13BA175FE97C}">
    <text>https://www.argusmedia.com/-/media/Files/sample-reports/20220729methanol.ashx?la=en&amp;hash=FDAA09E0CEEF4BC55B2AE401739F258E4C56AB97</text>
  </threadedComment>
  <threadedComment ref="D22" dT="2022-10-26T06:52:02.58" personId="{21E0E8C2-A916-4E08-AEE0-0F250CDC6195}" id="{E8A31ACD-2A5E-406D-A589-70115BAE30A7}" parentId="{C31A292D-097F-4F0A-8883-13BA175FE97C}">
    <text>https://www.energy.gov.tt/our-business/lng-petrochemicals/petrochemicals/methanol/</text>
  </threadedComment>
  <threadedComment ref="D23" dT="2022-10-26T06:50:08.94" personId="{21E0E8C2-A916-4E08-AEE0-0F250CDC6195}" id="{2C6A2A98-286A-41F7-9AFA-B621D49F7176}">
    <text>MHTL (M5)</text>
  </threadedComment>
  <threadedComment ref="D23" dT="2022-10-26T06:51:12.48" personId="{21E0E8C2-A916-4E08-AEE0-0F250CDC6195}" id="{31C03351-C5AC-4345-99B2-EA122CE5B54B}" parentId="{2C6A2A98-286A-41F7-9AFA-B621D49F7176}">
    <text>https://www.argusmedia.com/-/media/Files/sample-reports/20220729methanol.ashx?la=en&amp;hash=FDAA09E0CEEF4BC55B2AE401739F258E4C56AB97</text>
  </threadedComment>
  <threadedComment ref="D23" dT="2022-10-26T06:52:05.34" personId="{21E0E8C2-A916-4E08-AEE0-0F250CDC6195}" id="{8732F6FE-8F3B-40FE-9184-08AE86C5AA0D}" parentId="{2C6A2A98-286A-41F7-9AFA-B621D49F7176}">
    <text>https://www.energy.gov.tt/our-business/lng-petrochemicals/petrochemicals/methanol/</text>
  </threadedComment>
  <threadedComment ref="D24" dT="2022-10-26T06:51:17.61" personId="{21E0E8C2-A916-4E08-AEE0-0F250CDC6195}" id="{B8046E1D-3B27-419A-84FF-7C65964EDA77}">
    <text>https://www.argusmedia.com/-/media/Files/sample-reports/20220729methanol.ashx?la=en&amp;hash=FDAA09E0CEEF4BC55B2AE401739F258E4C56AB97</text>
  </threadedComment>
  <threadedComment ref="D25" dT="2022-10-26T07:15:36.53" personId="{21E0E8C2-A916-4E08-AEE0-0F250CDC6195}" id="{487DB91E-0B91-4BCA-9D67-8B496E5CEA2E}">
    <text>https://www.argusmedia.com/-/media/Files/sample-reports/20220729methanol.ashx?la=en&amp;hash=FDAA09E0CEEF4BC55B2AE401739F258E4C56AB97</text>
  </threadedComment>
  <threadedComment ref="D26" dT="2022-10-26T07:15:39.06" personId="{21E0E8C2-A916-4E08-AEE0-0F250CDC6195}" id="{31D44271-9656-4EE8-AC4F-93060CB7244C}">
    <text>https://www.argusmedia.com/-/media/Files/sample-reports/20220729methanol.ashx?la=en&amp;hash=FDAA09E0CEEF4BC55B2AE401739F258E4C56AB97</text>
  </threadedComment>
  <threadedComment ref="D27" dT="2022-10-26T07:15:42.11" personId="{21E0E8C2-A916-4E08-AEE0-0F250CDC6195}" id="{43CE382A-B1D9-4DDC-9031-B83C313C9DFC}">
    <text>https://www.argusmedia.com/-/media/Files/sample-reports/20220729methanol.ashx?la=en&amp;hash=FDAA09E0CEEF4BC55B2AE401739F258E4C56AB97</text>
  </threadedComment>
  <threadedComment ref="D28" dT="2022-10-26T07:15:45.11" personId="{21E0E8C2-A916-4E08-AEE0-0F250CDC6195}" id="{D376E380-D29B-4F24-9267-793E94A69D1B}">
    <text>https://www.argusmedia.com/-/media/Files/sample-reports/20220729methanol.ashx?la=en&amp;hash=FDAA09E0CEEF4BC55B2AE401739F258E4C56AB97</text>
  </threadedComment>
  <threadedComment ref="D30" dT="2022-10-26T09:31:29.48" personId="{21E0E8C2-A916-4E08-AEE0-0F250CDC6195}" id="{63F7FE89-73C7-45DB-8764-584AE3B7D0CA}">
    <text>https://www.methanol.org/wp-content/uploads/2020/04/IRENA_Innovation_Renewable_Methanol_2021.pdf</text>
  </threadedComment>
  <threadedComment ref="D32" dT="2022-10-26T09:43:48.93" personId="{21E0E8C2-A916-4E08-AEE0-0F250CDC6195}" id="{5B818E8E-0CAE-494F-85A5-A4A8CE0FBABE}">
    <text>http://www.msk.co.rs/en-GB/content/cid259/about-us#:~:text=200.000%20t%2Fg%20of%20methanol</text>
  </threadedComment>
  <threadedComment ref="D33" dT="2022-10-26T09:47:49.99" personId="{21E0E8C2-A916-4E08-AEE0-0F250CDC6195}" id="{30635027-A75F-4338-833B-1251B92A9BE6}">
    <text>https://blog.topsoe.com/ucc-shchekinoazot-launches-methanol-and-ammonia-co-production-plant-licensed-by-haldor-topsoe</text>
  </threadedComment>
  <threadedComment ref="K33" dT="2022-10-26T09:49:07.24" personId="{21E0E8C2-A916-4E08-AEE0-0F250CDC6195}" id="{C00185DA-6B8C-407B-B08D-05F08586C5E7}">
    <text>https://xn--90ab5f.xn--p1ai/en/press-center/50840/</text>
  </threadedComment>
  <threadedComment ref="D34" dT="2022-10-26T09:43:02.07" personId="{21E0E8C2-A916-4E08-AEE0-0F250CDC6195}" id="{A1E6C837-72EE-4CB8-88C9-3DB3ADCA4718}">
    <text>https://www.metafrax.ru/files/documents/33_EN_1628610449.pdf</text>
  </threadedComment>
  <threadedComment ref="D36" dT="2022-10-26T09:58:38.48" personId="{21E0E8C2-A916-4E08-AEE0-0F250CDC6195}" id="{BC082E95-84F0-45DA-B5E1-A357088349C4}">
    <text>https://www.argusmedia.com/-/media/Files/sample-reports/20220729methanol.ashx?la=en&amp;hash=FDAA09E0CEEF4BC55B2AE401739F258E4C56AB97</text>
  </threadedComment>
  <threadedComment ref="D39" dT="2022-10-26T09:37:57.69" personId="{21E0E8C2-A916-4E08-AEE0-0F250CDC6195}" id="{56714E18-D806-4527-B3E6-C155B9C5229F}">
    <text>https://www.spglobal.com/commodityinsights/en/market-insights/latest-news/petrochemicals/102814-russias-tomsk-methanol-restarts-plant-after-turnaround</text>
  </threadedComment>
  <threadedComment ref="D40" dT="2022-10-26T10:08:10.35" personId="{21E0E8C2-A916-4E08-AEE0-0F250CDC6195}" id="{EEA12087-2DE3-43A3-AD69-6BCB402FD786}">
    <text>https://www.repsol.com/imagenes/global/en/24_11_YPF_imoran_tcm14-13798.pdf</text>
  </threadedComment>
  <threadedComment ref="D40" dT="2022-10-26T10:08:24.16" personId="{21E0E8C2-A916-4E08-AEE0-0F250CDC6195}" id="{7923C189-D036-48F7-8A4D-1B4201114640}" parentId="{EEA12087-2DE3-43A3-AD69-6BCB402FD786}">
    <text>Plaza Huincul</text>
  </threadedComment>
  <threadedComment ref="D41" dT="2022-10-26T08:51:47.23" personId="{21E0E8C2-A916-4E08-AEE0-0F250CDC6195}" id="{19D98417-A496-4A25-87DB-FECE7AB9FEE7}">
    <text>https://www.oci.nl/media/1906/oci-nv-investor-presentation-march-2021.pdf</text>
  </threadedComment>
  <threadedComment ref="D41" dT="2022-10-27T05:37:18.74" personId="{21E0E8C2-A916-4E08-AEE0-0F250CDC6195}" id="{7EF99FB9-2B13-4C0E-A3E7-340BF8803CFC}" parentId="{19D98417-A496-4A25-87DB-FECE7AB9FEE7}">
    <text>BioMCN is one of Europe’s largest methanol producers and is the first company in the world to produce and sell industrial quantities of high-quality bio-methanol, a second-generation biofuel.</text>
  </threadedComment>
  <threadedComment ref="D41" dT="2022-10-27T05:37:30.25" personId="{21E0E8C2-A916-4E08-AEE0-0F250CDC6195}" id="{C352AA4B-DC4B-45BF-9AF1-68AF9BD0196D}" parentId="{19D98417-A496-4A25-87DB-FECE7AB9FEE7}">
    <text>BioMCN produces two types of methanol: bio-methanol and regular (also known as grey) methanol. Bio-methanol is produced from biogas sourced from waste digestion plants. BioMCN continuously works to develop innovative renewable methanol manufacturing processes and feedstock sources. This in turn substantially contributes to the global drive to develop greener and more sustainable products.</text>
  </threadedComment>
  <threadedComment ref="D42" dT="2022-10-26T10:00:02.95" personId="{21E0E8C2-A916-4E08-AEE0-0F250CDC6195}" id="{2E6E0515-40CF-497B-81DF-34A6FC6D34E0}">
    <text>https://www.equinor.com/energy/onshore-facilities</text>
  </threadedComment>
  <threadedComment ref="J42" dT="2022-10-27T05:42:06.06" personId="{21E0E8C2-A916-4E08-AEE0-0F250CDC6195}" id="{EBB2FC0D-079D-4D37-8B8A-A907E2E5FD09}">
    <text xml:space="preserve">20 feb 2020: The methanol plant at Tjeldbergodden is now back in production after being decommissioned since the fire on 2 December 2020. The safe start-up preparations have gone according to plan and the facility is now supplying methanol to the market. </text>
  </threadedComment>
  <threadedComment ref="D45" dT="2022-10-26T10:18:38.74" personId="{21E0E8C2-A916-4E08-AEE0-0F250CDC6195}" id="{2975A7CB-F3CC-40DB-8A75-D07AA1ED77CB}">
    <text>https://www.refiningandpetrochemicalsme.com/petrochemicals/24413-sipchem-brings-methanol-plant-back-onstream-after-maintenance</text>
  </threadedComment>
  <threadedComment ref="D46" dT="2022-10-26T10:20:15.28" personId="{21E0E8C2-A916-4E08-AEE0-0F250CDC6195}" id="{D906E888-0FE0-4EC5-AA5A-01B22FA9E1E6}">
    <text>https://www.mgc.co.jp/eng/company/basic-chemicals/capacity.html</text>
  </threadedComment>
  <threadedComment ref="D48" dT="2022-10-26T10:28:56.04" personId="{21E0E8C2-A916-4E08-AEE0-0F250CDC6195}" id="{2C799AD3-4E11-4851-BBD0-33E6E5E8B18E}">
    <text>https://www.atlanticmethanol.com/about-us.html</text>
  </threadedComment>
  <threadedComment ref="D49" dT="2022-10-26T06:36:21.26" personId="{21E0E8C2-A916-4E08-AEE0-0F250CDC6195}" id="{62528906-5988-460A-952C-6B4AC4651C14}">
    <text>https://www.methanex.com/sites/default/files/MEOH%20Presentation%20-%202021-11-18.pdf</text>
  </threadedComment>
  <threadedComment ref="D49" dT="2022-10-26T06:36:53.87" personId="{21E0E8C2-A916-4E08-AEE0-0F250CDC6195}" id="{06DAF8F7-B49A-4BA9-8432-C586004FE4C4}" parentId="{62528906-5988-460A-952C-6B4AC4651C14}">
    <text>https://www.argusmedia.com/-/media/Files/sample-reports/20220729methanol.ashx?la=en&amp;hash=FDAA09E0CEEF4BC55B2AE401739F258E4C56AB97</text>
  </threadedComment>
  <threadedComment ref="E49" dT="2022-10-26T06:56:50.16" personId="{21E0E8C2-A916-4E08-AEE0-0F250CDC6195}" id="{8C273CD5-75FC-45CC-9A94-3E927BC709C8}">
    <text>https://www.methanex.com/location/middle-east/egypt/about-methanex-egypt</text>
  </threadedComment>
  <threadedComment ref="D50" dT="2022-10-26T10:35:43.28" personId="{21E0E8C2-A916-4E08-AEE0-0F250CDC6195}" id="{496F6A29-5BE7-4343-BB13-012C8F121287}">
    <text>https://kavehglass.com/?page_id=3453&amp;lang=en#:~:text=Established%20in%202006%2C%20Kaveh%20Methanol,million%20metric%20tons%20of%20methanol.</text>
  </threadedComment>
  <threadedComment ref="D50" dT="2022-10-26T10:36:03.16" personId="{21E0E8C2-A916-4E08-AEE0-0F250CDC6195}" id="{F8BCDF6C-FFC2-461A-9A95-0ADAD7FA35E8}" parentId="{496F6A29-5BE7-4343-BB13-012C8F121287}">
    <text>http://petrokaveh.com/kaveh-methanol-plant/</text>
  </threadedComment>
  <threadedComment ref="D52" dT="2022-10-26T10:37:52.59" personId="{21E0E8C2-A916-4E08-AEE0-0F250CDC6195}" id="{2CFDFD44-2D47-4029-BF8D-6AEBA48E607F}">
    <text>https://www.knak.jp/others/iran-now-1.htm</text>
  </threadedComment>
  <threadedComment ref="D52" dT="2022-10-26T10:48:44.16" personId="{21E0E8C2-A916-4E08-AEE0-0F250CDC6195}" id="{A7582759-B09A-412D-B9B2-2E6AF866DCA4}" parentId="{2CFDFD44-2D47-4029-BF8D-6AEBA48E607F}">
    <text>Fanavaran Petrochemical Company</text>
  </threadedComment>
  <threadedComment ref="D52" dT="2022-10-26T10:48:54.24" personId="{21E0E8C2-A916-4E08-AEE0-0F250CDC6195}" id="{8D119566-FD8D-461A-811F-F6DAF50EE3F8}" parentId="{2CFDFD44-2D47-4029-BF8D-6AEBA48E607F}">
    <text>https://smartcatalyst.ir/en/methanol-manufacturers-in-iran/</text>
  </threadedComment>
  <threadedComment ref="D53" dT="2022-10-26T10:38:46.16" personId="{21E0E8C2-A916-4E08-AEE0-0F250CDC6195}" id="{405E0823-8001-482B-A52C-710AB32C46F1}">
    <text>https://www.gpca.org.ae/2020/07/12/zagros-petrochemical-company/#:~:text=Zagros%20Petrochemical%20Company%20has%20long,grade%20AA%20and%20purity%2099.85%25.</text>
  </threadedComment>
  <threadedComment ref="D53" dT="2022-10-26T10:47:20.12" personId="{21E0E8C2-A916-4E08-AEE0-0F250CDC6195}" id="{4EF02B22-AF48-424F-AB51-2ABEF9944B05}" parentId="{405E0823-8001-482B-A52C-710AB32C46F1}">
    <text>Zagros Petrochemical Company</text>
  </threadedComment>
  <threadedComment ref="D53" dT="2022-10-26T10:47:58.23" personId="{21E0E8C2-A916-4E08-AEE0-0F250CDC6195}" id="{3B092019-4402-4E13-8471-B27B95E13516}" parentId="{405E0823-8001-482B-A52C-710AB32C46F1}">
    <text>https://smartcatalyst.ir/en/methanol-manufacturers-in-iran/</text>
  </threadedComment>
  <threadedComment ref="D54" dT="2022-10-26T10:40:00.48" personId="{21E0E8C2-A916-4E08-AEE0-0F250CDC6195}" id="{86401DC4-A0BA-4312-B7D8-BD9990C5A851}">
    <text>https://financialtribune.com/articles/energy/115177/marjan-petrochem-company-reduces-pollution-expenses#:~:text=Located%20in%20South%20Pars%20Petzone,in%20the%20southern%20Bushehr%20Province.</text>
  </threadedComment>
  <threadedComment ref="D54" dT="2022-10-26T10:40:32.49" personId="{21E0E8C2-A916-4E08-AEE0-0F250CDC6195}" id="{FF561FC4-A69A-4977-BA42-A3D45801DF41}" parentId="{86401DC4-A0BA-4312-B7D8-BD9990C5A851}">
    <text>https://www.pedc.ir/news-media/news/id/171/marjan-petchem-plant-operational</text>
  </threadedComment>
  <threadedComment ref="D55" dT="2022-10-26T10:46:09.30" personId="{21E0E8C2-A916-4E08-AEE0-0F250CDC6195}" id="{D84A41A6-202F-4802-A08A-7F963BCB938B}">
    <text xml:space="preserve">https://www.sabalanpico.com/en/about-us/#:~:text=Aiming%20at%20constructing%20an%20AA,established%20on%20October%206%2C%202010.
</text>
  </threadedComment>
  <threadedComment ref="D56" dT="2022-10-26T10:52:07.10" personId="{21E0E8C2-A916-4E08-AEE0-0F250CDC6195}" id="{092C8F27-768E-4693-9217-E9844CDA8AFD}">
    <text>https://smartcatalyst.ir/en/methanol-manufacturers-in-iran/</text>
  </threadedComment>
  <threadedComment ref="D60" dT="2022-10-26T10:56:09.27" personId="{21E0E8C2-A916-4E08-AEE0-0F250CDC6195}" id="{D03FE264-9D86-4C5B-86B4-6D3DFD341500}">
    <text>https://www.qafac.com.qa/about-us#:~:text=The%20QAFAC%20plant%20is%20designed,and%20610%2C000%20TPA%20of%20MTBE.</text>
  </threadedComment>
  <threadedComment ref="D60" dT="2022-10-26T10:56:45.20" personId="{21E0E8C2-A916-4E08-AEE0-0F250CDC6195}" id="{FD4084AA-9062-4728-AF1F-64984D403A5F}" parentId="{D03FE264-9D86-4C5B-86B4-6D3DFD341500}">
    <text>https://www.qafac.com.qa/methanol</text>
  </threadedComment>
  <threadedComment ref="D62" dT="2022-10-26T11:02:28.09" personId="{21E0E8C2-A916-4E08-AEE0-0F250CDC6195}" id="{F7BCC101-EDE5-4CA0-9526-8D9868DCBBD9}">
    <text>https://www.omanmethanol.com/</text>
  </threadedComment>
  <threadedComment ref="D62" dT="2022-10-26T11:02:46.28" personId="{21E0E8C2-A916-4E08-AEE0-0F250CDC6195}" id="{E353C527-CAD0-45EE-8FEE-3734A1A0A7D2}" parentId="{F7BCC101-EDE5-4CA0-9526-8D9868DCBBD9}">
    <text>https://www.omanmethanol.com/Pages.aspx?id=1</text>
  </threadedComment>
  <threadedComment ref="D63" dT="2022-10-26T11:04:55.18" personId="{21E0E8C2-A916-4E08-AEE0-0F250CDC6195}" id="{ED2B3D3B-0770-473C-BCDD-49CFDF388197}">
    <text>https://oq.com/en/products/intermediates/methanol</text>
  </threadedComment>
  <threadedComment ref="P65" dT="2022-10-27T09:25:09.92" personId="{21E0E8C2-A916-4E08-AEE0-0F250CDC6195}" id="{3B34C836-5052-4F03-AE6F-A3DB7B675625}">
    <text>Abu Dhabi Chemicals Derivatives Company, also called Ta'ziz -- a joint venture between Adnoc and holding company ADQ -- will build the methanol facility with Proman. The plant is expected to have a capacity to produce up to 1.8 million mt methanol annually.
The project is likely to be completed before end-2025, according to an Adnoc spokesperson</text>
  </threadedComment>
  <threadedComment ref="P65" dT="2022-10-27T09:25:15.92" personId="{21E0E8C2-A916-4E08-AEE0-0F250CDC6195}" id="{58A1E28F-9D82-4DDD-8675-B9A09B57BB64}" parentId="{3B34C836-5052-4F03-AE6F-A3DB7B675625}">
    <text>https://www.spglobal.com/commodityinsights/en/market-insights/topics/energy-price-crisis</text>
  </threadedComment>
  <threadedComment ref="B66" dT="2022-10-26T11:20:08.76" personId="{21E0E8C2-A916-4E08-AEE0-0F250CDC6195}" id="{7A7194F9-558F-4156-9128-FA1E6C0EA3F0}">
    <text>https://coal.gov.in/sites/default/files/ncgm/pmicg-jp.pdf</text>
  </threadedComment>
  <threadedComment ref="D66" dT="2022-10-27T05:08:20.22" personId="{21E0E8C2-A916-4E08-AEE0-0F250CDC6195}" id="{F65B8EC3-FE55-4280-BF93-241A4C2CB365}">
    <text xml:space="preserve">  Assam Petro-Chemicals Ltd. is now implementing a mega project of 500TPD Methanol and 200 TPD Formaldehyde plant as an expansion project of the company at a total cost of Rs. 1337 crore.Implementation of the 500 TPD Methanol project is going on at the adjacent plot of existing plant at Namrup in Dibrugarh district of Assam.Implementation of 200 TPD Formalin project is about to start at Boitamari in Bongaigaon District. The Hon'ble Chief Minister of Assam laid the foundation stone of the 200 TPD Formalin Project at Boitamari, Bongaigaon on 4th March, 2019. Governor of Assam, Oil India Limited and Assam Gas Company Limited are investing in equity capital for implementation of 500 TPD Methanol and 200 TPD Formalin project. Government of Assam alongwith Assam Gas Co. Ltd and AIDC Ltd. will hold 51% of shares and Oil India Ltd. will hold 49% of the equity capital of the company.In this connection, an MoU was sighed with Oil India Ltd. in February, 2018 during Advantage Assam -the Global Investors Summit held at Guwahati.</text>
  </threadedComment>
  <threadedComment ref="D66" dT="2022-10-27T05:08:25.89" personId="{21E0E8C2-A916-4E08-AEE0-0F250CDC6195}" id="{A5816B4B-060A-4EBC-B529-96C2546C6EB9}" parentId="{F65B8EC3-FE55-4280-BF93-241A4C2CB365}">
    <text>https://assampetrochemicals.co.in/about.php</text>
  </threadedComment>
  <threadedComment ref="E66" dT="2022-10-27T05:08:50.95" personId="{21E0E8C2-A916-4E08-AEE0-0F250CDC6195}" id="{BDF71311-AE75-4F87-BA5A-111EACC562E1}">
    <text xml:space="preserve">100 TPD
</text>
  </threadedComment>
  <threadedComment ref="M66" dT="2022-10-27T05:09:20.18" personId="{21E0E8C2-A916-4E08-AEE0-0F250CDC6195}" id="{3E2F0E73-9D29-4432-A61E-BE0E274872FF}">
    <text>Another 500 TPD unit</text>
  </threadedComment>
  <threadedComment ref="M66" dT="2022-10-27T05:10:31.17" personId="{21E0E8C2-A916-4E08-AEE0-0F250CDC6195}" id="{37D0A788-6B27-4548-AA21-6FE845F3A936}" parentId="{3E2F0E73-9D29-4432-A61E-BE0E274872FF}">
    <text>https://assampetrochemicals.co.in/project-progress.php</text>
  </threadedComment>
  <threadedComment ref="D67" dT="2022-10-27T04:50:55.98" personId="{21E0E8C2-A916-4E08-AEE0-0F250CDC6195}" id="{0C091347-5A50-42AE-95A8-FF47D270617D}">
    <text>https://www.gnfc.in/divisions/production-sales/</text>
  </threadedComment>
  <threadedComment ref="D67" dT="2022-10-27T05:18:56.55" personId="{21E0E8C2-A916-4E08-AEE0-0F250CDC6195}" id="{A3EB1563-2440-4D99-BA4D-1DB9DAF7B8C9}" parentId="{0C091347-5A50-42AE-95A8-FF47D270617D}">
    <text>https://www.fert.nic.in/psu/rashtriya-chemicals-and-fertilizers-limited-rcf</text>
  </threadedComment>
  <threadedComment ref="J68" dT="2022-10-27T05:17:42.95" personId="{21E0E8C2-A916-4E08-AEE0-0F250CDC6195}" id="{1EA30DC0-FCD5-4A53-B1D6-C242872F4148}">
    <text>242MT Per day</text>
  </threadedComment>
  <threadedComment ref="J68" dT="2022-10-27T05:18:10.18" personId="{21E0E8C2-A916-4E08-AEE0-0F250CDC6195}" id="{04E0407A-FD6D-458D-9EBB-DB8E8301C6C0}" parentId="{1EA30DC0-FCD5-4A53-B1D6-C242872F4148}">
    <text>https://vajiramias.com/current-affairs/methanol/5f5ef1821d5def3376eb2611/</text>
  </threadedComment>
  <threadedComment ref="D69" dT="2022-10-27T05:22:43.53" personId="{21E0E8C2-A916-4E08-AEE0-0F250CDC6195}" id="{3875089B-5DD4-445C-A210-5E7334302459}">
    <text>https://www.dfpcl.com/industrial-manufactured-products#:~:text=DFPCL%20is%20one%20of%20the%20largest%20producers%20of%20Methanol%20in,on%20site%2C%20ensuring%20uninterrupted%20supply.</text>
  </threadedComment>
  <threadedComment ref="D70" dT="2022-10-27T05:27:08.86" personId="{21E0E8C2-A916-4E08-AEE0-0F250CDC6195}" id="{A0AA7AE5-A847-4B68-A31A-E97D23F393AB}">
    <text>https://www.gsfclimited.com/methanol-ch3oh</text>
  </threadedComment>
  <threadedComment ref="E70" dT="2022-10-27T05:25:32.71" personId="{21E0E8C2-A916-4E08-AEE0-0F250CDC6195}" id="{41B04F9B-CC39-419C-B7E3-41E5E0D95085}">
    <text>525 metric tonnes per day</text>
  </threadedComment>
  <threadedComment ref="J70" dT="2022-10-27T05:24:26.04" personId="{21E0E8C2-A916-4E08-AEE0-0F250CDC6195}" id="{714A123C-5DCE-420C-97B0-788B4489A592}">
    <text>31st August 2020</text>
  </threadedComment>
  <threadedComment ref="J70" dT="2022-10-27T05:26:04.58" personId="{21E0E8C2-A916-4E08-AEE0-0F250CDC6195}" id="{808AB2A7-AB9B-4764-BE7C-4730BE919D37}" parentId="{714A123C-5DCE-420C-97B0-788B4489A592}">
    <text>Gujarat State Fertilizers &amp; Chemicals Limited, Baroda has a Methanol plant with installed capacity of 525 metric tonnes per day. This plant was commissioned in 2013 and was operated for 11 months. Due to non-viability, the plant was shut down in April 2014.
Now, after more than 6 years, GSFC has re-started this plant. Methanol is being produced from 31st August 2020 as per the prescribed specifications and quality. Re-start of GSFC`s Methanol plant is a step towards fulfilling Hon`ble Prime Minister`s vision of `Aatmanirbhar Bharat`, and will help in import substitution.</text>
  </threadedComment>
  <threadedComment ref="J70" dT="2022-10-27T05:26:16.80" personId="{21E0E8C2-A916-4E08-AEE0-0F250CDC6195}" id="{5BDBF5F4-047C-4C37-8733-5056F93086BF}" parentId="{714A123C-5DCE-420C-97B0-788B4489A592}">
    <text>525 metric tonnes per day</text>
  </threadedComment>
  <threadedComment ref="D91" dT="2022-10-26T11:47:40.56" personId="{21E0E8C2-A916-4E08-AEE0-0F250CDC6195}" id="{2CF7CF28-B29C-44DF-863F-734D452B4FAD}">
    <text>https://www.knak.jp/malaysia/petronas.htm</text>
  </threadedComment>
  <threadedComment ref="D92" dT="2022-10-26T11:40:44.12" personId="{21E0E8C2-A916-4E08-AEE0-0F250CDC6195}" id="{41D32FBA-5633-47B4-BF6C-D8B374899FDA}">
    <text>http://webcache.googleusercontent.com/search?q=cache%3Ahttps%3A%2F%2Fkaltimmethanol.com%2Fhistory.html%23%3A~%3Atext%3DIt%2520has%2520two%2520loading%2520arms%2Cpressure%2520licensed%2520by%2520Lurgi%2520Germany.&amp;rlz=1C1CHWA_enIN973IN973&amp;oq=cache%3Ahttps%3A%2F%2Fkaltimmethanol.com%2Fhistory.html%23%3A~%3Atext%3DIt%2520has%2520two%2520loading%2520arms%2Cpressure%2520licensed%2520by%2520Lurgi%2520Germany.&amp;aqs=chrome..69i57j69i58.2192j0j4&amp;sourceid=chrome&amp;ie=UTF-8</text>
  </threadedComment>
  <threadedComment ref="D92" dT="2022-10-26T11:41:08.17" personId="{21E0E8C2-A916-4E08-AEE0-0F250CDC6195}" id="{A0753A2E-C752-4E5D-9773-2B9B995F0723}" parentId="{41D32FBA-5633-47B4-BF6C-D8B374899FDA}">
    <text>https://kaltimmethanol.com/manufacturing.html</text>
  </threadedComment>
  <threadedComment ref="D93" dT="2022-10-26T11:39:17.59" personId="{21E0E8C2-A916-4E08-AEE0-0F250CDC6195}" id="{B987BCB9-238E-4D87-9E30-852A06BE99AC}">
    <text>https://www.melbana.com/site/PDF/98537309-7153-4e78-9c4b-26f6c1193b56/MediaBackground#:~:text=Each%20plant%20has%20a%20production%20capacity%20of%20approximately%205%2C000%20tonnes%20per%20day.</text>
  </threadedComment>
  <threadedComment ref="D94" dT="2022-10-26T11:13:18.69" personId="{21E0E8C2-A916-4E08-AEE0-0F250CDC6195}" id="{AA3BD00F-36A9-4255-9C2B-F951240C4C8C}">
    <text>https://www.methanex.com/location/new-zealand/about-methanex-nz#:~:text=Methanex%20is%20New%20Zealand's%20only,million%20tonnes%20of%20methanol%20annually.</text>
  </threadedComment>
  <threadedComment ref="K94" dT="2022-10-26T11:13:56.18" personId="{21E0E8C2-A916-4E08-AEE0-0F250CDC6195}" id="{BF2494CB-F9E3-4A28-B2F1-FB56B1EFAF54}">
    <text>(one facillity, Waitara Valley, is currently idled) providing the capacity to produce up to 2.2 million tonnes of methanol annually.</text>
  </threadedComment>
  <threadedComment ref="D95" dT="2022-10-26T11:36:15.09" personId="{21E0E8C2-A916-4E08-AEE0-0F250CDC6195}" id="{F3A19994-AD61-4BE8-9531-97F4712DE000}">
    <text>https://www.coogee.com.au/capabilities/manufacturing-supply/</text>
  </threadedComment>
</ThreadedComments>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3.xml"/><Relationship Id="rId1" Type="http://schemas.openxmlformats.org/officeDocument/2006/relationships/printerSettings" Target="../printerSettings/printerSettings1.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4.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hyperlink" Target="https://www.irena.org/-/media/Files/IRENA/Agency/Publication/2021/Jan/IRENA_Innovation_Renewable_Methanol_2021.pdf" TargetMode="Externa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4:C51"/>
  <sheetViews>
    <sheetView workbookViewId="0">
      <selection activeCell="B51" sqref="B51"/>
    </sheetView>
  </sheetViews>
  <sheetFormatPr defaultRowHeight="15" x14ac:dyDescent="0.25"/>
  <sheetData>
    <row r="24" spans="2:2" x14ac:dyDescent="0.25">
      <c r="B24" t="s">
        <v>129</v>
      </c>
    </row>
    <row r="49" spans="2:3" x14ac:dyDescent="0.25">
      <c r="B49" t="s">
        <v>130</v>
      </c>
      <c r="C49" t="s">
        <v>131</v>
      </c>
    </row>
    <row r="50" spans="2:3" x14ac:dyDescent="0.25">
      <c r="B50" t="s">
        <v>134</v>
      </c>
      <c r="C50" t="s">
        <v>133</v>
      </c>
    </row>
    <row r="51" spans="2:3" x14ac:dyDescent="0.25">
      <c r="C51" t="s">
        <v>132</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AD25BB-9135-44BD-A628-245B2D95CDF4}">
  <dimension ref="A1"/>
  <sheetViews>
    <sheetView workbookViewId="0">
      <selection activeCell="S21" sqref="S21"/>
    </sheetView>
  </sheetViews>
  <sheetFormatPr defaultRowHeight="15" x14ac:dyDescent="0.2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1C41C0-8052-4586-B812-3CEACD325389}">
  <dimension ref="A1:X163"/>
  <sheetViews>
    <sheetView topLeftCell="A22" zoomScaleNormal="100" workbookViewId="0">
      <selection activeCell="D30" sqref="D30"/>
    </sheetView>
  </sheetViews>
  <sheetFormatPr defaultRowHeight="15" x14ac:dyDescent="0.25"/>
  <cols>
    <col min="1" max="1" width="13.42578125" bestFit="1" customWidth="1"/>
    <col min="2" max="2" width="18.28515625" bestFit="1" customWidth="1"/>
    <col min="3" max="3" width="15.85546875" bestFit="1" customWidth="1"/>
    <col min="4" max="4" width="54.28515625" bestFit="1" customWidth="1"/>
  </cols>
  <sheetData>
    <row r="1" spans="1:24" x14ac:dyDescent="0.25">
      <c r="A1" s="1" t="s">
        <v>0</v>
      </c>
      <c r="B1" s="1" t="s">
        <v>1</v>
      </c>
      <c r="C1" s="1" t="s">
        <v>2</v>
      </c>
      <c r="D1" s="1" t="s">
        <v>3</v>
      </c>
      <c r="E1" s="1">
        <v>2015</v>
      </c>
      <c r="F1" s="2">
        <v>2016</v>
      </c>
      <c r="G1" s="2">
        <v>2017</v>
      </c>
      <c r="H1" s="2">
        <v>2018</v>
      </c>
      <c r="I1" s="3">
        <v>2019</v>
      </c>
      <c r="J1" s="3">
        <v>2020</v>
      </c>
      <c r="K1" s="3" t="s">
        <v>4</v>
      </c>
      <c r="L1" s="3" t="s">
        <v>5</v>
      </c>
      <c r="M1" s="3" t="s">
        <v>6</v>
      </c>
      <c r="N1" s="3" t="s">
        <v>7</v>
      </c>
      <c r="O1" s="3" t="s">
        <v>8</v>
      </c>
      <c r="P1" s="3" t="s">
        <v>9</v>
      </c>
      <c r="Q1" s="3" t="s">
        <v>10</v>
      </c>
      <c r="R1" s="3" t="s">
        <v>11</v>
      </c>
      <c r="S1" s="3" t="s">
        <v>12</v>
      </c>
      <c r="T1" s="3" t="s">
        <v>13</v>
      </c>
      <c r="U1" s="3" t="s">
        <v>14</v>
      </c>
      <c r="V1" s="3" t="s">
        <v>15</v>
      </c>
      <c r="W1" s="3" t="s">
        <v>16</v>
      </c>
      <c r="X1" s="3" t="s">
        <v>17</v>
      </c>
    </row>
    <row r="2" spans="1:24" x14ac:dyDescent="0.25">
      <c r="A2" s="4" t="s">
        <v>18</v>
      </c>
      <c r="B2" s="4" t="s">
        <v>19</v>
      </c>
      <c r="C2" s="5" t="s">
        <v>20</v>
      </c>
      <c r="D2" s="23" t="s">
        <v>21</v>
      </c>
      <c r="E2" s="7">
        <v>33</v>
      </c>
      <c r="F2" s="7">
        <v>33</v>
      </c>
      <c r="G2" s="7">
        <v>33</v>
      </c>
      <c r="H2" s="7">
        <v>33</v>
      </c>
      <c r="I2" s="7">
        <v>33</v>
      </c>
      <c r="J2" s="7">
        <v>33</v>
      </c>
      <c r="K2" s="7">
        <v>33</v>
      </c>
      <c r="L2" s="8">
        <f>ROUND($P2/4,2)</f>
        <v>8.25</v>
      </c>
      <c r="M2" s="8">
        <f t="shared" ref="M2:O15" si="0">ROUND($P2/4,2)</f>
        <v>8.25</v>
      </c>
      <c r="N2" s="8">
        <f t="shared" si="0"/>
        <v>8.25</v>
      </c>
      <c r="O2" s="8">
        <f t="shared" si="0"/>
        <v>8.25</v>
      </c>
      <c r="P2" s="7">
        <v>33</v>
      </c>
      <c r="Q2" s="7">
        <v>198</v>
      </c>
      <c r="R2" s="7">
        <v>198</v>
      </c>
      <c r="S2" s="7">
        <v>198</v>
      </c>
      <c r="T2" s="7">
        <v>198</v>
      </c>
      <c r="U2" s="7">
        <v>198</v>
      </c>
      <c r="V2" s="7">
        <v>198</v>
      </c>
      <c r="W2" s="7">
        <v>198</v>
      </c>
      <c r="X2" s="7">
        <v>198</v>
      </c>
    </row>
    <row r="3" spans="1:24" x14ac:dyDescent="0.25">
      <c r="A3" s="4" t="s">
        <v>18</v>
      </c>
      <c r="B3" s="4" t="s">
        <v>19</v>
      </c>
      <c r="C3" s="5" t="s">
        <v>22</v>
      </c>
      <c r="D3" s="23" t="s">
        <v>23</v>
      </c>
      <c r="E3" s="27">
        <v>269</v>
      </c>
      <c r="F3" s="27">
        <v>269</v>
      </c>
      <c r="G3" s="27">
        <v>269</v>
      </c>
      <c r="H3" s="27">
        <v>269</v>
      </c>
      <c r="I3" s="27">
        <v>269</v>
      </c>
      <c r="J3" s="27">
        <v>269</v>
      </c>
      <c r="K3" s="27">
        <v>269</v>
      </c>
      <c r="L3" s="8">
        <f t="shared" ref="L3:O24" si="1">ROUND($P3/4,2)</f>
        <v>67.25</v>
      </c>
      <c r="M3" s="8">
        <f t="shared" si="0"/>
        <v>67.25</v>
      </c>
      <c r="N3" s="8">
        <f t="shared" si="0"/>
        <v>67.25</v>
      </c>
      <c r="O3" s="8">
        <f t="shared" si="0"/>
        <v>67.25</v>
      </c>
      <c r="P3" s="27">
        <v>269</v>
      </c>
      <c r="Q3" s="27">
        <v>269</v>
      </c>
      <c r="R3" s="27">
        <v>269</v>
      </c>
      <c r="S3" s="27">
        <v>269</v>
      </c>
      <c r="T3" s="27">
        <v>269</v>
      </c>
      <c r="U3" s="27">
        <v>269</v>
      </c>
      <c r="V3" s="27">
        <v>269</v>
      </c>
      <c r="W3" s="27">
        <v>269</v>
      </c>
      <c r="X3" s="27">
        <v>269</v>
      </c>
    </row>
    <row r="4" spans="1:24" x14ac:dyDescent="0.25">
      <c r="A4" s="4" t="s">
        <v>18</v>
      </c>
      <c r="B4" s="4" t="s">
        <v>19</v>
      </c>
      <c r="C4" s="5" t="s">
        <v>24</v>
      </c>
      <c r="D4" s="23" t="s">
        <v>25</v>
      </c>
      <c r="E4" s="7">
        <v>0</v>
      </c>
      <c r="F4" s="7">
        <v>0</v>
      </c>
      <c r="G4" s="7">
        <v>0</v>
      </c>
      <c r="H4" s="7">
        <v>0</v>
      </c>
      <c r="I4" s="7">
        <v>0</v>
      </c>
      <c r="J4" s="7">
        <v>80</v>
      </c>
      <c r="K4" s="7">
        <v>80</v>
      </c>
      <c r="L4" s="8">
        <f t="shared" si="1"/>
        <v>20</v>
      </c>
      <c r="M4" s="8">
        <f t="shared" si="0"/>
        <v>20</v>
      </c>
      <c r="N4" s="8">
        <f t="shared" si="0"/>
        <v>20</v>
      </c>
      <c r="O4" s="8">
        <f t="shared" si="0"/>
        <v>20</v>
      </c>
      <c r="P4" s="7">
        <v>80</v>
      </c>
      <c r="Q4" s="7">
        <v>80</v>
      </c>
      <c r="R4" s="7">
        <v>80</v>
      </c>
      <c r="S4" s="7">
        <v>80</v>
      </c>
      <c r="T4" s="7">
        <v>80</v>
      </c>
      <c r="U4" s="7">
        <v>80</v>
      </c>
      <c r="V4" s="7">
        <v>80</v>
      </c>
      <c r="W4" s="7">
        <v>80</v>
      </c>
      <c r="X4" s="7">
        <v>80</v>
      </c>
    </row>
    <row r="5" spans="1:24" x14ac:dyDescent="0.25">
      <c r="A5" s="4" t="s">
        <v>18</v>
      </c>
      <c r="B5" s="4" t="s">
        <v>19</v>
      </c>
      <c r="C5" s="5" t="s">
        <v>26</v>
      </c>
      <c r="D5" s="23" t="s">
        <v>27</v>
      </c>
      <c r="E5" s="7">
        <v>100</v>
      </c>
      <c r="F5" s="7">
        <v>100</v>
      </c>
      <c r="G5" s="7">
        <v>100</v>
      </c>
      <c r="H5" s="7">
        <v>100</v>
      </c>
      <c r="I5" s="7">
        <v>100</v>
      </c>
      <c r="J5" s="7">
        <v>100</v>
      </c>
      <c r="K5" s="7">
        <v>100</v>
      </c>
      <c r="L5" s="8">
        <f t="shared" si="1"/>
        <v>25</v>
      </c>
      <c r="M5" s="8">
        <f t="shared" si="0"/>
        <v>25</v>
      </c>
      <c r="N5" s="8">
        <f t="shared" si="0"/>
        <v>25</v>
      </c>
      <c r="O5" s="8">
        <f t="shared" si="0"/>
        <v>25</v>
      </c>
      <c r="P5" s="7">
        <v>100</v>
      </c>
      <c r="Q5" s="7">
        <v>100</v>
      </c>
      <c r="R5" s="7">
        <v>100</v>
      </c>
      <c r="S5" s="7">
        <v>100</v>
      </c>
      <c r="T5" s="7">
        <v>100</v>
      </c>
      <c r="U5" s="7">
        <v>100</v>
      </c>
      <c r="V5" s="7">
        <v>100</v>
      </c>
      <c r="W5" s="7">
        <v>100</v>
      </c>
      <c r="X5" s="7">
        <v>100</v>
      </c>
    </row>
    <row r="6" spans="1:24" x14ac:dyDescent="0.25">
      <c r="A6" s="4" t="s">
        <v>18</v>
      </c>
      <c r="B6" s="4" t="s">
        <v>19</v>
      </c>
      <c r="C6" s="9" t="s">
        <v>28</v>
      </c>
      <c r="D6" s="23" t="s">
        <v>29</v>
      </c>
      <c r="E6" s="7">
        <v>0</v>
      </c>
      <c r="F6" s="7">
        <v>0</v>
      </c>
      <c r="G6" s="7">
        <v>0</v>
      </c>
      <c r="H6" s="7">
        <v>0</v>
      </c>
      <c r="I6" s="7">
        <v>0</v>
      </c>
      <c r="J6" s="7">
        <v>173</v>
      </c>
      <c r="K6" s="7">
        <v>173</v>
      </c>
      <c r="L6" s="8">
        <f t="shared" si="1"/>
        <v>43.25</v>
      </c>
      <c r="M6" s="8">
        <f t="shared" si="0"/>
        <v>43.25</v>
      </c>
      <c r="N6" s="8">
        <f t="shared" si="0"/>
        <v>43.25</v>
      </c>
      <c r="O6" s="8">
        <f t="shared" si="0"/>
        <v>43.25</v>
      </c>
      <c r="P6" s="7">
        <v>173</v>
      </c>
      <c r="Q6" s="7">
        <v>173</v>
      </c>
      <c r="R6" s="7">
        <v>173</v>
      </c>
      <c r="S6" s="7">
        <v>173</v>
      </c>
      <c r="T6" s="7">
        <v>173</v>
      </c>
      <c r="U6" s="7">
        <v>173</v>
      </c>
      <c r="V6" s="7">
        <v>173</v>
      </c>
      <c r="W6" s="7">
        <v>173</v>
      </c>
      <c r="X6" s="7">
        <v>173</v>
      </c>
    </row>
    <row r="7" spans="1:24" x14ac:dyDescent="0.25">
      <c r="A7" s="4" t="s">
        <v>18</v>
      </c>
      <c r="B7" s="4" t="s">
        <v>19</v>
      </c>
      <c r="C7" s="9" t="s">
        <v>30</v>
      </c>
      <c r="D7" s="6" t="s">
        <v>31</v>
      </c>
      <c r="E7" s="7">
        <v>0</v>
      </c>
      <c r="F7" s="7">
        <v>0</v>
      </c>
      <c r="G7" s="7">
        <v>0</v>
      </c>
      <c r="H7" s="7">
        <v>0</v>
      </c>
      <c r="I7" s="7">
        <v>0</v>
      </c>
      <c r="J7" s="7">
        <v>0</v>
      </c>
      <c r="K7" s="7">
        <v>0</v>
      </c>
      <c r="L7" s="8">
        <f t="shared" si="1"/>
        <v>0</v>
      </c>
      <c r="M7" s="8">
        <f t="shared" si="0"/>
        <v>0</v>
      </c>
      <c r="N7" s="8">
        <f t="shared" si="0"/>
        <v>0</v>
      </c>
      <c r="O7" s="8">
        <f t="shared" si="0"/>
        <v>0</v>
      </c>
      <c r="P7" s="7">
        <v>0</v>
      </c>
      <c r="Q7" s="7">
        <v>0</v>
      </c>
      <c r="R7" s="7">
        <v>670</v>
      </c>
      <c r="S7" s="7">
        <v>670</v>
      </c>
      <c r="T7" s="7">
        <v>670</v>
      </c>
      <c r="U7" s="7">
        <v>670</v>
      </c>
      <c r="V7" s="7">
        <v>670</v>
      </c>
      <c r="W7" s="7">
        <v>670</v>
      </c>
      <c r="X7" s="7">
        <v>670</v>
      </c>
    </row>
    <row r="8" spans="1:24" x14ac:dyDescent="0.25">
      <c r="A8" s="4" t="s">
        <v>18</v>
      </c>
      <c r="B8" s="4" t="s">
        <v>33</v>
      </c>
      <c r="C8" s="4" t="s">
        <v>34</v>
      </c>
      <c r="D8" s="10" t="s">
        <v>35</v>
      </c>
      <c r="E8" s="11">
        <v>250</v>
      </c>
      <c r="F8" s="11">
        <v>250</v>
      </c>
      <c r="G8" s="11">
        <v>250</v>
      </c>
      <c r="H8" s="11">
        <v>250</v>
      </c>
      <c r="I8" s="11">
        <v>250</v>
      </c>
      <c r="J8" s="11">
        <v>250</v>
      </c>
      <c r="K8" s="11">
        <v>250</v>
      </c>
      <c r="L8" s="8">
        <f t="shared" si="1"/>
        <v>62.5</v>
      </c>
      <c r="M8" s="8">
        <f t="shared" si="0"/>
        <v>62.5</v>
      </c>
      <c r="N8" s="8">
        <f t="shared" si="0"/>
        <v>62.5</v>
      </c>
      <c r="O8" s="8">
        <f t="shared" si="0"/>
        <v>62.5</v>
      </c>
      <c r="P8" s="11">
        <v>250</v>
      </c>
      <c r="Q8" s="11">
        <v>250</v>
      </c>
      <c r="R8" s="11">
        <v>250</v>
      </c>
      <c r="S8" s="11">
        <v>250</v>
      </c>
      <c r="T8" s="11">
        <v>250</v>
      </c>
      <c r="U8" s="11">
        <v>250</v>
      </c>
      <c r="V8" s="11">
        <v>250</v>
      </c>
      <c r="W8" s="11">
        <v>250</v>
      </c>
      <c r="X8" s="11">
        <v>250</v>
      </c>
    </row>
    <row r="9" spans="1:24" x14ac:dyDescent="0.25">
      <c r="A9" s="4" t="s">
        <v>18</v>
      </c>
      <c r="B9" s="4" t="s">
        <v>33</v>
      </c>
      <c r="C9" s="4" t="s">
        <v>36</v>
      </c>
      <c r="D9" s="6" t="s">
        <v>37</v>
      </c>
      <c r="E9" s="12">
        <v>1667</v>
      </c>
      <c r="F9" s="12">
        <v>1667</v>
      </c>
      <c r="G9" s="12">
        <v>1667</v>
      </c>
      <c r="H9" s="12">
        <v>1667</v>
      </c>
      <c r="I9" s="12">
        <v>1667</v>
      </c>
      <c r="J9" s="12">
        <v>1667</v>
      </c>
      <c r="K9" s="12">
        <v>1667</v>
      </c>
      <c r="L9" s="8">
        <f t="shared" si="1"/>
        <v>416.75</v>
      </c>
      <c r="M9" s="8">
        <f t="shared" si="0"/>
        <v>416.75</v>
      </c>
      <c r="N9" s="8">
        <f t="shared" si="0"/>
        <v>416.75</v>
      </c>
      <c r="O9" s="8">
        <f t="shared" si="0"/>
        <v>416.75</v>
      </c>
      <c r="P9" s="12">
        <v>1667</v>
      </c>
      <c r="Q9" s="12">
        <v>1667</v>
      </c>
      <c r="R9" s="12">
        <v>1667</v>
      </c>
      <c r="S9" s="12">
        <v>1667</v>
      </c>
      <c r="T9" s="12">
        <v>1667</v>
      </c>
      <c r="U9" s="12">
        <v>1667</v>
      </c>
      <c r="V9" s="12">
        <v>1667</v>
      </c>
      <c r="W9" s="12">
        <v>1667</v>
      </c>
      <c r="X9" s="12">
        <v>1667</v>
      </c>
    </row>
    <row r="10" spans="1:24" x14ac:dyDescent="0.25">
      <c r="A10" s="4" t="s">
        <v>18</v>
      </c>
      <c r="B10" s="4" t="s">
        <v>33</v>
      </c>
      <c r="C10" s="4" t="s">
        <v>38</v>
      </c>
      <c r="D10" s="6" t="s">
        <v>39</v>
      </c>
      <c r="E10" s="12">
        <v>3600</v>
      </c>
      <c r="F10" s="12">
        <v>3600</v>
      </c>
      <c r="G10" s="12">
        <v>3600</v>
      </c>
      <c r="H10" s="12">
        <v>3600</v>
      </c>
      <c r="I10" s="12">
        <v>3600</v>
      </c>
      <c r="J10" s="12">
        <v>3600</v>
      </c>
      <c r="K10" s="12">
        <v>3600</v>
      </c>
      <c r="L10" s="8">
        <f t="shared" si="1"/>
        <v>900</v>
      </c>
      <c r="M10" s="8">
        <f t="shared" si="0"/>
        <v>900</v>
      </c>
      <c r="N10" s="8">
        <f t="shared" si="0"/>
        <v>900</v>
      </c>
      <c r="O10" s="8">
        <f t="shared" si="0"/>
        <v>900</v>
      </c>
      <c r="P10" s="12">
        <v>3600</v>
      </c>
      <c r="Q10" s="12">
        <v>3600</v>
      </c>
      <c r="R10" s="12">
        <v>3600</v>
      </c>
      <c r="S10" s="12">
        <v>3600</v>
      </c>
      <c r="T10" s="12">
        <v>3600</v>
      </c>
      <c r="U10" s="12">
        <v>3600</v>
      </c>
      <c r="V10" s="12">
        <v>3600</v>
      </c>
      <c r="W10" s="12">
        <v>3600</v>
      </c>
      <c r="X10" s="12">
        <v>3600</v>
      </c>
    </row>
    <row r="11" spans="1:24" x14ac:dyDescent="0.25">
      <c r="A11" s="4" t="s">
        <v>18</v>
      </c>
      <c r="B11" s="4" t="s">
        <v>33</v>
      </c>
      <c r="C11" s="4" t="s">
        <v>40</v>
      </c>
      <c r="D11" s="6" t="s">
        <v>41</v>
      </c>
      <c r="E11" s="12">
        <v>700</v>
      </c>
      <c r="F11" s="12">
        <v>700</v>
      </c>
      <c r="G11" s="12">
        <v>700</v>
      </c>
      <c r="H11" s="12">
        <v>700</v>
      </c>
      <c r="I11" s="12">
        <v>700</v>
      </c>
      <c r="J11" s="12">
        <v>700</v>
      </c>
      <c r="K11" s="12">
        <v>700</v>
      </c>
      <c r="L11" s="8">
        <f t="shared" si="1"/>
        <v>175</v>
      </c>
      <c r="M11" s="8">
        <f t="shared" si="0"/>
        <v>175</v>
      </c>
      <c r="N11" s="8">
        <f t="shared" si="0"/>
        <v>175</v>
      </c>
      <c r="O11" s="8">
        <f t="shared" si="0"/>
        <v>175</v>
      </c>
      <c r="P11" s="12">
        <v>700</v>
      </c>
      <c r="Q11" s="12">
        <v>700</v>
      </c>
      <c r="R11" s="12">
        <v>700</v>
      </c>
      <c r="S11" s="12">
        <v>700</v>
      </c>
      <c r="T11" s="12">
        <v>700</v>
      </c>
      <c r="U11" s="12">
        <v>700</v>
      </c>
      <c r="V11" s="12">
        <v>700</v>
      </c>
      <c r="W11" s="12">
        <v>700</v>
      </c>
      <c r="X11" s="12">
        <v>700</v>
      </c>
    </row>
    <row r="12" spans="1:24" x14ac:dyDescent="0.25">
      <c r="A12" s="4" t="s">
        <v>18</v>
      </c>
      <c r="B12" s="4" t="s">
        <v>33</v>
      </c>
      <c r="C12" s="4" t="s">
        <v>38</v>
      </c>
      <c r="D12" s="6" t="s">
        <v>42</v>
      </c>
      <c r="E12" s="12">
        <v>0</v>
      </c>
      <c r="F12" s="12">
        <v>0</v>
      </c>
      <c r="G12" s="12">
        <v>0</v>
      </c>
      <c r="H12" s="12">
        <v>0</v>
      </c>
      <c r="I12" s="12">
        <v>0</v>
      </c>
      <c r="J12" s="12">
        <v>0</v>
      </c>
      <c r="K12" s="12">
        <v>175</v>
      </c>
      <c r="L12" s="8">
        <f t="shared" si="1"/>
        <v>43.75</v>
      </c>
      <c r="M12" s="8">
        <f t="shared" si="0"/>
        <v>43.75</v>
      </c>
      <c r="N12" s="8">
        <f t="shared" si="0"/>
        <v>43.75</v>
      </c>
      <c r="O12" s="8">
        <f t="shared" si="0"/>
        <v>43.75</v>
      </c>
      <c r="P12" s="12">
        <v>175</v>
      </c>
      <c r="Q12" s="12">
        <v>175</v>
      </c>
      <c r="R12" s="12">
        <v>175</v>
      </c>
      <c r="S12" s="12">
        <v>175</v>
      </c>
      <c r="T12" s="12">
        <v>175</v>
      </c>
      <c r="U12" s="12">
        <v>175</v>
      </c>
      <c r="V12" s="12">
        <v>175</v>
      </c>
      <c r="W12" s="12">
        <v>175</v>
      </c>
      <c r="X12" s="12">
        <v>175</v>
      </c>
    </row>
    <row r="13" spans="1:24" x14ac:dyDescent="0.25">
      <c r="A13" s="4" t="s">
        <v>18</v>
      </c>
      <c r="B13" s="4" t="s">
        <v>33</v>
      </c>
      <c r="C13" s="4" t="s">
        <v>43</v>
      </c>
      <c r="D13" s="6" t="s">
        <v>44</v>
      </c>
      <c r="E13" s="12">
        <v>300</v>
      </c>
      <c r="F13" s="12">
        <v>300</v>
      </c>
      <c r="G13" s="12">
        <v>300</v>
      </c>
      <c r="H13" s="12">
        <v>300</v>
      </c>
      <c r="I13" s="12">
        <v>300</v>
      </c>
      <c r="J13" s="12">
        <v>300</v>
      </c>
      <c r="K13" s="12">
        <v>900</v>
      </c>
      <c r="L13" s="8">
        <f t="shared" si="1"/>
        <v>225</v>
      </c>
      <c r="M13" s="8">
        <f t="shared" si="0"/>
        <v>225</v>
      </c>
      <c r="N13" s="8">
        <f t="shared" si="0"/>
        <v>225</v>
      </c>
      <c r="O13" s="8">
        <f t="shared" si="0"/>
        <v>225</v>
      </c>
      <c r="P13" s="12">
        <v>900</v>
      </c>
      <c r="Q13" s="12">
        <v>900</v>
      </c>
      <c r="R13" s="12">
        <v>900</v>
      </c>
      <c r="S13" s="12">
        <v>900</v>
      </c>
      <c r="T13" s="12">
        <v>900</v>
      </c>
      <c r="U13" s="12">
        <v>900</v>
      </c>
      <c r="V13" s="12">
        <v>900</v>
      </c>
      <c r="W13" s="12">
        <v>900</v>
      </c>
      <c r="X13" s="12">
        <v>900</v>
      </c>
    </row>
    <row r="14" spans="1:24" x14ac:dyDescent="0.25">
      <c r="A14" s="4" t="s">
        <v>18</v>
      </c>
      <c r="B14" s="4" t="s">
        <v>33</v>
      </c>
      <c r="C14" s="4" t="s">
        <v>45</v>
      </c>
      <c r="D14" s="6" t="s">
        <v>46</v>
      </c>
      <c r="E14" s="12">
        <v>1000</v>
      </c>
      <c r="F14" s="12">
        <v>1000</v>
      </c>
      <c r="G14" s="12">
        <v>1000</v>
      </c>
      <c r="H14" s="12">
        <v>1000</v>
      </c>
      <c r="I14" s="12">
        <v>1000</v>
      </c>
      <c r="J14" s="12">
        <v>1000</v>
      </c>
      <c r="K14" s="12">
        <v>1000</v>
      </c>
      <c r="L14" s="8">
        <f t="shared" si="1"/>
        <v>250</v>
      </c>
      <c r="M14" s="8">
        <f t="shared" si="0"/>
        <v>250</v>
      </c>
      <c r="N14" s="8">
        <f t="shared" si="0"/>
        <v>250</v>
      </c>
      <c r="O14" s="8">
        <f t="shared" si="0"/>
        <v>250</v>
      </c>
      <c r="P14" s="12">
        <v>1000</v>
      </c>
      <c r="Q14" s="12">
        <v>1000</v>
      </c>
      <c r="R14" s="12">
        <v>1000</v>
      </c>
      <c r="S14" s="12">
        <v>1000</v>
      </c>
      <c r="T14" s="12">
        <v>1000</v>
      </c>
      <c r="U14" s="12">
        <v>1000</v>
      </c>
      <c r="V14" s="12">
        <v>1000</v>
      </c>
      <c r="W14" s="12">
        <v>1000</v>
      </c>
      <c r="X14" s="12">
        <v>1000</v>
      </c>
    </row>
    <row r="15" spans="1:24" x14ac:dyDescent="0.25">
      <c r="A15" s="4" t="s">
        <v>18</v>
      </c>
      <c r="B15" s="4" t="s">
        <v>33</v>
      </c>
      <c r="C15" s="4" t="s">
        <v>38</v>
      </c>
      <c r="D15" s="6" t="s">
        <v>47</v>
      </c>
      <c r="E15" s="12">
        <v>1300</v>
      </c>
      <c r="F15" s="12">
        <v>1300</v>
      </c>
      <c r="G15" s="12">
        <v>1300</v>
      </c>
      <c r="H15" s="12">
        <v>1300</v>
      </c>
      <c r="I15" s="12">
        <v>1300</v>
      </c>
      <c r="J15" s="12">
        <v>1300</v>
      </c>
      <c r="K15" s="12">
        <v>2300</v>
      </c>
      <c r="L15" s="8">
        <f t="shared" si="1"/>
        <v>575</v>
      </c>
      <c r="M15" s="8">
        <f t="shared" si="0"/>
        <v>575</v>
      </c>
      <c r="N15" s="8">
        <f t="shared" si="0"/>
        <v>575</v>
      </c>
      <c r="O15" s="8">
        <f t="shared" si="0"/>
        <v>575</v>
      </c>
      <c r="P15" s="12">
        <v>2300</v>
      </c>
      <c r="Q15" s="12">
        <v>2300</v>
      </c>
      <c r="R15" s="12">
        <v>2300</v>
      </c>
      <c r="S15" s="12">
        <v>2300</v>
      </c>
      <c r="T15" s="12">
        <v>2300</v>
      </c>
      <c r="U15" s="12">
        <v>2300</v>
      </c>
      <c r="V15" s="12">
        <v>2300</v>
      </c>
      <c r="W15" s="12">
        <v>2300</v>
      </c>
      <c r="X15" s="12">
        <v>2300</v>
      </c>
    </row>
    <row r="16" spans="1:24" x14ac:dyDescent="0.25">
      <c r="A16" s="4" t="s">
        <v>18</v>
      </c>
      <c r="B16" s="4" t="s">
        <v>33</v>
      </c>
      <c r="C16" s="13" t="s">
        <v>48</v>
      </c>
      <c r="D16" s="6" t="s">
        <v>49</v>
      </c>
      <c r="E16" s="12">
        <v>1640</v>
      </c>
      <c r="F16" s="12">
        <v>1640</v>
      </c>
      <c r="G16" s="12">
        <v>1640</v>
      </c>
      <c r="H16" s="12">
        <v>1640</v>
      </c>
      <c r="I16" s="12">
        <v>1640</v>
      </c>
      <c r="J16" s="12">
        <v>1640</v>
      </c>
      <c r="K16" s="12">
        <v>1640</v>
      </c>
      <c r="L16" s="8">
        <f t="shared" si="1"/>
        <v>410</v>
      </c>
      <c r="M16" s="8">
        <f t="shared" si="1"/>
        <v>410</v>
      </c>
      <c r="N16" s="8">
        <f t="shared" si="1"/>
        <v>410</v>
      </c>
      <c r="O16" s="8">
        <f t="shared" si="1"/>
        <v>410</v>
      </c>
      <c r="P16" s="12">
        <v>1640</v>
      </c>
      <c r="Q16" s="12">
        <v>1640</v>
      </c>
      <c r="R16" s="12">
        <v>1640</v>
      </c>
      <c r="S16" s="12">
        <v>1640</v>
      </c>
      <c r="T16" s="12">
        <v>1640</v>
      </c>
      <c r="U16" s="12">
        <v>1640</v>
      </c>
      <c r="V16" s="12">
        <v>1640</v>
      </c>
      <c r="W16" s="12">
        <v>1640</v>
      </c>
      <c r="X16" s="12">
        <v>1640</v>
      </c>
    </row>
    <row r="17" spans="1:24" x14ac:dyDescent="0.25">
      <c r="A17" s="4" t="s">
        <v>18</v>
      </c>
      <c r="B17" s="4" t="s">
        <v>33</v>
      </c>
      <c r="C17" s="4" t="s">
        <v>38</v>
      </c>
      <c r="D17" s="6" t="s">
        <v>50</v>
      </c>
      <c r="E17" s="12">
        <v>1700</v>
      </c>
      <c r="F17" s="12">
        <v>1700</v>
      </c>
      <c r="G17" s="12">
        <v>1700</v>
      </c>
      <c r="H17" s="12">
        <v>1700</v>
      </c>
      <c r="I17" s="12">
        <v>1700</v>
      </c>
      <c r="J17" s="12">
        <v>1700</v>
      </c>
      <c r="K17" s="12">
        <v>5300</v>
      </c>
      <c r="L17" s="8">
        <f t="shared" si="1"/>
        <v>1325</v>
      </c>
      <c r="M17" s="8">
        <f t="shared" si="1"/>
        <v>1325</v>
      </c>
      <c r="N17" s="8">
        <f t="shared" si="1"/>
        <v>1325</v>
      </c>
      <c r="O17" s="8">
        <f t="shared" si="1"/>
        <v>1325</v>
      </c>
      <c r="P17" s="12">
        <v>5300</v>
      </c>
      <c r="Q17" s="12">
        <v>5300</v>
      </c>
      <c r="R17" s="12">
        <v>5300</v>
      </c>
      <c r="S17" s="12">
        <v>5300</v>
      </c>
      <c r="T17" s="12">
        <v>5300</v>
      </c>
      <c r="U17" s="12">
        <v>5300</v>
      </c>
      <c r="V17" s="12">
        <v>5300</v>
      </c>
      <c r="W17" s="12">
        <v>5300</v>
      </c>
      <c r="X17" s="12">
        <v>5300</v>
      </c>
    </row>
    <row r="18" spans="1:24" x14ac:dyDescent="0.25">
      <c r="A18" s="4" t="s">
        <v>18</v>
      </c>
      <c r="B18" s="4" t="s">
        <v>33</v>
      </c>
      <c r="C18" s="4" t="s">
        <v>40</v>
      </c>
      <c r="D18" s="6" t="s">
        <v>51</v>
      </c>
      <c r="E18" s="12">
        <v>3400</v>
      </c>
      <c r="F18" s="12">
        <v>3400</v>
      </c>
      <c r="G18" s="12">
        <v>3400</v>
      </c>
      <c r="H18" s="12">
        <v>3400</v>
      </c>
      <c r="I18" s="12">
        <v>3400</v>
      </c>
      <c r="J18" s="12">
        <v>3400</v>
      </c>
      <c r="K18" s="12">
        <v>3400</v>
      </c>
      <c r="L18" s="8">
        <f t="shared" si="1"/>
        <v>850</v>
      </c>
      <c r="M18" s="8">
        <f t="shared" si="1"/>
        <v>850</v>
      </c>
      <c r="N18" s="8">
        <f t="shared" si="1"/>
        <v>850</v>
      </c>
      <c r="O18" s="8">
        <f t="shared" si="1"/>
        <v>850</v>
      </c>
      <c r="P18" s="12">
        <v>3400</v>
      </c>
      <c r="Q18" s="12">
        <v>3400</v>
      </c>
      <c r="R18" s="12">
        <v>3400</v>
      </c>
      <c r="S18" s="12">
        <v>3400</v>
      </c>
      <c r="T18" s="12">
        <v>3400</v>
      </c>
      <c r="U18" s="12">
        <v>3400</v>
      </c>
      <c r="V18" s="12">
        <v>3400</v>
      </c>
      <c r="W18" s="12">
        <v>3400</v>
      </c>
      <c r="X18" s="12">
        <v>3400</v>
      </c>
    </row>
    <row r="19" spans="1:24" x14ac:dyDescent="0.25">
      <c r="A19" s="4" t="s">
        <v>18</v>
      </c>
      <c r="B19" s="4" t="s">
        <v>33</v>
      </c>
      <c r="C19" s="4" t="s">
        <v>38</v>
      </c>
      <c r="D19" s="6" t="s">
        <v>52</v>
      </c>
      <c r="E19" s="12">
        <v>0</v>
      </c>
      <c r="F19" s="12">
        <v>0</v>
      </c>
      <c r="G19" s="12">
        <v>0</v>
      </c>
      <c r="H19" s="12">
        <v>0</v>
      </c>
      <c r="I19" s="12">
        <v>0</v>
      </c>
      <c r="J19" s="12">
        <v>0</v>
      </c>
      <c r="K19" s="12">
        <v>0</v>
      </c>
      <c r="L19" s="8">
        <f t="shared" si="1"/>
        <v>0</v>
      </c>
      <c r="M19" s="8">
        <f t="shared" si="1"/>
        <v>0</v>
      </c>
      <c r="N19" s="8">
        <f t="shared" si="1"/>
        <v>0</v>
      </c>
      <c r="O19" s="8">
        <f t="shared" si="1"/>
        <v>0</v>
      </c>
      <c r="P19" s="12">
        <v>0</v>
      </c>
      <c r="Q19" s="12">
        <v>1800</v>
      </c>
      <c r="R19" s="12">
        <v>1800</v>
      </c>
      <c r="S19" s="12">
        <v>1800</v>
      </c>
      <c r="T19" s="12">
        <v>1800</v>
      </c>
      <c r="U19" s="12">
        <v>1800</v>
      </c>
      <c r="V19" s="12">
        <v>1800</v>
      </c>
      <c r="W19" s="12">
        <v>1800</v>
      </c>
      <c r="X19" s="12">
        <v>1800</v>
      </c>
    </row>
    <row r="20" spans="1:24" x14ac:dyDescent="0.25">
      <c r="A20" s="4" t="s">
        <v>18</v>
      </c>
      <c r="B20" s="4" t="s">
        <v>33</v>
      </c>
      <c r="C20" s="4" t="s">
        <v>38</v>
      </c>
      <c r="D20" s="6" t="s">
        <v>53</v>
      </c>
      <c r="E20" s="12">
        <v>0</v>
      </c>
      <c r="F20" s="12">
        <v>0</v>
      </c>
      <c r="G20" s="12">
        <v>0</v>
      </c>
      <c r="H20" s="12">
        <v>0</v>
      </c>
      <c r="I20" s="12">
        <v>0</v>
      </c>
      <c r="J20" s="12">
        <v>300</v>
      </c>
      <c r="K20" s="12">
        <v>300</v>
      </c>
      <c r="L20" s="8">
        <f t="shared" si="1"/>
        <v>75</v>
      </c>
      <c r="M20" s="8">
        <f t="shared" si="1"/>
        <v>75</v>
      </c>
      <c r="N20" s="8">
        <f t="shared" si="1"/>
        <v>75</v>
      </c>
      <c r="O20" s="8">
        <f t="shared" si="1"/>
        <v>75</v>
      </c>
      <c r="P20" s="12">
        <v>300</v>
      </c>
      <c r="Q20" s="12">
        <v>300</v>
      </c>
      <c r="R20" s="12">
        <v>300</v>
      </c>
      <c r="S20" s="12">
        <v>300</v>
      </c>
      <c r="T20" s="12">
        <v>300</v>
      </c>
      <c r="U20" s="12">
        <v>300</v>
      </c>
      <c r="V20" s="12">
        <v>300</v>
      </c>
      <c r="W20" s="12">
        <v>300</v>
      </c>
      <c r="X20" s="12">
        <v>300</v>
      </c>
    </row>
    <row r="21" spans="1:24" x14ac:dyDescent="0.25">
      <c r="A21" s="4" t="s">
        <v>18</v>
      </c>
      <c r="B21" s="4" t="s">
        <v>33</v>
      </c>
      <c r="C21" s="4" t="s">
        <v>54</v>
      </c>
      <c r="D21" s="6" t="s">
        <v>55</v>
      </c>
      <c r="E21" s="12">
        <v>0</v>
      </c>
      <c r="F21" s="12">
        <v>0</v>
      </c>
      <c r="G21" s="12">
        <v>0</v>
      </c>
      <c r="H21" s="12">
        <v>0</v>
      </c>
      <c r="I21" s="12">
        <v>0</v>
      </c>
      <c r="J21" s="12">
        <v>1000</v>
      </c>
      <c r="K21" s="12">
        <v>1000</v>
      </c>
      <c r="L21" s="8">
        <f t="shared" si="1"/>
        <v>250</v>
      </c>
      <c r="M21" s="8">
        <f t="shared" si="1"/>
        <v>250</v>
      </c>
      <c r="N21" s="8">
        <f t="shared" si="1"/>
        <v>250</v>
      </c>
      <c r="O21" s="8">
        <f t="shared" si="1"/>
        <v>250</v>
      </c>
      <c r="P21" s="12">
        <v>1000</v>
      </c>
      <c r="Q21" s="12">
        <v>1000</v>
      </c>
      <c r="R21" s="12">
        <v>1000</v>
      </c>
      <c r="S21" s="12">
        <v>1000</v>
      </c>
      <c r="T21" s="12">
        <v>1000</v>
      </c>
      <c r="U21" s="12">
        <v>1000</v>
      </c>
      <c r="V21" s="12">
        <v>1000</v>
      </c>
      <c r="W21" s="12">
        <v>1000</v>
      </c>
      <c r="X21" s="12">
        <v>1000</v>
      </c>
    </row>
    <row r="22" spans="1:24" x14ac:dyDescent="0.25">
      <c r="A22" s="4" t="s">
        <v>18</v>
      </c>
      <c r="B22" s="4" t="s">
        <v>33</v>
      </c>
      <c r="C22" s="4" t="s">
        <v>56</v>
      </c>
      <c r="D22" s="6" t="s">
        <v>57</v>
      </c>
      <c r="E22" s="12">
        <v>0</v>
      </c>
      <c r="F22" s="12">
        <v>0</v>
      </c>
      <c r="G22" s="12">
        <v>0</v>
      </c>
      <c r="H22" s="12">
        <v>0</v>
      </c>
      <c r="I22" s="12">
        <v>0</v>
      </c>
      <c r="J22" s="12">
        <v>800</v>
      </c>
      <c r="K22" s="12">
        <v>800</v>
      </c>
      <c r="L22" s="8">
        <f t="shared" si="1"/>
        <v>200</v>
      </c>
      <c r="M22" s="8">
        <f t="shared" si="1"/>
        <v>200</v>
      </c>
      <c r="N22" s="8">
        <f t="shared" si="1"/>
        <v>200</v>
      </c>
      <c r="O22" s="8">
        <f t="shared" si="1"/>
        <v>200</v>
      </c>
      <c r="P22" s="12">
        <v>800</v>
      </c>
      <c r="Q22" s="12">
        <v>800</v>
      </c>
      <c r="R22" s="12">
        <v>800</v>
      </c>
      <c r="S22" s="12">
        <v>800</v>
      </c>
      <c r="T22" s="12">
        <v>800</v>
      </c>
      <c r="U22" s="12">
        <v>800</v>
      </c>
      <c r="V22" s="12">
        <v>800</v>
      </c>
      <c r="W22" s="12">
        <v>800</v>
      </c>
      <c r="X22" s="12">
        <v>800</v>
      </c>
    </row>
    <row r="23" spans="1:24" x14ac:dyDescent="0.25">
      <c r="A23" s="4" t="s">
        <v>18</v>
      </c>
      <c r="B23" s="4" t="s">
        <v>33</v>
      </c>
      <c r="C23" s="4" t="s">
        <v>58</v>
      </c>
      <c r="D23" s="6" t="s">
        <v>59</v>
      </c>
      <c r="E23" s="12">
        <v>0</v>
      </c>
      <c r="F23" s="12">
        <v>0</v>
      </c>
      <c r="G23" s="12">
        <v>0</v>
      </c>
      <c r="H23" s="12">
        <v>0</v>
      </c>
      <c r="I23" s="12">
        <v>0</v>
      </c>
      <c r="J23" s="12">
        <v>0</v>
      </c>
      <c r="K23" s="12">
        <v>200</v>
      </c>
      <c r="L23" s="8">
        <f t="shared" si="1"/>
        <v>50</v>
      </c>
      <c r="M23" s="8">
        <f t="shared" si="1"/>
        <v>50</v>
      </c>
      <c r="N23" s="8">
        <f t="shared" si="1"/>
        <v>50</v>
      </c>
      <c r="O23" s="8">
        <f t="shared" si="1"/>
        <v>50</v>
      </c>
      <c r="P23" s="12">
        <v>200</v>
      </c>
      <c r="Q23" s="12">
        <v>200</v>
      </c>
      <c r="R23" s="12">
        <v>200</v>
      </c>
      <c r="S23" s="12">
        <v>200</v>
      </c>
      <c r="T23" s="12">
        <v>200</v>
      </c>
      <c r="U23" s="12">
        <v>200</v>
      </c>
      <c r="V23" s="12">
        <v>200</v>
      </c>
      <c r="W23" s="12">
        <v>200</v>
      </c>
      <c r="X23" s="12">
        <v>200</v>
      </c>
    </row>
    <row r="24" spans="1:24" x14ac:dyDescent="0.25">
      <c r="A24" s="4" t="s">
        <v>18</v>
      </c>
      <c r="B24" s="4" t="s">
        <v>64</v>
      </c>
      <c r="C24" s="4" t="s">
        <v>65</v>
      </c>
      <c r="D24" s="10" t="s">
        <v>66</v>
      </c>
      <c r="E24" s="11">
        <v>2400</v>
      </c>
      <c r="F24" s="11">
        <v>2400</v>
      </c>
      <c r="G24" s="11">
        <v>2400</v>
      </c>
      <c r="H24" s="11">
        <v>2400</v>
      </c>
      <c r="I24" s="11">
        <v>2400</v>
      </c>
      <c r="J24" s="11">
        <v>2400</v>
      </c>
      <c r="K24" s="11">
        <v>2400</v>
      </c>
      <c r="L24" s="8">
        <f t="shared" si="1"/>
        <v>600</v>
      </c>
      <c r="M24" s="8">
        <f t="shared" si="1"/>
        <v>600</v>
      </c>
      <c r="N24" s="8">
        <f t="shared" si="1"/>
        <v>600</v>
      </c>
      <c r="O24" s="8">
        <f t="shared" si="1"/>
        <v>600</v>
      </c>
      <c r="P24" s="11">
        <v>2400</v>
      </c>
      <c r="Q24" s="11">
        <v>2400</v>
      </c>
      <c r="R24" s="11">
        <v>2400</v>
      </c>
      <c r="S24" s="11">
        <v>2400</v>
      </c>
      <c r="T24" s="11">
        <v>2400</v>
      </c>
      <c r="U24" s="11">
        <v>2400</v>
      </c>
      <c r="V24" s="11">
        <v>2400</v>
      </c>
      <c r="W24" s="11">
        <v>2400</v>
      </c>
      <c r="X24" s="11">
        <v>2400</v>
      </c>
    </row>
    <row r="25" spans="1:24" x14ac:dyDescent="0.25">
      <c r="A25" s="4" t="s">
        <v>18</v>
      </c>
      <c r="B25" s="4" t="s">
        <v>67</v>
      </c>
      <c r="C25" s="6" t="s">
        <v>68</v>
      </c>
      <c r="D25" s="23" t="s">
        <v>69</v>
      </c>
      <c r="E25" s="12">
        <v>660</v>
      </c>
      <c r="F25" s="12">
        <v>660</v>
      </c>
      <c r="G25" s="12">
        <v>660</v>
      </c>
      <c r="H25" s="12">
        <v>660</v>
      </c>
      <c r="I25" s="12">
        <v>660</v>
      </c>
      <c r="J25" s="12">
        <v>660</v>
      </c>
      <c r="K25" s="12">
        <v>660</v>
      </c>
      <c r="L25" s="8">
        <f t="shared" ref="L25:O40" si="2">ROUND($P25/4,2)</f>
        <v>165</v>
      </c>
      <c r="M25" s="8">
        <f t="shared" si="2"/>
        <v>165</v>
      </c>
      <c r="N25" s="8">
        <f t="shared" si="2"/>
        <v>165</v>
      </c>
      <c r="O25" s="8">
        <f t="shared" si="2"/>
        <v>165</v>
      </c>
      <c r="P25" s="12">
        <v>660</v>
      </c>
      <c r="Q25" s="12">
        <v>660</v>
      </c>
      <c r="R25" s="12">
        <v>660</v>
      </c>
      <c r="S25" s="12">
        <v>660</v>
      </c>
      <c r="T25" s="12">
        <v>660</v>
      </c>
      <c r="U25" s="12">
        <v>660</v>
      </c>
      <c r="V25" s="12">
        <v>660</v>
      </c>
      <c r="W25" s="12">
        <v>660</v>
      </c>
      <c r="X25" s="12">
        <v>660</v>
      </c>
    </row>
    <row r="26" spans="1:24" x14ac:dyDescent="0.25">
      <c r="A26" s="4" t="s">
        <v>18</v>
      </c>
      <c r="B26" s="4" t="s">
        <v>70</v>
      </c>
      <c r="C26" s="4" t="s">
        <v>71</v>
      </c>
      <c r="D26" s="24" t="s">
        <v>72</v>
      </c>
      <c r="E26" s="11">
        <v>3500</v>
      </c>
      <c r="F26" s="11">
        <v>3500</v>
      </c>
      <c r="G26" s="11">
        <v>3500</v>
      </c>
      <c r="H26" s="11">
        <v>3500</v>
      </c>
      <c r="I26" s="11">
        <v>3500</v>
      </c>
      <c r="J26" s="11">
        <v>3500</v>
      </c>
      <c r="K26" s="11">
        <v>3500</v>
      </c>
      <c r="L26" s="8">
        <f t="shared" si="2"/>
        <v>875</v>
      </c>
      <c r="M26" s="8">
        <f t="shared" si="2"/>
        <v>875</v>
      </c>
      <c r="N26" s="8">
        <f t="shared" si="2"/>
        <v>875</v>
      </c>
      <c r="O26" s="8">
        <f t="shared" si="2"/>
        <v>875</v>
      </c>
      <c r="P26" s="11">
        <v>3500</v>
      </c>
      <c r="Q26" s="11">
        <v>3500</v>
      </c>
      <c r="R26" s="11">
        <v>3500</v>
      </c>
      <c r="S26" s="11">
        <v>3500</v>
      </c>
      <c r="T26" s="11">
        <v>3500</v>
      </c>
      <c r="U26" s="11">
        <v>3500</v>
      </c>
      <c r="V26" s="11">
        <v>3500</v>
      </c>
      <c r="W26" s="11">
        <v>3500</v>
      </c>
      <c r="X26" s="11">
        <v>3500</v>
      </c>
    </row>
    <row r="27" spans="1:24" x14ac:dyDescent="0.25">
      <c r="A27" s="4" t="s">
        <v>18</v>
      </c>
      <c r="B27" s="4" t="s">
        <v>186</v>
      </c>
      <c r="C27" s="4" t="s">
        <v>73</v>
      </c>
      <c r="D27" s="23" t="s">
        <v>74</v>
      </c>
      <c r="E27" s="12"/>
      <c r="F27" s="12"/>
      <c r="G27" s="12"/>
      <c r="H27" s="12"/>
      <c r="I27" s="12"/>
      <c r="J27" s="12"/>
      <c r="K27" s="12">
        <v>520</v>
      </c>
      <c r="L27" s="8"/>
      <c r="M27" s="8"/>
      <c r="N27" s="8"/>
      <c r="O27" s="8"/>
      <c r="P27" s="12"/>
      <c r="Q27" s="12"/>
      <c r="R27" s="12"/>
      <c r="S27" s="12"/>
      <c r="T27" s="12"/>
      <c r="U27" s="12"/>
      <c r="V27" s="12"/>
      <c r="W27" s="12"/>
      <c r="X27" s="12"/>
    </row>
    <row r="28" spans="1:24" x14ac:dyDescent="0.25">
      <c r="A28" s="4" t="s">
        <v>18</v>
      </c>
      <c r="B28" s="4" t="s">
        <v>187</v>
      </c>
      <c r="C28" s="4" t="s">
        <v>73</v>
      </c>
      <c r="D28" s="23" t="s">
        <v>74</v>
      </c>
      <c r="E28" s="12"/>
      <c r="F28" s="12"/>
      <c r="G28" s="12"/>
      <c r="H28" s="12"/>
      <c r="I28" s="12"/>
      <c r="J28" s="12"/>
      <c r="K28" s="12">
        <v>900</v>
      </c>
      <c r="L28" s="8"/>
      <c r="M28" s="8"/>
      <c r="N28" s="8"/>
      <c r="O28" s="8"/>
      <c r="P28" s="12"/>
      <c r="Q28" s="12"/>
      <c r="R28" s="12"/>
      <c r="S28" s="12"/>
      <c r="T28" s="12"/>
      <c r="U28" s="12"/>
      <c r="V28" s="12"/>
      <c r="W28" s="12"/>
      <c r="X28" s="12"/>
    </row>
    <row r="29" spans="1:24" x14ac:dyDescent="0.25">
      <c r="A29" s="4" t="s">
        <v>18</v>
      </c>
      <c r="B29" s="4" t="s">
        <v>187</v>
      </c>
      <c r="C29" s="4" t="s">
        <v>73</v>
      </c>
      <c r="D29" s="23" t="s">
        <v>74</v>
      </c>
      <c r="E29" s="12"/>
      <c r="F29" s="12"/>
      <c r="G29" s="12"/>
      <c r="H29" s="12"/>
      <c r="I29" s="12"/>
      <c r="J29" s="12"/>
      <c r="K29" s="12">
        <v>900</v>
      </c>
      <c r="L29" s="8"/>
      <c r="M29" s="8"/>
      <c r="N29" s="8"/>
      <c r="O29" s="8"/>
      <c r="P29" s="12"/>
      <c r="Q29" s="12"/>
      <c r="R29" s="12"/>
      <c r="S29" s="12"/>
      <c r="T29" s="12"/>
      <c r="U29" s="12"/>
      <c r="V29" s="12"/>
      <c r="W29" s="12"/>
      <c r="X29" s="12"/>
    </row>
    <row r="30" spans="1:24" x14ac:dyDescent="0.25">
      <c r="A30" s="4" t="s">
        <v>18</v>
      </c>
      <c r="B30" s="4" t="s">
        <v>70</v>
      </c>
      <c r="C30" s="4" t="s">
        <v>75</v>
      </c>
      <c r="D30" s="23" t="s">
        <v>76</v>
      </c>
      <c r="E30" s="12">
        <v>70</v>
      </c>
      <c r="F30" s="12">
        <v>70</v>
      </c>
      <c r="G30" s="12">
        <v>70</v>
      </c>
      <c r="H30" s="12">
        <v>70</v>
      </c>
      <c r="I30" s="12">
        <v>70</v>
      </c>
      <c r="J30" s="12">
        <v>70</v>
      </c>
      <c r="K30" s="12">
        <v>70</v>
      </c>
      <c r="L30" s="8">
        <f t="shared" si="2"/>
        <v>17.5</v>
      </c>
      <c r="M30" s="8">
        <f t="shared" si="2"/>
        <v>17.5</v>
      </c>
      <c r="N30" s="8">
        <f t="shared" si="2"/>
        <v>17.5</v>
      </c>
      <c r="O30" s="8">
        <f t="shared" si="2"/>
        <v>17.5</v>
      </c>
      <c r="P30" s="12">
        <v>70</v>
      </c>
      <c r="Q30" s="12">
        <v>70</v>
      </c>
      <c r="R30" s="12">
        <v>1000</v>
      </c>
      <c r="S30" s="12">
        <v>1000</v>
      </c>
      <c r="T30" s="12">
        <v>1000</v>
      </c>
      <c r="U30" s="12">
        <v>1000</v>
      </c>
      <c r="V30" s="12">
        <v>1000</v>
      </c>
      <c r="W30" s="12">
        <v>1000</v>
      </c>
      <c r="X30" s="12">
        <v>1000</v>
      </c>
    </row>
    <row r="31" spans="1:24" x14ac:dyDescent="0.25">
      <c r="A31" s="4" t="s">
        <v>77</v>
      </c>
      <c r="B31" s="4" t="s">
        <v>78</v>
      </c>
      <c r="C31" s="4" t="s">
        <v>79</v>
      </c>
      <c r="D31" s="24" t="s">
        <v>80</v>
      </c>
      <c r="E31" s="11">
        <v>0</v>
      </c>
      <c r="F31" s="11">
        <v>0</v>
      </c>
      <c r="G31" s="11">
        <v>0</v>
      </c>
      <c r="H31" s="11">
        <v>480</v>
      </c>
      <c r="I31" s="11">
        <v>480</v>
      </c>
      <c r="J31" s="11">
        <v>480</v>
      </c>
      <c r="K31" s="11">
        <v>480</v>
      </c>
      <c r="L31" s="8">
        <f t="shared" si="2"/>
        <v>120</v>
      </c>
      <c r="M31" s="8">
        <f t="shared" si="2"/>
        <v>120</v>
      </c>
      <c r="N31" s="8">
        <f t="shared" si="2"/>
        <v>120</v>
      </c>
      <c r="O31" s="8">
        <f t="shared" si="2"/>
        <v>120</v>
      </c>
      <c r="P31" s="11">
        <v>480</v>
      </c>
      <c r="Q31" s="11">
        <v>480</v>
      </c>
      <c r="R31" s="11">
        <v>480</v>
      </c>
      <c r="S31" s="11">
        <v>480</v>
      </c>
      <c r="T31" s="11">
        <v>480</v>
      </c>
      <c r="U31" s="11">
        <v>480</v>
      </c>
      <c r="V31" s="11">
        <v>480</v>
      </c>
      <c r="W31" s="11">
        <v>480</v>
      </c>
      <c r="X31" s="11">
        <v>480</v>
      </c>
    </row>
    <row r="32" spans="1:24" x14ac:dyDescent="0.25">
      <c r="A32" s="4" t="s">
        <v>77</v>
      </c>
      <c r="B32" s="4" t="s">
        <v>78</v>
      </c>
      <c r="C32" s="4" t="s">
        <v>81</v>
      </c>
      <c r="D32" s="23" t="s">
        <v>82</v>
      </c>
      <c r="E32" s="12">
        <v>300</v>
      </c>
      <c r="F32" s="12">
        <v>300</v>
      </c>
      <c r="G32" s="12">
        <v>300</v>
      </c>
      <c r="H32" s="12">
        <v>300</v>
      </c>
      <c r="I32" s="12">
        <v>300</v>
      </c>
      <c r="J32" s="12">
        <v>300</v>
      </c>
      <c r="K32" s="12">
        <v>300</v>
      </c>
      <c r="L32" s="8">
        <f t="shared" si="2"/>
        <v>75</v>
      </c>
      <c r="M32" s="8">
        <f t="shared" si="2"/>
        <v>75</v>
      </c>
      <c r="N32" s="8">
        <f t="shared" si="2"/>
        <v>75</v>
      </c>
      <c r="O32" s="8">
        <f t="shared" si="2"/>
        <v>75</v>
      </c>
      <c r="P32" s="12">
        <v>300</v>
      </c>
      <c r="Q32" s="12">
        <v>300</v>
      </c>
      <c r="R32" s="12">
        <v>300</v>
      </c>
      <c r="S32" s="12">
        <v>300</v>
      </c>
      <c r="T32" s="12">
        <v>300</v>
      </c>
      <c r="U32" s="12">
        <v>300</v>
      </c>
      <c r="V32" s="12">
        <v>300</v>
      </c>
      <c r="W32" s="12">
        <v>300</v>
      </c>
      <c r="X32" s="12">
        <v>300</v>
      </c>
    </row>
    <row r="33" spans="1:24" x14ac:dyDescent="0.25">
      <c r="A33" s="4" t="s">
        <v>77</v>
      </c>
      <c r="B33" s="4" t="s">
        <v>78</v>
      </c>
      <c r="C33" s="4" t="s">
        <v>83</v>
      </c>
      <c r="D33" s="23" t="s">
        <v>84</v>
      </c>
      <c r="E33" s="12">
        <v>200</v>
      </c>
      <c r="F33" s="12">
        <v>200</v>
      </c>
      <c r="G33" s="12">
        <v>200</v>
      </c>
      <c r="H33" s="12">
        <v>200</v>
      </c>
      <c r="I33" s="12">
        <v>200</v>
      </c>
      <c r="J33" s="12">
        <v>200</v>
      </c>
      <c r="K33" s="12">
        <v>200</v>
      </c>
      <c r="L33" s="8">
        <f t="shared" si="2"/>
        <v>50</v>
      </c>
      <c r="M33" s="8">
        <f t="shared" si="2"/>
        <v>50</v>
      </c>
      <c r="N33" s="8">
        <f t="shared" si="2"/>
        <v>50</v>
      </c>
      <c r="O33" s="8">
        <f t="shared" si="2"/>
        <v>50</v>
      </c>
      <c r="P33" s="12">
        <v>200</v>
      </c>
      <c r="Q33" s="12">
        <v>200</v>
      </c>
      <c r="R33" s="12">
        <v>200</v>
      </c>
      <c r="S33" s="12">
        <v>200</v>
      </c>
      <c r="T33" s="12">
        <v>200</v>
      </c>
      <c r="U33" s="12">
        <v>200</v>
      </c>
      <c r="V33" s="12">
        <v>200</v>
      </c>
      <c r="W33" s="12">
        <v>200</v>
      </c>
      <c r="X33" s="12">
        <v>200</v>
      </c>
    </row>
    <row r="34" spans="1:24" x14ac:dyDescent="0.25">
      <c r="A34" s="4" t="s">
        <v>77</v>
      </c>
      <c r="B34" s="4" t="s">
        <v>78</v>
      </c>
      <c r="C34" s="4" t="s">
        <v>85</v>
      </c>
      <c r="D34" s="6" t="s">
        <v>162</v>
      </c>
      <c r="E34" s="12">
        <v>500</v>
      </c>
      <c r="F34" s="12">
        <v>500</v>
      </c>
      <c r="G34" s="12">
        <v>500</v>
      </c>
      <c r="H34" s="12">
        <v>950</v>
      </c>
      <c r="I34" s="12">
        <v>950</v>
      </c>
      <c r="J34" s="12">
        <v>950</v>
      </c>
      <c r="K34" s="12">
        <v>1450</v>
      </c>
      <c r="L34" s="8">
        <f t="shared" si="2"/>
        <v>362.5</v>
      </c>
      <c r="M34" s="8">
        <f t="shared" si="2"/>
        <v>362.5</v>
      </c>
      <c r="N34" s="8">
        <f t="shared" si="2"/>
        <v>362.5</v>
      </c>
      <c r="O34" s="8">
        <f t="shared" si="2"/>
        <v>362.5</v>
      </c>
      <c r="P34" s="12">
        <v>1450</v>
      </c>
      <c r="Q34" s="12">
        <v>1450</v>
      </c>
      <c r="R34" s="12">
        <v>1450</v>
      </c>
      <c r="S34" s="12">
        <v>1450</v>
      </c>
      <c r="T34" s="12">
        <v>1450</v>
      </c>
      <c r="U34" s="12">
        <v>1450</v>
      </c>
      <c r="V34" s="12">
        <v>1450</v>
      </c>
      <c r="W34" s="12">
        <v>1450</v>
      </c>
      <c r="X34" s="12">
        <v>1450</v>
      </c>
    </row>
    <row r="35" spans="1:24" x14ac:dyDescent="0.25">
      <c r="A35" s="4" t="s">
        <v>77</v>
      </c>
      <c r="B35" s="4" t="s">
        <v>86</v>
      </c>
      <c r="C35" s="4" t="s">
        <v>86</v>
      </c>
      <c r="D35" s="23" t="s">
        <v>87</v>
      </c>
      <c r="E35" s="12">
        <v>900</v>
      </c>
      <c r="F35" s="12">
        <v>900</v>
      </c>
      <c r="G35" s="12">
        <v>1180</v>
      </c>
      <c r="H35" s="12">
        <v>1180</v>
      </c>
      <c r="I35" s="12">
        <v>1180</v>
      </c>
      <c r="J35" s="12">
        <v>1180</v>
      </c>
      <c r="K35" s="12">
        <v>1180</v>
      </c>
      <c r="L35" s="8">
        <f t="shared" si="2"/>
        <v>295</v>
      </c>
      <c r="M35" s="8">
        <f t="shared" si="2"/>
        <v>295</v>
      </c>
      <c r="N35" s="8">
        <f t="shared" si="2"/>
        <v>295</v>
      </c>
      <c r="O35" s="8">
        <f t="shared" si="2"/>
        <v>295</v>
      </c>
      <c r="P35" s="12">
        <v>1180</v>
      </c>
      <c r="Q35" s="12">
        <v>1180</v>
      </c>
      <c r="R35" s="12">
        <v>1180</v>
      </c>
      <c r="S35" s="12">
        <v>1180</v>
      </c>
      <c r="T35" s="12">
        <v>1180</v>
      </c>
      <c r="U35" s="12">
        <v>1180</v>
      </c>
      <c r="V35" s="12">
        <v>1180</v>
      </c>
      <c r="W35" s="12">
        <v>1180</v>
      </c>
      <c r="X35" s="12">
        <v>1180</v>
      </c>
    </row>
    <row r="36" spans="1:24" x14ac:dyDescent="0.25">
      <c r="A36" s="4" t="s">
        <v>77</v>
      </c>
      <c r="B36" s="4" t="s">
        <v>86</v>
      </c>
      <c r="C36" s="4" t="s">
        <v>88</v>
      </c>
      <c r="D36" s="23" t="s">
        <v>89</v>
      </c>
      <c r="E36" s="12">
        <v>660</v>
      </c>
      <c r="F36" s="12">
        <v>660</v>
      </c>
      <c r="G36" s="12">
        <v>660</v>
      </c>
      <c r="H36" s="12">
        <v>660</v>
      </c>
      <c r="I36" s="12">
        <v>660</v>
      </c>
      <c r="J36" s="12">
        <v>660</v>
      </c>
      <c r="K36" s="12">
        <v>660</v>
      </c>
      <c r="L36" s="8">
        <f t="shared" si="2"/>
        <v>165</v>
      </c>
      <c r="M36" s="8">
        <f t="shared" si="2"/>
        <v>165</v>
      </c>
      <c r="N36" s="8">
        <f t="shared" si="2"/>
        <v>165</v>
      </c>
      <c r="O36" s="8">
        <f t="shared" si="2"/>
        <v>165</v>
      </c>
      <c r="P36" s="12">
        <v>660</v>
      </c>
      <c r="Q36" s="12">
        <v>660</v>
      </c>
      <c r="R36" s="12">
        <v>660</v>
      </c>
      <c r="S36" s="12">
        <v>660</v>
      </c>
      <c r="T36" s="12">
        <v>660</v>
      </c>
      <c r="U36" s="12">
        <v>660</v>
      </c>
      <c r="V36" s="12">
        <v>660</v>
      </c>
      <c r="W36" s="12">
        <v>660</v>
      </c>
      <c r="X36" s="12">
        <v>660</v>
      </c>
    </row>
    <row r="37" spans="1:24" x14ac:dyDescent="0.25">
      <c r="A37" s="4" t="s">
        <v>77</v>
      </c>
      <c r="B37" s="4" t="s">
        <v>86</v>
      </c>
      <c r="C37" s="4" t="s">
        <v>90</v>
      </c>
      <c r="D37" s="6" t="s">
        <v>91</v>
      </c>
      <c r="E37" s="12">
        <v>130</v>
      </c>
      <c r="F37" s="12">
        <v>130</v>
      </c>
      <c r="G37" s="12">
        <v>130</v>
      </c>
      <c r="H37" s="12">
        <v>130</v>
      </c>
      <c r="I37" s="12">
        <v>130</v>
      </c>
      <c r="J37" s="12">
        <v>130</v>
      </c>
      <c r="K37" s="12">
        <v>130</v>
      </c>
      <c r="L37" s="8">
        <f t="shared" si="2"/>
        <v>32.5</v>
      </c>
      <c r="M37" s="8">
        <f t="shared" si="2"/>
        <v>32.5</v>
      </c>
      <c r="N37" s="8">
        <f t="shared" si="2"/>
        <v>32.5</v>
      </c>
      <c r="O37" s="8">
        <f t="shared" si="2"/>
        <v>32.5</v>
      </c>
      <c r="P37" s="12">
        <v>130</v>
      </c>
      <c r="Q37" s="12">
        <v>130</v>
      </c>
      <c r="R37" s="12">
        <v>130</v>
      </c>
      <c r="S37" s="12">
        <v>130</v>
      </c>
      <c r="T37" s="12">
        <v>130</v>
      </c>
      <c r="U37" s="12">
        <v>130</v>
      </c>
      <c r="V37" s="12">
        <v>130</v>
      </c>
      <c r="W37" s="12">
        <v>130</v>
      </c>
      <c r="X37" s="12">
        <v>130</v>
      </c>
    </row>
    <row r="38" spans="1:24" x14ac:dyDescent="0.25">
      <c r="A38" s="4" t="s">
        <v>77</v>
      </c>
      <c r="B38" s="4" t="s">
        <v>86</v>
      </c>
      <c r="C38" s="4" t="s">
        <v>92</v>
      </c>
      <c r="D38" s="23" t="s">
        <v>93</v>
      </c>
      <c r="E38" s="12">
        <v>400</v>
      </c>
      <c r="F38" s="12">
        <v>400</v>
      </c>
      <c r="G38" s="12">
        <v>400</v>
      </c>
      <c r="H38" s="12">
        <v>400</v>
      </c>
      <c r="I38" s="12">
        <v>400</v>
      </c>
      <c r="J38" s="12">
        <v>400</v>
      </c>
      <c r="K38" s="12">
        <v>400</v>
      </c>
      <c r="L38" s="8">
        <f t="shared" si="2"/>
        <v>100</v>
      </c>
      <c r="M38" s="8">
        <f t="shared" si="2"/>
        <v>100</v>
      </c>
      <c r="N38" s="8">
        <f t="shared" si="2"/>
        <v>100</v>
      </c>
      <c r="O38" s="8">
        <f t="shared" si="2"/>
        <v>100</v>
      </c>
      <c r="P38" s="12">
        <v>400</v>
      </c>
      <c r="Q38" s="12">
        <v>400</v>
      </c>
      <c r="R38" s="12">
        <v>400</v>
      </c>
      <c r="S38" s="12">
        <v>400</v>
      </c>
      <c r="T38" s="12">
        <v>400</v>
      </c>
      <c r="U38" s="12">
        <v>400</v>
      </c>
      <c r="V38" s="12">
        <v>400</v>
      </c>
      <c r="W38" s="12">
        <v>400</v>
      </c>
      <c r="X38" s="12">
        <v>400</v>
      </c>
    </row>
    <row r="39" spans="1:24" x14ac:dyDescent="0.25">
      <c r="A39" s="4" t="s">
        <v>77</v>
      </c>
      <c r="B39" s="4" t="s">
        <v>86</v>
      </c>
      <c r="C39" s="4" t="s">
        <v>94</v>
      </c>
      <c r="D39" s="23" t="s">
        <v>95</v>
      </c>
      <c r="E39" s="12">
        <v>900</v>
      </c>
      <c r="F39" s="12">
        <v>900</v>
      </c>
      <c r="G39" s="12">
        <v>900</v>
      </c>
      <c r="H39" s="12">
        <v>900</v>
      </c>
      <c r="I39" s="12">
        <v>900</v>
      </c>
      <c r="J39" s="12">
        <v>900</v>
      </c>
      <c r="K39" s="12">
        <v>900</v>
      </c>
      <c r="L39" s="8">
        <f t="shared" si="2"/>
        <v>225</v>
      </c>
      <c r="M39" s="8">
        <f t="shared" si="2"/>
        <v>225</v>
      </c>
      <c r="N39" s="8">
        <f t="shared" si="2"/>
        <v>225</v>
      </c>
      <c r="O39" s="8">
        <f t="shared" si="2"/>
        <v>225</v>
      </c>
      <c r="P39" s="12">
        <v>900</v>
      </c>
      <c r="Q39" s="12">
        <v>900</v>
      </c>
      <c r="R39" s="12">
        <v>900</v>
      </c>
      <c r="S39" s="12">
        <v>900</v>
      </c>
      <c r="T39" s="12">
        <v>900</v>
      </c>
      <c r="U39" s="12">
        <v>900</v>
      </c>
      <c r="V39" s="12">
        <v>900</v>
      </c>
      <c r="W39" s="12">
        <v>900</v>
      </c>
      <c r="X39" s="12">
        <v>900</v>
      </c>
    </row>
    <row r="40" spans="1:24" x14ac:dyDescent="0.25">
      <c r="A40" s="4" t="s">
        <v>77</v>
      </c>
      <c r="B40" s="4" t="s">
        <v>86</v>
      </c>
      <c r="C40" s="4" t="s">
        <v>94</v>
      </c>
      <c r="D40" s="23" t="s">
        <v>96</v>
      </c>
      <c r="E40" s="12">
        <v>750</v>
      </c>
      <c r="F40" s="12">
        <v>750</v>
      </c>
      <c r="G40" s="12">
        <v>750</v>
      </c>
      <c r="H40" s="12">
        <v>750</v>
      </c>
      <c r="I40" s="12">
        <v>750</v>
      </c>
      <c r="J40" s="12">
        <v>750</v>
      </c>
      <c r="K40" s="12">
        <v>750</v>
      </c>
      <c r="L40" s="8">
        <f t="shared" si="2"/>
        <v>187.5</v>
      </c>
      <c r="M40" s="8">
        <f t="shared" si="2"/>
        <v>187.5</v>
      </c>
      <c r="N40" s="8">
        <f t="shared" si="2"/>
        <v>187.5</v>
      </c>
      <c r="O40" s="8">
        <f t="shared" si="2"/>
        <v>187.5</v>
      </c>
      <c r="P40" s="12">
        <v>750</v>
      </c>
      <c r="Q40" s="12">
        <v>750</v>
      </c>
      <c r="R40" s="12">
        <v>750</v>
      </c>
      <c r="S40" s="12">
        <v>750</v>
      </c>
      <c r="T40" s="12">
        <v>750</v>
      </c>
      <c r="U40" s="12">
        <v>750</v>
      </c>
      <c r="V40" s="12">
        <v>750</v>
      </c>
      <c r="W40" s="12">
        <v>750</v>
      </c>
      <c r="X40" s="12">
        <v>750</v>
      </c>
    </row>
    <row r="41" spans="1:24" x14ac:dyDescent="0.25">
      <c r="A41" s="4" t="s">
        <v>77</v>
      </c>
      <c r="B41" s="4" t="s">
        <v>97</v>
      </c>
      <c r="C41" s="4" t="s">
        <v>98</v>
      </c>
      <c r="D41" s="10" t="s">
        <v>99</v>
      </c>
      <c r="E41" s="11">
        <v>411</v>
      </c>
      <c r="F41" s="11">
        <v>411</v>
      </c>
      <c r="G41" s="11">
        <v>411</v>
      </c>
      <c r="H41" s="11">
        <v>411</v>
      </c>
      <c r="I41" s="11">
        <v>411</v>
      </c>
      <c r="J41" s="11">
        <v>411</v>
      </c>
      <c r="K41" s="11">
        <v>411</v>
      </c>
      <c r="L41" s="8">
        <f t="shared" ref="L41:O55" si="3">ROUND($P41/4,2)</f>
        <v>102.75</v>
      </c>
      <c r="M41" s="8">
        <f t="shared" si="3"/>
        <v>102.75</v>
      </c>
      <c r="N41" s="8">
        <f t="shared" si="3"/>
        <v>102.75</v>
      </c>
      <c r="O41" s="8">
        <f t="shared" si="3"/>
        <v>102.75</v>
      </c>
      <c r="P41" s="11">
        <v>411</v>
      </c>
      <c r="Q41" s="11">
        <v>411</v>
      </c>
      <c r="R41" s="11">
        <v>411</v>
      </c>
      <c r="S41" s="11">
        <v>411</v>
      </c>
      <c r="T41" s="11">
        <v>411</v>
      </c>
      <c r="U41" s="11">
        <v>411</v>
      </c>
      <c r="V41" s="11">
        <v>411</v>
      </c>
      <c r="W41" s="11">
        <v>411</v>
      </c>
      <c r="X41" s="11">
        <v>411</v>
      </c>
    </row>
    <row r="42" spans="1:24" x14ac:dyDescent="0.25">
      <c r="A42" s="4" t="s">
        <v>100</v>
      </c>
      <c r="B42" s="4" t="s">
        <v>101</v>
      </c>
      <c r="C42" s="4" t="s">
        <v>102</v>
      </c>
      <c r="D42" t="s">
        <v>146</v>
      </c>
      <c r="E42" s="11">
        <v>1300</v>
      </c>
      <c r="F42" s="11">
        <v>1300</v>
      </c>
      <c r="G42" s="11">
        <v>1300</v>
      </c>
      <c r="H42" s="11">
        <v>1300</v>
      </c>
      <c r="I42" s="11">
        <v>1300</v>
      </c>
      <c r="J42" s="11">
        <v>1300</v>
      </c>
      <c r="K42" s="11">
        <v>1300</v>
      </c>
      <c r="L42" s="8">
        <f t="shared" si="3"/>
        <v>325</v>
      </c>
      <c r="M42" s="8">
        <f t="shared" si="3"/>
        <v>325</v>
      </c>
      <c r="N42" s="8">
        <f t="shared" si="3"/>
        <v>325</v>
      </c>
      <c r="O42" s="8">
        <f t="shared" si="3"/>
        <v>325</v>
      </c>
      <c r="P42" s="11">
        <v>1300</v>
      </c>
      <c r="Q42" s="11">
        <v>1700</v>
      </c>
      <c r="R42" s="11">
        <v>1700</v>
      </c>
      <c r="S42" s="11">
        <v>1700</v>
      </c>
      <c r="T42" s="11">
        <v>1700</v>
      </c>
      <c r="U42" s="11">
        <v>1700</v>
      </c>
      <c r="V42" s="11">
        <v>1700</v>
      </c>
      <c r="W42" s="11">
        <v>1700</v>
      </c>
      <c r="X42" s="11">
        <v>1700</v>
      </c>
    </row>
    <row r="43" spans="1:24" x14ac:dyDescent="0.25">
      <c r="A43" s="4" t="s">
        <v>100</v>
      </c>
      <c r="B43" s="4" t="s">
        <v>101</v>
      </c>
      <c r="C43" s="4" t="s">
        <v>103</v>
      </c>
      <c r="D43" s="6" t="s">
        <v>104</v>
      </c>
      <c r="E43" s="12">
        <v>0</v>
      </c>
      <c r="F43" s="12">
        <v>0</v>
      </c>
      <c r="G43" s="12">
        <v>0</v>
      </c>
      <c r="H43" s="12">
        <v>0</v>
      </c>
      <c r="I43" s="12">
        <v>0</v>
      </c>
      <c r="J43" s="12">
        <v>0</v>
      </c>
      <c r="K43" s="12">
        <v>0</v>
      </c>
      <c r="L43" s="8">
        <f t="shared" si="3"/>
        <v>50</v>
      </c>
      <c r="M43" s="8">
        <f t="shared" si="3"/>
        <v>50</v>
      </c>
      <c r="N43" s="8">
        <f t="shared" si="3"/>
        <v>50</v>
      </c>
      <c r="O43" s="8">
        <f t="shared" si="3"/>
        <v>50</v>
      </c>
      <c r="P43" s="12">
        <v>200</v>
      </c>
      <c r="Q43" s="12">
        <v>200</v>
      </c>
      <c r="R43" s="12">
        <v>200</v>
      </c>
      <c r="S43" s="12">
        <v>200</v>
      </c>
      <c r="T43" s="12">
        <v>200</v>
      </c>
      <c r="U43" s="12">
        <v>200</v>
      </c>
      <c r="V43" s="12">
        <v>200</v>
      </c>
      <c r="W43" s="12">
        <v>200</v>
      </c>
      <c r="X43" s="12">
        <v>200</v>
      </c>
    </row>
    <row r="44" spans="1:24" x14ac:dyDescent="0.25">
      <c r="A44" s="4" t="s">
        <v>100</v>
      </c>
      <c r="B44" s="20" t="s">
        <v>101</v>
      </c>
      <c r="C44" s="20" t="s">
        <v>105</v>
      </c>
      <c r="D44" s="6" t="s">
        <v>74</v>
      </c>
      <c r="E44" s="14">
        <v>2000</v>
      </c>
      <c r="F44" s="14">
        <v>2000</v>
      </c>
      <c r="G44" s="14">
        <v>2000</v>
      </c>
      <c r="H44" s="14">
        <v>2000</v>
      </c>
      <c r="I44" s="14">
        <v>2000</v>
      </c>
      <c r="J44" s="14">
        <v>2000</v>
      </c>
      <c r="K44" s="14">
        <v>2200</v>
      </c>
      <c r="L44" s="8">
        <f t="shared" si="3"/>
        <v>550</v>
      </c>
      <c r="M44" s="8">
        <f t="shared" si="3"/>
        <v>550</v>
      </c>
      <c r="N44" s="8">
        <f t="shared" si="3"/>
        <v>550</v>
      </c>
      <c r="O44" s="8">
        <f t="shared" si="3"/>
        <v>550</v>
      </c>
      <c r="P44" s="14">
        <v>2200</v>
      </c>
      <c r="Q44" s="14">
        <v>2200</v>
      </c>
      <c r="R44" s="14">
        <v>2200</v>
      </c>
      <c r="S44" s="14">
        <v>2200</v>
      </c>
      <c r="T44" s="14">
        <v>2200</v>
      </c>
      <c r="U44" s="14">
        <v>2200</v>
      </c>
      <c r="V44" s="14">
        <v>2200</v>
      </c>
      <c r="W44" s="14">
        <v>2200</v>
      </c>
      <c r="X44" s="14">
        <v>2200</v>
      </c>
    </row>
    <row r="45" spans="1:24" x14ac:dyDescent="0.25">
      <c r="A45" s="4" t="s">
        <v>100</v>
      </c>
      <c r="B45" s="4" t="s">
        <v>101</v>
      </c>
      <c r="C45" s="4" t="s">
        <v>102</v>
      </c>
      <c r="D45" s="6" t="s">
        <v>106</v>
      </c>
      <c r="E45" s="12">
        <v>780</v>
      </c>
      <c r="F45" s="12">
        <v>780</v>
      </c>
      <c r="G45" s="12">
        <v>780</v>
      </c>
      <c r="H45" s="12">
        <v>780</v>
      </c>
      <c r="I45" s="12">
        <v>780</v>
      </c>
      <c r="J45" s="12">
        <v>780</v>
      </c>
      <c r="K45" s="12">
        <v>780</v>
      </c>
      <c r="L45" s="8">
        <f t="shared" si="3"/>
        <v>195</v>
      </c>
      <c r="M45" s="8">
        <f t="shared" si="3"/>
        <v>195</v>
      </c>
      <c r="N45" s="8">
        <f t="shared" si="3"/>
        <v>195</v>
      </c>
      <c r="O45" s="8">
        <f t="shared" si="3"/>
        <v>195</v>
      </c>
      <c r="P45" s="12">
        <v>780</v>
      </c>
      <c r="Q45" s="12">
        <v>780</v>
      </c>
      <c r="R45" s="12">
        <v>780</v>
      </c>
      <c r="S45" s="12">
        <v>780</v>
      </c>
      <c r="T45" s="12">
        <v>780</v>
      </c>
      <c r="U45" s="12">
        <v>780</v>
      </c>
      <c r="V45" s="12">
        <v>780</v>
      </c>
      <c r="W45" s="12">
        <v>780</v>
      </c>
      <c r="X45" s="12">
        <v>780</v>
      </c>
    </row>
    <row r="46" spans="1:24" x14ac:dyDescent="0.25">
      <c r="A46" s="4" t="s">
        <v>100</v>
      </c>
      <c r="B46" s="4" t="s">
        <v>101</v>
      </c>
      <c r="C46" s="4" t="s">
        <v>102</v>
      </c>
      <c r="D46" t="s">
        <v>157</v>
      </c>
      <c r="E46">
        <v>879</v>
      </c>
      <c r="F46">
        <v>879</v>
      </c>
      <c r="G46">
        <v>879</v>
      </c>
      <c r="H46">
        <v>879</v>
      </c>
      <c r="I46">
        <v>1004</v>
      </c>
      <c r="J46" s="12">
        <v>1004</v>
      </c>
      <c r="K46" s="12">
        <v>1004</v>
      </c>
      <c r="L46" s="8">
        <f t="shared" si="3"/>
        <v>251</v>
      </c>
      <c r="M46" s="8">
        <f t="shared" si="3"/>
        <v>251</v>
      </c>
      <c r="N46" s="8">
        <f t="shared" si="3"/>
        <v>251</v>
      </c>
      <c r="O46" s="8">
        <f t="shared" si="3"/>
        <v>251</v>
      </c>
      <c r="P46" s="12">
        <v>1004</v>
      </c>
      <c r="Q46" s="12">
        <v>1004</v>
      </c>
      <c r="R46" s="12">
        <v>1004</v>
      </c>
      <c r="S46" s="12">
        <v>1004</v>
      </c>
      <c r="T46" s="12">
        <v>1004</v>
      </c>
      <c r="U46" s="12">
        <v>1004</v>
      </c>
      <c r="V46" s="12">
        <v>1004</v>
      </c>
      <c r="W46" s="12">
        <v>1004</v>
      </c>
      <c r="X46" s="12">
        <v>1004</v>
      </c>
    </row>
    <row r="47" spans="1:24" x14ac:dyDescent="0.25">
      <c r="A47" s="4" t="s">
        <v>100</v>
      </c>
      <c r="B47" s="4" t="s">
        <v>101</v>
      </c>
      <c r="C47" s="4" t="s">
        <v>107</v>
      </c>
      <c r="D47" s="6" t="s">
        <v>108</v>
      </c>
      <c r="E47" s="12">
        <v>195</v>
      </c>
      <c r="F47" s="12">
        <v>195</v>
      </c>
      <c r="G47" s="12">
        <v>195</v>
      </c>
      <c r="H47" s="12">
        <v>195</v>
      </c>
      <c r="I47" s="12">
        <v>195</v>
      </c>
      <c r="J47" s="12">
        <v>195</v>
      </c>
      <c r="K47" s="12">
        <v>195</v>
      </c>
      <c r="L47" s="8">
        <f t="shared" si="3"/>
        <v>48.75</v>
      </c>
      <c r="M47" s="8">
        <f t="shared" si="3"/>
        <v>48.75</v>
      </c>
      <c r="N47" s="8">
        <f t="shared" si="3"/>
        <v>48.75</v>
      </c>
      <c r="O47" s="8">
        <f t="shared" si="3"/>
        <v>48.75</v>
      </c>
      <c r="P47" s="12">
        <v>195</v>
      </c>
      <c r="Q47" s="12">
        <v>195</v>
      </c>
      <c r="R47" s="12">
        <v>195</v>
      </c>
      <c r="S47" s="12">
        <v>195</v>
      </c>
      <c r="T47" s="12">
        <v>195</v>
      </c>
      <c r="U47" s="12">
        <v>195</v>
      </c>
      <c r="V47" s="12">
        <v>195</v>
      </c>
      <c r="W47" s="12">
        <v>195</v>
      </c>
      <c r="X47" s="12">
        <v>195</v>
      </c>
    </row>
    <row r="48" spans="1:24" x14ac:dyDescent="0.25">
      <c r="A48" s="4" t="s">
        <v>100</v>
      </c>
      <c r="B48" s="4" t="s">
        <v>101</v>
      </c>
      <c r="C48" s="4" t="s">
        <v>109</v>
      </c>
      <c r="D48" s="6" t="s">
        <v>110</v>
      </c>
      <c r="E48" s="12">
        <v>0</v>
      </c>
      <c r="F48" s="12">
        <v>0</v>
      </c>
      <c r="G48" s="12">
        <v>0</v>
      </c>
      <c r="H48" s="12">
        <v>850</v>
      </c>
      <c r="I48" s="12">
        <v>1700</v>
      </c>
      <c r="J48" s="12">
        <v>1700</v>
      </c>
      <c r="K48" s="12">
        <v>1700</v>
      </c>
      <c r="L48" s="8">
        <f t="shared" si="3"/>
        <v>425</v>
      </c>
      <c r="M48" s="8">
        <f t="shared" si="3"/>
        <v>425</v>
      </c>
      <c r="N48" s="8">
        <f t="shared" si="3"/>
        <v>425</v>
      </c>
      <c r="O48" s="8">
        <f t="shared" si="3"/>
        <v>425</v>
      </c>
      <c r="P48" s="12">
        <v>1700</v>
      </c>
      <c r="Q48" s="12">
        <v>1700</v>
      </c>
      <c r="R48" s="12">
        <v>1700</v>
      </c>
      <c r="S48" s="12">
        <v>1700</v>
      </c>
      <c r="T48" s="12">
        <v>1700</v>
      </c>
      <c r="U48" s="12">
        <v>1700</v>
      </c>
      <c r="V48" s="12">
        <v>1700</v>
      </c>
      <c r="W48" s="12">
        <v>1700</v>
      </c>
      <c r="X48" s="12">
        <v>1700</v>
      </c>
    </row>
    <row r="49" spans="1:24" x14ac:dyDescent="0.25">
      <c r="A49" s="4" t="s">
        <v>100</v>
      </c>
      <c r="B49" s="20" t="s">
        <v>111</v>
      </c>
      <c r="C49" s="20" t="s">
        <v>112</v>
      </c>
      <c r="D49" s="10" t="s">
        <v>74</v>
      </c>
      <c r="E49" s="11">
        <v>600</v>
      </c>
      <c r="F49" s="11">
        <v>600</v>
      </c>
      <c r="G49" s="11">
        <v>600</v>
      </c>
      <c r="H49" s="11">
        <v>600</v>
      </c>
      <c r="I49" s="11">
        <v>600</v>
      </c>
      <c r="J49" s="11">
        <v>600</v>
      </c>
      <c r="K49" s="11">
        <v>640</v>
      </c>
      <c r="L49" s="8">
        <f t="shared" si="3"/>
        <v>160</v>
      </c>
      <c r="M49" s="8">
        <f t="shared" si="3"/>
        <v>160</v>
      </c>
      <c r="N49" s="8">
        <f t="shared" si="3"/>
        <v>160</v>
      </c>
      <c r="O49" s="8">
        <f t="shared" si="3"/>
        <v>160</v>
      </c>
      <c r="P49" s="11">
        <v>640</v>
      </c>
      <c r="Q49" s="11">
        <v>640</v>
      </c>
      <c r="R49" s="11">
        <v>640</v>
      </c>
      <c r="S49" s="11">
        <v>640</v>
      </c>
      <c r="T49" s="11">
        <v>640</v>
      </c>
      <c r="U49" s="11">
        <v>640</v>
      </c>
      <c r="V49" s="11">
        <v>640</v>
      </c>
      <c r="W49" s="11">
        <v>640</v>
      </c>
      <c r="X49" s="11">
        <v>640</v>
      </c>
    </row>
    <row r="50" spans="1:24" x14ac:dyDescent="0.25">
      <c r="A50" s="4" t="s">
        <v>100</v>
      </c>
      <c r="B50" s="4" t="s">
        <v>111</v>
      </c>
      <c r="C50" s="4" t="s">
        <v>112</v>
      </c>
      <c r="D50" s="6" t="s">
        <v>113</v>
      </c>
      <c r="E50" s="12">
        <v>0</v>
      </c>
      <c r="F50" s="12">
        <v>0</v>
      </c>
      <c r="G50" s="12">
        <v>0</v>
      </c>
      <c r="H50" s="12">
        <v>0</v>
      </c>
      <c r="I50" s="12">
        <v>0</v>
      </c>
      <c r="J50" s="12">
        <v>0</v>
      </c>
      <c r="K50" s="12">
        <v>0</v>
      </c>
      <c r="L50" s="8">
        <f t="shared" si="3"/>
        <v>0</v>
      </c>
      <c r="M50" s="8">
        <f t="shared" si="3"/>
        <v>0</v>
      </c>
      <c r="N50" s="8">
        <f t="shared" si="3"/>
        <v>0</v>
      </c>
      <c r="O50" s="8">
        <f t="shared" si="3"/>
        <v>0</v>
      </c>
      <c r="P50" s="12">
        <v>0</v>
      </c>
      <c r="Q50" s="12">
        <v>3400</v>
      </c>
      <c r="R50" s="12">
        <v>3400</v>
      </c>
      <c r="S50" s="12">
        <v>3400</v>
      </c>
      <c r="T50" s="12">
        <v>3400</v>
      </c>
      <c r="U50" s="12">
        <v>3400</v>
      </c>
      <c r="V50" s="12">
        <v>3400</v>
      </c>
      <c r="W50" s="12">
        <v>3400</v>
      </c>
      <c r="X50" s="12">
        <v>3400</v>
      </c>
    </row>
    <row r="51" spans="1:24" x14ac:dyDescent="0.25">
      <c r="A51" s="4" t="s">
        <v>114</v>
      </c>
      <c r="B51" s="4" t="s">
        <v>115</v>
      </c>
      <c r="C51" s="4" t="s">
        <v>116</v>
      </c>
      <c r="D51" s="6" t="s">
        <v>117</v>
      </c>
      <c r="E51" s="12">
        <v>4900</v>
      </c>
      <c r="F51" s="12">
        <v>4900</v>
      </c>
      <c r="G51" s="12">
        <v>4900</v>
      </c>
      <c r="H51" s="12">
        <v>4900</v>
      </c>
      <c r="I51" s="12">
        <v>4900</v>
      </c>
      <c r="J51" s="12">
        <v>4900</v>
      </c>
      <c r="K51" s="12">
        <v>4900</v>
      </c>
      <c r="L51" s="8">
        <f t="shared" si="3"/>
        <v>1225</v>
      </c>
      <c r="M51" s="8">
        <f t="shared" si="3"/>
        <v>1225</v>
      </c>
      <c r="N51" s="8">
        <f t="shared" si="3"/>
        <v>1225</v>
      </c>
      <c r="O51" s="8">
        <f t="shared" si="3"/>
        <v>1225</v>
      </c>
      <c r="P51" s="12">
        <v>4900</v>
      </c>
      <c r="Q51" s="12">
        <v>5300</v>
      </c>
      <c r="R51" s="12">
        <v>5300</v>
      </c>
      <c r="S51" s="12">
        <v>5300</v>
      </c>
      <c r="T51" s="12">
        <v>5300</v>
      </c>
      <c r="U51" s="12">
        <v>5300</v>
      </c>
      <c r="V51" s="12">
        <v>5300</v>
      </c>
      <c r="W51" s="12">
        <v>5300</v>
      </c>
      <c r="X51" s="12">
        <v>5300</v>
      </c>
    </row>
    <row r="52" spans="1:24" x14ac:dyDescent="0.25">
      <c r="A52" s="4" t="s">
        <v>114</v>
      </c>
      <c r="B52" s="4" t="s">
        <v>115</v>
      </c>
      <c r="C52" s="4" t="s">
        <v>118</v>
      </c>
      <c r="D52" s="6" t="s">
        <v>119</v>
      </c>
      <c r="E52" s="12">
        <v>967</v>
      </c>
      <c r="F52" s="12">
        <v>967</v>
      </c>
      <c r="G52" s="12">
        <v>967</v>
      </c>
      <c r="H52" s="12">
        <v>967</v>
      </c>
      <c r="I52" s="12">
        <v>967</v>
      </c>
      <c r="J52" s="12">
        <v>967</v>
      </c>
      <c r="K52" s="12">
        <v>967</v>
      </c>
      <c r="L52" s="8">
        <f t="shared" si="3"/>
        <v>241.75</v>
      </c>
      <c r="M52" s="8">
        <f t="shared" si="3"/>
        <v>241.75</v>
      </c>
      <c r="N52" s="8">
        <f t="shared" si="3"/>
        <v>241.75</v>
      </c>
      <c r="O52" s="8">
        <f t="shared" si="3"/>
        <v>241.75</v>
      </c>
      <c r="P52" s="12">
        <v>967</v>
      </c>
      <c r="Q52" s="12">
        <v>967</v>
      </c>
      <c r="R52" s="12">
        <v>967</v>
      </c>
      <c r="S52" s="12">
        <v>967</v>
      </c>
      <c r="T52" s="12">
        <v>967</v>
      </c>
      <c r="U52" s="12">
        <v>967</v>
      </c>
      <c r="V52" s="12">
        <v>967</v>
      </c>
      <c r="W52" s="12">
        <v>967</v>
      </c>
      <c r="X52" s="12">
        <v>967</v>
      </c>
    </row>
    <row r="53" spans="1:24" x14ac:dyDescent="0.25">
      <c r="A53" s="4" t="s">
        <v>114</v>
      </c>
      <c r="B53" s="4" t="s">
        <v>115</v>
      </c>
      <c r="C53" s="4" t="s">
        <v>116</v>
      </c>
      <c r="D53" s="6" t="s">
        <v>120</v>
      </c>
      <c r="E53" s="12">
        <v>4850</v>
      </c>
      <c r="F53" s="12">
        <v>4850</v>
      </c>
      <c r="G53" s="12">
        <v>4850</v>
      </c>
      <c r="H53" s="12">
        <v>4850</v>
      </c>
      <c r="I53" s="12">
        <v>4850</v>
      </c>
      <c r="J53" s="12">
        <v>4850</v>
      </c>
      <c r="K53" s="12">
        <v>4850</v>
      </c>
      <c r="L53" s="8">
        <f t="shared" si="3"/>
        <v>1212.5</v>
      </c>
      <c r="M53" s="8">
        <f t="shared" si="3"/>
        <v>1212.5</v>
      </c>
      <c r="N53" s="8">
        <f t="shared" si="3"/>
        <v>1212.5</v>
      </c>
      <c r="O53" s="8">
        <f t="shared" si="3"/>
        <v>1212.5</v>
      </c>
      <c r="P53" s="12">
        <v>4850</v>
      </c>
      <c r="Q53" s="12">
        <v>4850</v>
      </c>
      <c r="R53" s="12">
        <v>4850</v>
      </c>
      <c r="S53" s="12">
        <v>4850</v>
      </c>
      <c r="T53" s="12">
        <v>4850</v>
      </c>
      <c r="U53" s="12">
        <v>4850</v>
      </c>
      <c r="V53" s="12">
        <v>4850</v>
      </c>
      <c r="W53" s="12">
        <v>4850</v>
      </c>
      <c r="X53" s="12">
        <v>4850</v>
      </c>
    </row>
    <row r="54" spans="1:24" x14ac:dyDescent="0.25">
      <c r="A54" s="4" t="s">
        <v>114</v>
      </c>
      <c r="B54" s="4" t="s">
        <v>115</v>
      </c>
      <c r="C54" s="4" t="s">
        <v>116</v>
      </c>
      <c r="D54" s="6" t="s">
        <v>121</v>
      </c>
      <c r="E54" s="12">
        <v>425</v>
      </c>
      <c r="F54" s="12">
        <v>425</v>
      </c>
      <c r="G54" s="12">
        <v>425</v>
      </c>
      <c r="H54" s="12">
        <v>425</v>
      </c>
      <c r="I54" s="12">
        <v>425</v>
      </c>
      <c r="J54" s="12">
        <v>425</v>
      </c>
      <c r="K54" s="12">
        <v>425</v>
      </c>
      <c r="L54" s="8">
        <f t="shared" si="3"/>
        <v>106.25</v>
      </c>
      <c r="M54" s="8">
        <f t="shared" si="3"/>
        <v>106.25</v>
      </c>
      <c r="N54" s="8">
        <f t="shared" si="3"/>
        <v>106.25</v>
      </c>
      <c r="O54" s="8">
        <f t="shared" si="3"/>
        <v>106.25</v>
      </c>
      <c r="P54" s="12">
        <v>425</v>
      </c>
      <c r="Q54" s="12">
        <v>425</v>
      </c>
      <c r="R54" s="12">
        <v>425</v>
      </c>
      <c r="S54" s="12">
        <v>425</v>
      </c>
      <c r="T54" s="12">
        <v>425</v>
      </c>
      <c r="U54" s="12">
        <v>425</v>
      </c>
      <c r="V54" s="12">
        <v>425</v>
      </c>
      <c r="W54" s="12">
        <v>425</v>
      </c>
      <c r="X54" s="12">
        <v>425</v>
      </c>
    </row>
    <row r="55" spans="1:24" x14ac:dyDescent="0.25">
      <c r="A55" s="4" t="s">
        <v>114</v>
      </c>
      <c r="B55" s="4" t="s">
        <v>123</v>
      </c>
      <c r="C55" s="4" t="s">
        <v>124</v>
      </c>
      <c r="D55" s="10" t="s">
        <v>125</v>
      </c>
      <c r="E55" s="11">
        <v>1000</v>
      </c>
      <c r="F55" s="11">
        <v>1000</v>
      </c>
      <c r="G55" s="11">
        <v>1000</v>
      </c>
      <c r="H55" s="11">
        <v>1000</v>
      </c>
      <c r="I55" s="11">
        <v>1000</v>
      </c>
      <c r="J55" s="11">
        <v>1000</v>
      </c>
      <c r="K55" s="11">
        <v>1000</v>
      </c>
      <c r="L55" s="8">
        <f t="shared" si="3"/>
        <v>250</v>
      </c>
      <c r="M55" s="8">
        <f t="shared" si="3"/>
        <v>250</v>
      </c>
      <c r="N55" s="8">
        <f t="shared" si="3"/>
        <v>250</v>
      </c>
      <c r="O55" s="8">
        <f t="shared" si="3"/>
        <v>250</v>
      </c>
      <c r="P55" s="11">
        <v>1000</v>
      </c>
      <c r="Q55" s="11">
        <v>1000</v>
      </c>
      <c r="R55" s="11">
        <v>1000</v>
      </c>
      <c r="S55" s="11">
        <v>1000</v>
      </c>
      <c r="T55" s="11">
        <v>1000</v>
      </c>
      <c r="U55" s="11">
        <v>1000</v>
      </c>
      <c r="V55" s="11">
        <v>1000</v>
      </c>
      <c r="W55" s="11">
        <v>1000</v>
      </c>
      <c r="X55" s="11">
        <v>1000</v>
      </c>
    </row>
    <row r="56" spans="1:24" x14ac:dyDescent="0.25">
      <c r="A56" s="22" t="s">
        <v>114</v>
      </c>
      <c r="B56" s="22" t="s">
        <v>141</v>
      </c>
      <c r="C56" s="22"/>
      <c r="D56" s="12" t="s">
        <v>74</v>
      </c>
      <c r="E56" s="22">
        <v>1300</v>
      </c>
      <c r="F56" s="22">
        <v>1300</v>
      </c>
      <c r="G56" s="22">
        <v>1300</v>
      </c>
      <c r="H56" s="22">
        <v>1300</v>
      </c>
      <c r="I56" s="22">
        <v>1300</v>
      </c>
      <c r="J56" s="22">
        <v>1300</v>
      </c>
      <c r="K56" s="22">
        <v>1300</v>
      </c>
      <c r="L56" s="8"/>
      <c r="M56" s="8"/>
      <c r="N56" s="8"/>
      <c r="O56" s="8"/>
      <c r="P56" s="11"/>
      <c r="Q56" s="11"/>
      <c r="R56" s="11"/>
      <c r="S56" s="11"/>
      <c r="T56" s="11"/>
      <c r="U56" s="11"/>
      <c r="V56" s="11"/>
      <c r="W56" s="11"/>
      <c r="X56" s="11"/>
    </row>
    <row r="57" spans="1:24" x14ac:dyDescent="0.25">
      <c r="A57" s="22" t="s">
        <v>126</v>
      </c>
      <c r="B57" s="22" t="s">
        <v>136</v>
      </c>
      <c r="C57" s="22"/>
      <c r="D57" s="12" t="s">
        <v>74</v>
      </c>
      <c r="E57" s="22">
        <v>1700</v>
      </c>
      <c r="F57" s="22"/>
      <c r="G57" s="22"/>
      <c r="H57" s="22"/>
      <c r="I57" s="11"/>
      <c r="J57" s="11"/>
      <c r="K57" s="11"/>
      <c r="L57" s="8"/>
      <c r="M57" s="8"/>
      <c r="N57" s="8"/>
      <c r="O57" s="8"/>
      <c r="P57" s="11"/>
      <c r="Q57" s="11"/>
      <c r="R57" s="11"/>
      <c r="S57" s="11"/>
      <c r="T57" s="11"/>
      <c r="U57" s="11"/>
      <c r="V57" s="11"/>
      <c r="W57" s="11"/>
      <c r="X57" s="11"/>
    </row>
    <row r="58" spans="1:24" x14ac:dyDescent="0.25">
      <c r="A58" s="22" t="s">
        <v>126</v>
      </c>
      <c r="B58" s="22" t="s">
        <v>137</v>
      </c>
      <c r="C58" s="22"/>
      <c r="D58" s="12" t="s">
        <v>74</v>
      </c>
      <c r="E58" s="22">
        <v>850</v>
      </c>
      <c r="F58" s="22"/>
      <c r="G58" s="22"/>
      <c r="H58" s="22"/>
      <c r="I58" s="11"/>
      <c r="J58" s="11"/>
      <c r="K58" s="11"/>
      <c r="L58" s="8"/>
      <c r="M58" s="8"/>
      <c r="N58" s="8"/>
      <c r="O58" s="8"/>
      <c r="P58" s="11"/>
      <c r="Q58" s="11"/>
      <c r="R58" s="11"/>
      <c r="S58" s="11"/>
      <c r="T58" s="11"/>
      <c r="U58" s="11"/>
      <c r="V58" s="11"/>
      <c r="W58" s="11"/>
      <c r="X58" s="11"/>
    </row>
    <row r="59" spans="1:24" x14ac:dyDescent="0.25">
      <c r="A59" s="22" t="s">
        <v>126</v>
      </c>
      <c r="B59" s="22" t="s">
        <v>137</v>
      </c>
      <c r="C59" s="22"/>
      <c r="D59" s="12" t="s">
        <v>74</v>
      </c>
      <c r="E59" s="22">
        <v>1750</v>
      </c>
      <c r="F59" s="22"/>
      <c r="G59" s="22"/>
      <c r="H59" s="22"/>
      <c r="I59" s="11"/>
      <c r="J59" s="11"/>
      <c r="K59" s="11"/>
      <c r="L59" s="8"/>
      <c r="M59" s="8"/>
      <c r="N59" s="8"/>
      <c r="O59" s="8"/>
      <c r="P59" s="11"/>
      <c r="Q59" s="11"/>
      <c r="R59" s="11"/>
      <c r="S59" s="11"/>
      <c r="T59" s="11"/>
      <c r="U59" s="11"/>
      <c r="V59" s="11"/>
      <c r="W59" s="11"/>
      <c r="X59" s="11"/>
    </row>
    <row r="60" spans="1:24" x14ac:dyDescent="0.25">
      <c r="A60" s="22" t="s">
        <v>126</v>
      </c>
      <c r="B60" s="22" t="s">
        <v>137</v>
      </c>
      <c r="C60" s="22"/>
      <c r="D60" s="22" t="s">
        <v>139</v>
      </c>
      <c r="E60" s="22">
        <v>550</v>
      </c>
      <c r="F60" s="22"/>
      <c r="G60" s="22"/>
      <c r="H60" s="22"/>
      <c r="I60" s="11"/>
      <c r="J60" s="11"/>
      <c r="K60" s="11"/>
      <c r="L60" s="8"/>
      <c r="M60" s="8"/>
      <c r="N60" s="8"/>
      <c r="O60" s="8"/>
      <c r="P60" s="11"/>
      <c r="Q60" s="11"/>
      <c r="R60" s="11"/>
      <c r="S60" s="11"/>
      <c r="T60" s="11"/>
      <c r="U60" s="11"/>
      <c r="V60" s="11"/>
      <c r="W60" s="11"/>
      <c r="X60" s="11"/>
    </row>
    <row r="61" spans="1:24" x14ac:dyDescent="0.25">
      <c r="A61" s="22" t="s">
        <v>126</v>
      </c>
      <c r="B61" s="22" t="s">
        <v>137</v>
      </c>
      <c r="C61" s="22"/>
      <c r="D61" s="22" t="s">
        <v>139</v>
      </c>
      <c r="E61" s="22">
        <v>550</v>
      </c>
      <c r="F61" s="22"/>
      <c r="G61" s="22"/>
      <c r="H61" s="22"/>
      <c r="I61" s="11"/>
      <c r="J61" s="11"/>
      <c r="K61" s="11"/>
      <c r="L61" s="8"/>
      <c r="M61" s="8"/>
      <c r="N61" s="8"/>
      <c r="O61" s="8"/>
      <c r="P61" s="11"/>
      <c r="Q61" s="11"/>
      <c r="R61" s="11"/>
      <c r="S61" s="11"/>
      <c r="T61" s="11"/>
      <c r="U61" s="11"/>
      <c r="V61" s="11"/>
      <c r="W61" s="11"/>
      <c r="X61" s="11"/>
    </row>
    <row r="62" spans="1:24" x14ac:dyDescent="0.25">
      <c r="A62" s="22" t="s">
        <v>126</v>
      </c>
      <c r="B62" s="22" t="s">
        <v>137</v>
      </c>
      <c r="C62" s="22"/>
      <c r="D62" s="22" t="s">
        <v>139</v>
      </c>
      <c r="E62" s="22">
        <v>450</v>
      </c>
      <c r="F62" s="22"/>
      <c r="G62" s="22"/>
      <c r="H62" s="22"/>
      <c r="I62" s="11"/>
      <c r="J62" s="11"/>
      <c r="K62" s="11"/>
      <c r="L62" s="8"/>
      <c r="M62" s="8"/>
      <c r="N62" s="8"/>
      <c r="O62" s="8"/>
      <c r="P62" s="11"/>
      <c r="Q62" s="11"/>
      <c r="R62" s="11"/>
      <c r="S62" s="11"/>
      <c r="T62" s="11"/>
      <c r="U62" s="11"/>
      <c r="V62" s="11"/>
      <c r="W62" s="11"/>
      <c r="X62" s="11"/>
    </row>
    <row r="63" spans="1:24" x14ac:dyDescent="0.25">
      <c r="A63" s="22" t="s">
        <v>126</v>
      </c>
      <c r="B63" s="22" t="s">
        <v>137</v>
      </c>
      <c r="C63" s="22"/>
      <c r="D63" s="22" t="s">
        <v>139</v>
      </c>
      <c r="E63" s="22">
        <v>550</v>
      </c>
      <c r="F63" s="22"/>
      <c r="G63" s="22"/>
      <c r="H63" s="22"/>
      <c r="I63" s="11"/>
      <c r="J63" s="11"/>
      <c r="K63" s="11"/>
      <c r="L63" s="8"/>
      <c r="M63" s="8"/>
      <c r="N63" s="8"/>
      <c r="O63" s="8"/>
      <c r="P63" s="11"/>
      <c r="Q63" s="11"/>
      <c r="R63" s="11"/>
      <c r="S63" s="11"/>
      <c r="T63" s="11"/>
      <c r="U63" s="11"/>
      <c r="V63" s="11"/>
      <c r="W63" s="11"/>
      <c r="X63" s="11"/>
    </row>
    <row r="64" spans="1:24" x14ac:dyDescent="0.25">
      <c r="A64" s="22" t="s">
        <v>126</v>
      </c>
      <c r="B64" s="22" t="s">
        <v>137</v>
      </c>
      <c r="C64" s="22"/>
      <c r="D64" s="22" t="s">
        <v>139</v>
      </c>
      <c r="E64" s="22">
        <v>1900</v>
      </c>
      <c r="F64" s="22"/>
      <c r="G64" s="22"/>
      <c r="H64" s="22"/>
      <c r="I64" s="11"/>
      <c r="J64" s="11"/>
      <c r="K64" s="11"/>
      <c r="L64" s="8"/>
      <c r="M64" s="8"/>
      <c r="N64" s="8"/>
      <c r="O64" s="8"/>
      <c r="P64" s="11"/>
      <c r="Q64" s="11"/>
      <c r="R64" s="11"/>
      <c r="S64" s="11"/>
      <c r="T64" s="11"/>
      <c r="U64" s="11"/>
      <c r="V64" s="11"/>
      <c r="W64" s="11"/>
      <c r="X64" s="11"/>
    </row>
    <row r="65" spans="1:24" x14ac:dyDescent="0.25">
      <c r="A65" s="22" t="s">
        <v>126</v>
      </c>
      <c r="B65" s="22" t="s">
        <v>137</v>
      </c>
      <c r="C65" s="22"/>
      <c r="D65" s="22" t="s">
        <v>140</v>
      </c>
      <c r="E65" s="22">
        <v>1000</v>
      </c>
      <c r="F65" s="22"/>
      <c r="G65" s="22"/>
      <c r="H65" s="22"/>
      <c r="I65" s="11"/>
      <c r="J65" s="11"/>
      <c r="K65" s="11"/>
      <c r="L65" s="8"/>
      <c r="M65" s="8"/>
      <c r="N65" s="8"/>
      <c r="O65" s="8"/>
      <c r="P65" s="11"/>
      <c r="Q65" s="11"/>
      <c r="R65" s="11"/>
      <c r="S65" s="11"/>
      <c r="T65" s="11"/>
      <c r="U65" s="11"/>
      <c r="V65" s="11"/>
      <c r="W65" s="11"/>
      <c r="X65" s="11"/>
    </row>
    <row r="66" spans="1:24" x14ac:dyDescent="0.25">
      <c r="A66" s="22" t="s">
        <v>100</v>
      </c>
      <c r="B66" s="22" t="s">
        <v>143</v>
      </c>
      <c r="C66" s="22"/>
      <c r="D66" s="22" t="s">
        <v>142</v>
      </c>
      <c r="E66" s="22">
        <v>180</v>
      </c>
      <c r="F66" s="22"/>
      <c r="G66" s="22"/>
      <c r="H66" s="22"/>
      <c r="I66" s="11"/>
      <c r="J66" s="11"/>
      <c r="K66" s="11"/>
      <c r="L66" s="8"/>
      <c r="M66" s="8"/>
      <c r="N66" s="8"/>
      <c r="O66" s="8"/>
      <c r="P66" s="11"/>
      <c r="Q66" s="11"/>
      <c r="R66" s="11"/>
      <c r="S66" s="11"/>
      <c r="T66" s="11"/>
      <c r="U66" s="11"/>
      <c r="V66" s="11"/>
      <c r="W66" s="11"/>
      <c r="X66" s="11"/>
    </row>
    <row r="67" spans="1:24" x14ac:dyDescent="0.25">
      <c r="A67" s="22" t="s">
        <v>100</v>
      </c>
      <c r="B67" s="22" t="s">
        <v>144</v>
      </c>
      <c r="C67" s="22"/>
      <c r="D67" s="22" t="s">
        <v>145</v>
      </c>
      <c r="E67" s="22">
        <v>0</v>
      </c>
      <c r="F67" s="22">
        <v>0</v>
      </c>
      <c r="G67" s="22">
        <v>0</v>
      </c>
      <c r="H67" s="22">
        <v>1807</v>
      </c>
      <c r="I67" s="11"/>
      <c r="J67" s="11"/>
      <c r="K67" s="11"/>
      <c r="L67" s="8"/>
      <c r="M67" s="8"/>
      <c r="N67" s="8"/>
      <c r="O67" s="8"/>
      <c r="P67" s="11"/>
      <c r="Q67" s="11"/>
      <c r="R67" s="11"/>
      <c r="S67" s="11"/>
      <c r="T67" s="11"/>
      <c r="U67" s="11"/>
      <c r="V67" s="11"/>
      <c r="W67" s="11"/>
      <c r="X67" s="11"/>
    </row>
    <row r="68" spans="1:24" x14ac:dyDescent="0.25">
      <c r="A68" s="22" t="s">
        <v>100</v>
      </c>
      <c r="B68" s="22" t="s">
        <v>148</v>
      </c>
      <c r="C68" s="22"/>
      <c r="D68" s="22" t="s">
        <v>147</v>
      </c>
      <c r="E68" s="22">
        <v>40</v>
      </c>
      <c r="F68" s="22">
        <v>65</v>
      </c>
      <c r="G68" s="22"/>
      <c r="H68" s="22"/>
      <c r="I68" s="11"/>
      <c r="J68" s="11"/>
      <c r="K68" s="11"/>
      <c r="L68" s="8"/>
      <c r="M68" s="8"/>
      <c r="N68" s="8"/>
      <c r="O68" s="8"/>
      <c r="P68" s="11"/>
      <c r="Q68" s="11"/>
      <c r="R68" s="11"/>
      <c r="S68" s="11"/>
      <c r="T68" s="11"/>
      <c r="U68" s="11"/>
      <c r="V68" s="11"/>
      <c r="W68" s="11"/>
      <c r="X68" s="11"/>
    </row>
    <row r="69" spans="1:24" x14ac:dyDescent="0.25">
      <c r="A69" s="22" t="s">
        <v>100</v>
      </c>
      <c r="B69" s="22" t="s">
        <v>150</v>
      </c>
      <c r="C69" s="22"/>
      <c r="D69" s="22" t="s">
        <v>149</v>
      </c>
      <c r="E69" s="22">
        <v>45</v>
      </c>
      <c r="F69" s="22"/>
      <c r="G69" s="22"/>
      <c r="H69" s="22"/>
      <c r="I69" s="11"/>
      <c r="J69" s="11"/>
      <c r="K69" s="11"/>
      <c r="L69" s="8"/>
      <c r="M69" s="8"/>
      <c r="N69" s="8"/>
      <c r="O69" s="8"/>
      <c r="P69" s="11"/>
      <c r="Q69" s="11"/>
      <c r="R69" s="11"/>
      <c r="S69" s="11"/>
      <c r="T69" s="11"/>
      <c r="U69" s="11"/>
      <c r="V69" s="11"/>
      <c r="W69" s="11"/>
      <c r="X69" s="11"/>
    </row>
    <row r="70" spans="1:24" x14ac:dyDescent="0.25">
      <c r="A70" s="22" t="s">
        <v>100</v>
      </c>
      <c r="B70" s="22" t="s">
        <v>109</v>
      </c>
      <c r="C70" s="22"/>
      <c r="D70" s="22" t="s">
        <v>151</v>
      </c>
      <c r="E70" s="22">
        <v>1600</v>
      </c>
      <c r="F70" s="22"/>
      <c r="G70" s="22"/>
      <c r="H70" s="22"/>
      <c r="I70" s="11"/>
      <c r="J70" s="11"/>
      <c r="K70" s="11"/>
      <c r="L70" s="8"/>
      <c r="M70" s="8"/>
      <c r="N70" s="8"/>
      <c r="O70" s="8"/>
      <c r="P70" s="11"/>
      <c r="Q70" s="11"/>
      <c r="R70" s="11"/>
      <c r="S70" s="11"/>
      <c r="T70" s="11"/>
      <c r="U70" s="11"/>
      <c r="V70" s="11"/>
      <c r="W70" s="11"/>
      <c r="X70" s="11"/>
    </row>
    <row r="71" spans="1:24" x14ac:dyDescent="0.25">
      <c r="A71" s="22" t="s">
        <v>126</v>
      </c>
      <c r="B71" s="22" t="s">
        <v>153</v>
      </c>
      <c r="C71" s="22"/>
      <c r="D71" s="22" t="s">
        <v>152</v>
      </c>
      <c r="E71" s="22">
        <v>420</v>
      </c>
      <c r="F71" s="22"/>
      <c r="G71" s="22"/>
      <c r="H71" s="22"/>
      <c r="I71" s="11"/>
      <c r="J71" s="11"/>
      <c r="K71" s="11"/>
      <c r="L71" s="8"/>
      <c r="M71" s="8"/>
      <c r="N71" s="8"/>
      <c r="O71" s="8"/>
      <c r="P71" s="11"/>
      <c r="Q71" s="11"/>
      <c r="R71" s="11"/>
      <c r="S71" s="11"/>
      <c r="T71" s="11"/>
      <c r="U71" s="11"/>
      <c r="V71" s="11"/>
      <c r="W71" s="11"/>
      <c r="X71" s="11"/>
    </row>
    <row r="72" spans="1:24" x14ac:dyDescent="0.25">
      <c r="A72" s="22" t="s">
        <v>126</v>
      </c>
      <c r="B72" s="22" t="s">
        <v>155</v>
      </c>
      <c r="C72" s="22"/>
      <c r="D72" s="22" t="s">
        <v>154</v>
      </c>
      <c r="E72" s="22">
        <v>850</v>
      </c>
      <c r="F72" s="22"/>
      <c r="G72" s="22"/>
      <c r="H72" s="22"/>
      <c r="I72" s="11"/>
      <c r="J72" s="11"/>
      <c r="K72" s="11"/>
      <c r="L72" s="8"/>
      <c r="M72" s="8"/>
      <c r="N72" s="8"/>
      <c r="O72" s="8"/>
      <c r="P72" s="11"/>
      <c r="Q72" s="11"/>
      <c r="R72" s="11"/>
      <c r="S72" s="11"/>
      <c r="T72" s="11"/>
      <c r="U72" s="11"/>
      <c r="V72" s="11"/>
      <c r="W72" s="11"/>
      <c r="X72" s="11"/>
    </row>
    <row r="73" spans="1:24" x14ac:dyDescent="0.25">
      <c r="A73" s="22" t="s">
        <v>126</v>
      </c>
      <c r="B73" s="22" t="s">
        <v>155</v>
      </c>
      <c r="C73" s="22"/>
      <c r="D73" s="22" t="s">
        <v>154</v>
      </c>
      <c r="E73" s="22">
        <v>850</v>
      </c>
      <c r="F73" s="22"/>
      <c r="G73" s="22"/>
      <c r="H73" s="22"/>
      <c r="I73" s="11"/>
      <c r="J73" s="11"/>
      <c r="K73" s="11"/>
      <c r="L73" s="8"/>
      <c r="M73" s="8"/>
      <c r="N73" s="8"/>
      <c r="O73" s="8"/>
      <c r="P73" s="11"/>
      <c r="Q73" s="11"/>
      <c r="R73" s="11"/>
      <c r="S73" s="11"/>
      <c r="T73" s="11"/>
      <c r="U73" s="11"/>
      <c r="V73" s="11"/>
      <c r="W73" s="11"/>
      <c r="X73" s="11"/>
    </row>
    <row r="74" spans="1:24" x14ac:dyDescent="0.25">
      <c r="A74" s="22" t="s">
        <v>126</v>
      </c>
      <c r="B74" s="22" t="s">
        <v>155</v>
      </c>
      <c r="C74" s="22"/>
      <c r="D74" s="22" t="s">
        <v>156</v>
      </c>
      <c r="E74" s="22">
        <v>790</v>
      </c>
      <c r="F74" s="22"/>
      <c r="G74" s="22"/>
      <c r="H74" s="22"/>
      <c r="I74" s="11"/>
      <c r="J74" s="11"/>
      <c r="K74" s="11"/>
      <c r="L74" s="8"/>
      <c r="M74" s="8"/>
      <c r="N74" s="8"/>
      <c r="O74" s="8"/>
      <c r="P74" s="11"/>
      <c r="Q74" s="11"/>
      <c r="R74" s="11"/>
      <c r="S74" s="11"/>
      <c r="T74" s="11"/>
      <c r="U74" s="11"/>
      <c r="V74" s="11"/>
      <c r="W74" s="11"/>
      <c r="X74" s="11"/>
    </row>
    <row r="75" spans="1:24" x14ac:dyDescent="0.25">
      <c r="A75" s="22"/>
      <c r="B75" s="22"/>
      <c r="C75" s="22"/>
      <c r="D75" s="22" t="s">
        <v>158</v>
      </c>
      <c r="E75" s="22">
        <v>991</v>
      </c>
      <c r="F75" s="22"/>
      <c r="G75" s="22"/>
      <c r="H75" s="22"/>
      <c r="I75" s="11"/>
      <c r="J75" s="11"/>
      <c r="K75" s="11"/>
      <c r="L75" s="8"/>
      <c r="M75" s="8"/>
      <c r="N75" s="8"/>
      <c r="O75" s="8"/>
      <c r="P75" s="11"/>
      <c r="Q75" s="11"/>
      <c r="R75" s="11"/>
      <c r="S75" s="11"/>
      <c r="T75" s="11"/>
      <c r="U75" s="11"/>
      <c r="V75" s="11"/>
      <c r="W75" s="11"/>
      <c r="X75" s="11"/>
    </row>
    <row r="76" spans="1:24" x14ac:dyDescent="0.25">
      <c r="A76" t="s">
        <v>77</v>
      </c>
      <c r="B76" t="s">
        <v>159</v>
      </c>
      <c r="D76" t="s">
        <v>158</v>
      </c>
      <c r="E76">
        <v>991</v>
      </c>
      <c r="F76">
        <v>991</v>
      </c>
      <c r="G76">
        <v>991</v>
      </c>
      <c r="H76">
        <v>991</v>
      </c>
      <c r="I76">
        <v>991</v>
      </c>
      <c r="J76">
        <v>991</v>
      </c>
      <c r="K76">
        <v>991</v>
      </c>
      <c r="L76" s="8">
        <f t="shared" ref="L76:O78" si="4">ROUND($P76/4,2)</f>
        <v>247.75</v>
      </c>
      <c r="M76" s="8">
        <f t="shared" si="4"/>
        <v>247.75</v>
      </c>
      <c r="N76" s="8">
        <f t="shared" si="4"/>
        <v>247.75</v>
      </c>
      <c r="O76" s="8">
        <f t="shared" si="4"/>
        <v>247.75</v>
      </c>
      <c r="P76">
        <v>991</v>
      </c>
      <c r="Q76">
        <v>991</v>
      </c>
      <c r="R76">
        <v>991</v>
      </c>
      <c r="S76">
        <v>991</v>
      </c>
      <c r="T76">
        <v>991</v>
      </c>
      <c r="U76">
        <v>991</v>
      </c>
      <c r="V76">
        <v>991</v>
      </c>
      <c r="W76">
        <v>991</v>
      </c>
      <c r="X76">
        <v>991</v>
      </c>
    </row>
    <row r="77" spans="1:24" x14ac:dyDescent="0.25">
      <c r="A77" t="s">
        <v>77</v>
      </c>
      <c r="B77" s="4" t="s">
        <v>161</v>
      </c>
      <c r="C77" s="4"/>
      <c r="D77" t="s">
        <v>160</v>
      </c>
      <c r="E77" s="11">
        <v>900</v>
      </c>
      <c r="F77" s="11">
        <v>900</v>
      </c>
      <c r="G77" s="11">
        <v>900</v>
      </c>
      <c r="H77" s="11">
        <v>900</v>
      </c>
      <c r="I77" s="11">
        <v>900</v>
      </c>
      <c r="J77" s="11">
        <v>900</v>
      </c>
      <c r="K77" s="11">
        <v>900</v>
      </c>
      <c r="L77" s="8">
        <f t="shared" si="4"/>
        <v>225</v>
      </c>
      <c r="M77" s="8">
        <f t="shared" si="4"/>
        <v>225</v>
      </c>
      <c r="N77" s="8">
        <f t="shared" si="4"/>
        <v>225</v>
      </c>
      <c r="O77" s="8">
        <f t="shared" si="4"/>
        <v>225</v>
      </c>
      <c r="P77" s="11">
        <v>900</v>
      </c>
      <c r="Q77" s="11">
        <v>900</v>
      </c>
      <c r="R77" s="11">
        <v>900</v>
      </c>
      <c r="S77" s="11">
        <v>900</v>
      </c>
      <c r="T77" s="11">
        <v>900</v>
      </c>
      <c r="U77" s="11">
        <v>900</v>
      </c>
      <c r="V77" s="11">
        <v>900</v>
      </c>
      <c r="W77" s="11">
        <v>900</v>
      </c>
      <c r="X77" s="11">
        <v>900</v>
      </c>
    </row>
    <row r="78" spans="1:24" x14ac:dyDescent="0.25">
      <c r="A78" t="s">
        <v>77</v>
      </c>
      <c r="B78" s="4" t="s">
        <v>164</v>
      </c>
      <c r="C78" s="4"/>
      <c r="D78" s="10" t="s">
        <v>163</v>
      </c>
      <c r="E78" s="11">
        <v>720</v>
      </c>
      <c r="F78" s="11">
        <v>720</v>
      </c>
      <c r="G78" s="11">
        <v>720</v>
      </c>
      <c r="H78" s="11">
        <v>720</v>
      </c>
      <c r="I78" s="11">
        <v>720</v>
      </c>
      <c r="J78" s="11">
        <v>720</v>
      </c>
      <c r="K78" s="11">
        <v>720</v>
      </c>
      <c r="L78" s="8">
        <f t="shared" si="4"/>
        <v>180</v>
      </c>
      <c r="M78" s="8">
        <f t="shared" si="4"/>
        <v>180</v>
      </c>
      <c r="N78" s="8">
        <f t="shared" si="4"/>
        <v>180</v>
      </c>
      <c r="O78" s="8">
        <f t="shared" si="4"/>
        <v>180</v>
      </c>
      <c r="P78" s="11">
        <v>720</v>
      </c>
      <c r="Q78" s="11">
        <v>720</v>
      </c>
      <c r="R78" s="11">
        <v>720</v>
      </c>
      <c r="S78" s="11">
        <v>720</v>
      </c>
      <c r="T78" s="11">
        <v>720</v>
      </c>
      <c r="U78" s="11">
        <v>720</v>
      </c>
      <c r="V78" s="11">
        <v>720</v>
      </c>
      <c r="W78" s="11">
        <v>720</v>
      </c>
      <c r="X78" s="11">
        <v>720</v>
      </c>
    </row>
    <row r="79" spans="1:24" x14ac:dyDescent="0.25">
      <c r="A79" s="4" t="s">
        <v>114</v>
      </c>
      <c r="B79" s="4" t="s">
        <v>165</v>
      </c>
      <c r="C79" s="4"/>
      <c r="D79" t="s">
        <v>179</v>
      </c>
      <c r="E79" s="11">
        <v>2300</v>
      </c>
      <c r="F79" s="11">
        <v>2300</v>
      </c>
      <c r="G79" s="11">
        <v>2300</v>
      </c>
      <c r="H79" s="11">
        <v>2300</v>
      </c>
      <c r="I79" s="11">
        <v>2300</v>
      </c>
      <c r="J79" s="11">
        <v>2300</v>
      </c>
      <c r="K79" s="11">
        <v>2300</v>
      </c>
      <c r="L79" s="8"/>
      <c r="M79" s="8"/>
      <c r="N79" s="8"/>
      <c r="O79" s="8"/>
      <c r="P79" s="11"/>
      <c r="Q79" s="11"/>
      <c r="R79" s="11"/>
      <c r="S79" s="11"/>
      <c r="T79" s="11"/>
      <c r="U79" s="11"/>
      <c r="V79" s="11"/>
      <c r="W79" s="11"/>
      <c r="X79" s="11"/>
    </row>
    <row r="80" spans="1:24" x14ac:dyDescent="0.25">
      <c r="A80" s="4" t="s">
        <v>114</v>
      </c>
      <c r="B80" s="4" t="s">
        <v>165</v>
      </c>
      <c r="C80" s="4"/>
      <c r="D80" s="10" t="s">
        <v>168</v>
      </c>
      <c r="E80" s="11">
        <v>660</v>
      </c>
      <c r="F80" s="11">
        <v>660</v>
      </c>
      <c r="G80" s="11">
        <v>660</v>
      </c>
      <c r="H80" s="11">
        <v>660</v>
      </c>
      <c r="I80" s="11">
        <v>660</v>
      </c>
      <c r="J80" s="11">
        <v>660</v>
      </c>
      <c r="K80" s="11">
        <v>660</v>
      </c>
      <c r="L80" s="8"/>
      <c r="M80" s="8"/>
      <c r="N80" s="8"/>
      <c r="O80" s="8"/>
      <c r="P80" s="11"/>
      <c r="Q80" s="11"/>
      <c r="R80" s="11"/>
      <c r="S80" s="11"/>
      <c r="T80" s="11"/>
      <c r="U80" s="11"/>
      <c r="V80" s="11"/>
      <c r="W80" s="11"/>
      <c r="X80" s="11"/>
    </row>
    <row r="81" spans="1:24" x14ac:dyDescent="0.25">
      <c r="A81" s="4" t="s">
        <v>114</v>
      </c>
      <c r="B81" s="4" t="s">
        <v>165</v>
      </c>
      <c r="C81" s="4"/>
      <c r="D81" s="10" t="s">
        <v>169</v>
      </c>
      <c r="E81" s="11">
        <v>1000</v>
      </c>
      <c r="F81" s="11">
        <v>1000</v>
      </c>
      <c r="G81" s="11">
        <v>1000</v>
      </c>
      <c r="H81" s="11">
        <v>1000</v>
      </c>
      <c r="I81" s="11">
        <v>1000</v>
      </c>
      <c r="J81" s="11">
        <v>1000</v>
      </c>
      <c r="K81" s="11">
        <v>1000</v>
      </c>
      <c r="L81" s="8"/>
      <c r="M81" s="8"/>
      <c r="N81" s="8"/>
      <c r="O81" s="8"/>
      <c r="P81" s="11"/>
      <c r="Q81" s="11"/>
      <c r="R81" s="11"/>
      <c r="S81" s="11"/>
      <c r="T81" s="11"/>
      <c r="U81" s="11"/>
      <c r="V81" s="11"/>
      <c r="W81" s="11"/>
      <c r="X81" s="11"/>
    </row>
    <row r="82" spans="1:24" x14ac:dyDescent="0.25">
      <c r="A82" s="4" t="s">
        <v>114</v>
      </c>
      <c r="B82" s="4" t="s">
        <v>165</v>
      </c>
      <c r="C82" s="4"/>
      <c r="D82" s="10" t="s">
        <v>170</v>
      </c>
      <c r="E82" s="11">
        <v>3300</v>
      </c>
      <c r="F82" s="11">
        <v>3300</v>
      </c>
      <c r="G82" s="11">
        <v>3300</v>
      </c>
      <c r="H82" s="11">
        <v>3300</v>
      </c>
      <c r="I82" s="11">
        <v>3300</v>
      </c>
      <c r="J82" s="11">
        <v>3300</v>
      </c>
      <c r="K82" s="11">
        <v>3300</v>
      </c>
      <c r="L82" s="8"/>
      <c r="M82" s="8"/>
      <c r="N82" s="8"/>
      <c r="O82" s="8"/>
      <c r="P82" s="11"/>
      <c r="Q82" s="11"/>
      <c r="R82" s="11"/>
      <c r="S82" s="11"/>
      <c r="T82" s="11"/>
      <c r="U82" s="11"/>
      <c r="V82" s="11"/>
      <c r="W82" s="11"/>
      <c r="X82" s="11"/>
    </row>
    <row r="83" spans="1:24" x14ac:dyDescent="0.25">
      <c r="A83" s="4" t="s">
        <v>114</v>
      </c>
      <c r="B83" s="4" t="s">
        <v>165</v>
      </c>
      <c r="C83" s="4"/>
      <c r="D83" s="10" t="s">
        <v>177</v>
      </c>
      <c r="E83" s="11">
        <v>1650</v>
      </c>
      <c r="F83" s="11">
        <v>1650</v>
      </c>
      <c r="G83" s="11">
        <v>1650</v>
      </c>
      <c r="H83" s="11">
        <v>1650</v>
      </c>
      <c r="I83" s="11">
        <v>1650</v>
      </c>
      <c r="J83" s="11">
        <v>1650</v>
      </c>
      <c r="K83" s="11">
        <v>1650</v>
      </c>
      <c r="L83" s="8"/>
      <c r="M83" s="8"/>
      <c r="N83" s="8"/>
      <c r="O83" s="8"/>
      <c r="P83" s="11"/>
      <c r="Q83" s="11"/>
      <c r="R83" s="11"/>
      <c r="S83" s="11"/>
      <c r="T83" s="11"/>
      <c r="U83" s="11"/>
      <c r="V83" s="11"/>
      <c r="W83" s="11"/>
      <c r="X83" s="11"/>
    </row>
    <row r="84" spans="1:24" x14ac:dyDescent="0.25">
      <c r="A84" s="4" t="s">
        <v>114</v>
      </c>
      <c r="B84" s="4" t="s">
        <v>165</v>
      </c>
      <c r="C84" s="4"/>
      <c r="D84" s="10" t="s">
        <v>178</v>
      </c>
      <c r="E84" s="11">
        <v>1650</v>
      </c>
      <c r="F84" s="11">
        <v>1650</v>
      </c>
      <c r="G84" s="11">
        <v>1650</v>
      </c>
      <c r="H84" s="11">
        <v>1650</v>
      </c>
      <c r="I84" s="11">
        <v>1650</v>
      </c>
      <c r="J84" s="11">
        <v>1650</v>
      </c>
      <c r="K84" s="11">
        <v>1650</v>
      </c>
      <c r="L84" s="8"/>
      <c r="M84" s="8"/>
      <c r="N84" s="8"/>
      <c r="O84" s="8"/>
      <c r="P84" s="11"/>
      <c r="Q84" s="11"/>
      <c r="R84" s="11"/>
      <c r="S84" s="11"/>
      <c r="T84" s="11"/>
      <c r="U84" s="11"/>
      <c r="V84" s="11"/>
      <c r="W84" s="11"/>
      <c r="X84" s="11"/>
    </row>
    <row r="85" spans="1:24" x14ac:dyDescent="0.25">
      <c r="A85" s="4" t="s">
        <v>114</v>
      </c>
      <c r="B85" s="4" t="s">
        <v>165</v>
      </c>
      <c r="C85" s="4"/>
      <c r="D85" s="10" t="s">
        <v>181</v>
      </c>
      <c r="E85" s="11">
        <v>1650</v>
      </c>
      <c r="F85" s="11">
        <v>1650</v>
      </c>
      <c r="G85" s="11">
        <v>1650</v>
      </c>
      <c r="H85" s="11">
        <v>1650</v>
      </c>
      <c r="I85" s="11">
        <v>1650</v>
      </c>
      <c r="J85" s="11">
        <v>1650</v>
      </c>
      <c r="K85" s="11">
        <v>1650</v>
      </c>
      <c r="L85" s="8"/>
      <c r="M85" s="8"/>
      <c r="N85" s="8"/>
      <c r="O85" s="8"/>
      <c r="P85" s="11"/>
      <c r="Q85" s="11"/>
      <c r="R85" s="11"/>
      <c r="S85" s="11"/>
      <c r="T85" s="11"/>
      <c r="U85" s="11"/>
      <c r="V85" s="11"/>
      <c r="W85" s="11"/>
      <c r="X85" s="11"/>
    </row>
    <row r="86" spans="1:24" x14ac:dyDescent="0.25">
      <c r="A86" s="4" t="s">
        <v>114</v>
      </c>
      <c r="B86" s="4" t="s">
        <v>165</v>
      </c>
      <c r="C86" s="4"/>
      <c r="D86" s="10" t="s">
        <v>182</v>
      </c>
      <c r="E86" s="11">
        <v>84</v>
      </c>
      <c r="F86" s="11">
        <v>84</v>
      </c>
      <c r="G86" s="11">
        <v>84</v>
      </c>
      <c r="H86" s="11">
        <v>84</v>
      </c>
      <c r="I86" s="11">
        <v>84</v>
      </c>
      <c r="J86" s="11">
        <v>84</v>
      </c>
      <c r="K86" s="11">
        <v>84</v>
      </c>
      <c r="L86" s="8"/>
      <c r="M86" s="8"/>
      <c r="N86" s="8"/>
      <c r="O86" s="8"/>
      <c r="P86" s="11"/>
      <c r="Q86" s="11"/>
      <c r="R86" s="11"/>
      <c r="S86" s="11"/>
      <c r="T86" s="11"/>
      <c r="U86" s="11"/>
      <c r="V86" s="11"/>
      <c r="W86" s="11"/>
      <c r="X86" s="11"/>
    </row>
    <row r="87" spans="1:24" x14ac:dyDescent="0.25">
      <c r="A87" s="4" t="s">
        <v>114</v>
      </c>
      <c r="B87" s="4" t="s">
        <v>165</v>
      </c>
      <c r="C87" s="4"/>
      <c r="D87" s="10" t="s">
        <v>183</v>
      </c>
      <c r="E87" s="11">
        <v>1650</v>
      </c>
      <c r="F87" s="11">
        <v>1650</v>
      </c>
      <c r="G87" s="11">
        <v>1650</v>
      </c>
      <c r="H87" s="11">
        <v>1650</v>
      </c>
      <c r="I87" s="11">
        <v>1650</v>
      </c>
      <c r="J87" s="11">
        <v>1650</v>
      </c>
      <c r="K87" s="11">
        <v>1650</v>
      </c>
      <c r="L87" s="8"/>
      <c r="M87" s="8"/>
      <c r="N87" s="8"/>
      <c r="O87" s="8"/>
      <c r="P87" s="11"/>
      <c r="Q87" s="11"/>
      <c r="R87" s="11"/>
      <c r="S87" s="11"/>
      <c r="T87" s="11"/>
      <c r="U87" s="11"/>
      <c r="V87" s="11"/>
      <c r="W87" s="11"/>
      <c r="X87" s="11"/>
    </row>
    <row r="88" spans="1:24" x14ac:dyDescent="0.25">
      <c r="A88" s="4" t="s">
        <v>114</v>
      </c>
      <c r="B88" s="4" t="s">
        <v>165</v>
      </c>
      <c r="C88" s="4"/>
      <c r="D88" s="10" t="s">
        <v>184</v>
      </c>
      <c r="E88" s="11">
        <v>1650</v>
      </c>
      <c r="F88" s="11">
        <v>1650</v>
      </c>
      <c r="G88" s="11">
        <v>1650</v>
      </c>
      <c r="H88" s="11">
        <v>1650</v>
      </c>
      <c r="I88" s="11">
        <v>1650</v>
      </c>
      <c r="J88" s="11">
        <v>1650</v>
      </c>
      <c r="K88" s="11">
        <v>1650</v>
      </c>
      <c r="L88" s="8"/>
      <c r="M88" s="8"/>
      <c r="N88" s="8"/>
      <c r="O88" s="8"/>
      <c r="P88" s="11"/>
      <c r="Q88" s="11"/>
      <c r="R88" s="11"/>
      <c r="S88" s="11"/>
      <c r="T88" s="11"/>
      <c r="U88" s="11"/>
      <c r="V88" s="11"/>
      <c r="W88" s="11"/>
      <c r="X88" s="11"/>
    </row>
    <row r="89" spans="1:24" x14ac:dyDescent="0.25">
      <c r="A89" s="4" t="s">
        <v>114</v>
      </c>
      <c r="B89" s="4"/>
      <c r="C89" s="4"/>
      <c r="D89" s="10"/>
      <c r="E89" s="11"/>
      <c r="F89" s="11"/>
      <c r="G89" s="11"/>
      <c r="H89" s="11"/>
      <c r="I89" s="11"/>
      <c r="J89" s="11"/>
      <c r="K89" s="11"/>
      <c r="L89" s="8"/>
      <c r="M89" s="8"/>
      <c r="N89" s="8"/>
      <c r="O89" s="8"/>
      <c r="P89" s="11"/>
      <c r="Q89" s="11"/>
      <c r="R89" s="11"/>
      <c r="S89" s="11"/>
      <c r="T89" s="11"/>
      <c r="U89" s="11"/>
      <c r="V89" s="11"/>
      <c r="W89" s="11"/>
      <c r="X89" s="11"/>
    </row>
    <row r="90" spans="1:24" x14ac:dyDescent="0.25">
      <c r="A90" s="4" t="s">
        <v>114</v>
      </c>
      <c r="B90" s="26" t="s">
        <v>172</v>
      </c>
      <c r="C90" s="4"/>
      <c r="D90" s="10" t="s">
        <v>171</v>
      </c>
      <c r="E90" s="11">
        <v>982</v>
      </c>
      <c r="F90" s="11">
        <v>982</v>
      </c>
      <c r="G90" s="11">
        <v>982</v>
      </c>
      <c r="H90" s="11">
        <v>982</v>
      </c>
      <c r="I90" s="11">
        <v>982</v>
      </c>
      <c r="J90" s="11">
        <v>982</v>
      </c>
      <c r="K90" s="11">
        <v>982</v>
      </c>
      <c r="L90" s="8"/>
      <c r="M90" s="8"/>
      <c r="N90" s="8"/>
      <c r="O90" s="8"/>
      <c r="P90" s="11"/>
      <c r="Q90" s="11"/>
      <c r="R90" s="11"/>
      <c r="S90" s="11"/>
      <c r="T90" s="11"/>
      <c r="U90" s="11"/>
      <c r="V90" s="11"/>
      <c r="W90" s="11"/>
      <c r="X90" s="11"/>
    </row>
    <row r="91" spans="1:24" x14ac:dyDescent="0.25">
      <c r="A91" s="4" t="s">
        <v>114</v>
      </c>
      <c r="B91" s="26" t="s">
        <v>115</v>
      </c>
      <c r="C91" s="4"/>
      <c r="D91" s="10" t="s">
        <v>173</v>
      </c>
      <c r="E91" s="11">
        <v>230</v>
      </c>
      <c r="F91" s="11">
        <v>230</v>
      </c>
      <c r="G91" s="11">
        <v>230</v>
      </c>
      <c r="H91" s="11">
        <v>230</v>
      </c>
      <c r="I91" s="11">
        <v>230</v>
      </c>
      <c r="J91" s="11">
        <v>230</v>
      </c>
      <c r="K91" s="11">
        <v>230</v>
      </c>
      <c r="L91" s="8"/>
      <c r="M91" s="8"/>
      <c r="N91" s="8"/>
      <c r="O91" s="8"/>
      <c r="P91" s="11"/>
      <c r="Q91" s="11"/>
      <c r="R91" s="11"/>
      <c r="S91" s="11"/>
      <c r="T91" s="11"/>
      <c r="U91" s="11"/>
      <c r="V91" s="11"/>
      <c r="W91" s="11"/>
      <c r="X91" s="11"/>
    </row>
    <row r="92" spans="1:24" x14ac:dyDescent="0.25">
      <c r="A92" s="4" t="s">
        <v>114</v>
      </c>
      <c r="B92" s="26" t="s">
        <v>115</v>
      </c>
      <c r="C92" s="4"/>
      <c r="D92" s="10" t="s">
        <v>174</v>
      </c>
      <c r="E92" s="11">
        <v>1150</v>
      </c>
      <c r="F92" s="11">
        <v>1150</v>
      </c>
      <c r="G92" s="11">
        <v>1150</v>
      </c>
      <c r="H92" s="11">
        <v>1150</v>
      </c>
      <c r="I92" s="11">
        <v>1150</v>
      </c>
      <c r="J92" s="11">
        <v>1150</v>
      </c>
      <c r="K92" s="11">
        <v>1150</v>
      </c>
      <c r="L92" s="8"/>
      <c r="M92" s="8"/>
      <c r="N92" s="8"/>
      <c r="O92" s="8"/>
      <c r="P92" s="11"/>
      <c r="Q92" s="11"/>
      <c r="R92" s="11"/>
      <c r="S92" s="11"/>
      <c r="T92" s="11"/>
      <c r="U92" s="11"/>
      <c r="V92" s="11"/>
      <c r="W92" s="11"/>
      <c r="X92" s="11"/>
    </row>
    <row r="93" spans="1:24" x14ac:dyDescent="0.25">
      <c r="A93" s="4" t="s">
        <v>114</v>
      </c>
      <c r="B93" s="26" t="s">
        <v>176</v>
      </c>
      <c r="C93" s="4"/>
      <c r="D93" s="10" t="s">
        <v>175</v>
      </c>
      <c r="E93" s="11">
        <v>1300</v>
      </c>
      <c r="F93" s="11">
        <v>1300</v>
      </c>
      <c r="G93" s="11">
        <v>1300</v>
      </c>
      <c r="H93" s="11">
        <v>1300</v>
      </c>
      <c r="I93" s="11">
        <v>1300</v>
      </c>
      <c r="J93" s="11">
        <v>1300</v>
      </c>
      <c r="K93" s="11">
        <v>1300</v>
      </c>
      <c r="L93" s="8"/>
      <c r="M93" s="8"/>
      <c r="N93" s="8"/>
      <c r="O93" s="8"/>
      <c r="P93" s="11"/>
      <c r="Q93" s="11"/>
      <c r="R93" s="11"/>
      <c r="S93" s="11"/>
      <c r="T93" s="11"/>
      <c r="U93" s="11"/>
      <c r="V93" s="11"/>
      <c r="W93" s="11"/>
      <c r="X93" s="11"/>
    </row>
    <row r="94" spans="1:24" x14ac:dyDescent="0.25">
      <c r="A94" s="4" t="s">
        <v>167</v>
      </c>
      <c r="B94" s="25" t="s">
        <v>166</v>
      </c>
      <c r="C94" s="4"/>
      <c r="D94" s="24" t="s">
        <v>120</v>
      </c>
      <c r="E94" s="11">
        <v>850</v>
      </c>
      <c r="F94" s="11"/>
      <c r="G94" s="11"/>
      <c r="H94" s="11"/>
      <c r="I94" s="11"/>
      <c r="J94" s="11"/>
      <c r="K94" s="11"/>
      <c r="L94" s="8"/>
      <c r="M94" s="8"/>
      <c r="N94" s="8"/>
      <c r="O94" s="8"/>
      <c r="P94" s="11"/>
      <c r="Q94" s="11"/>
      <c r="R94" s="11"/>
      <c r="S94" s="11"/>
      <c r="T94" s="11"/>
      <c r="U94" s="11"/>
      <c r="V94" s="11"/>
      <c r="W94" s="11"/>
      <c r="X94" s="11"/>
    </row>
    <row r="95" spans="1:24" x14ac:dyDescent="0.25">
      <c r="A95" s="4" t="s">
        <v>114</v>
      </c>
      <c r="B95" s="4" t="s">
        <v>165</v>
      </c>
      <c r="C95" s="4"/>
      <c r="D95" s="10" t="s">
        <v>180</v>
      </c>
      <c r="E95" s="11">
        <v>660</v>
      </c>
      <c r="F95" s="11"/>
      <c r="G95" s="11"/>
      <c r="H95" s="11"/>
      <c r="I95" s="11"/>
      <c r="J95" s="11"/>
      <c r="K95" s="11"/>
      <c r="L95" s="8"/>
      <c r="M95" s="8"/>
      <c r="N95" s="8"/>
      <c r="O95" s="8"/>
      <c r="P95" s="11"/>
      <c r="Q95" s="11"/>
      <c r="R95" s="11"/>
      <c r="S95" s="11"/>
      <c r="T95" s="11"/>
      <c r="U95" s="11"/>
      <c r="V95" s="11"/>
      <c r="W95" s="11"/>
      <c r="X95" s="11"/>
    </row>
    <row r="96" spans="1:24" x14ac:dyDescent="0.25">
      <c r="A96" s="4"/>
      <c r="B96" s="4" t="s">
        <v>67</v>
      </c>
      <c r="C96" s="4"/>
      <c r="D96" s="10" t="s">
        <v>185</v>
      </c>
      <c r="E96" s="11"/>
      <c r="F96" s="11"/>
      <c r="G96" s="11"/>
      <c r="H96" s="11"/>
      <c r="I96" s="11"/>
      <c r="J96" s="11"/>
      <c r="K96" s="11">
        <v>770</v>
      </c>
      <c r="L96" s="8"/>
      <c r="M96" s="8"/>
      <c r="N96" s="8"/>
      <c r="O96" s="8"/>
      <c r="P96" s="11"/>
      <c r="Q96" s="11"/>
      <c r="R96" s="11"/>
      <c r="S96" s="11"/>
      <c r="T96" s="11"/>
      <c r="U96" s="11"/>
      <c r="V96" s="11"/>
      <c r="W96" s="11"/>
      <c r="X96" s="11"/>
    </row>
    <row r="97" spans="1:24" x14ac:dyDescent="0.25">
      <c r="A97" s="4"/>
      <c r="B97" s="4"/>
      <c r="C97" s="4"/>
      <c r="D97" s="10"/>
      <c r="E97" s="11"/>
      <c r="F97" s="11"/>
      <c r="G97" s="11"/>
      <c r="H97" s="11"/>
      <c r="I97" s="11"/>
      <c r="J97" s="11"/>
      <c r="K97" s="11"/>
      <c r="L97" s="8"/>
      <c r="M97" s="8"/>
      <c r="N97" s="8"/>
      <c r="O97" s="8"/>
      <c r="P97" s="11"/>
      <c r="Q97" s="11"/>
      <c r="R97" s="11"/>
      <c r="S97" s="11"/>
      <c r="T97" s="11"/>
      <c r="U97" s="11"/>
      <c r="V97" s="11"/>
      <c r="W97" s="11"/>
      <c r="X97" s="11"/>
    </row>
    <row r="98" spans="1:24" x14ac:dyDescent="0.25">
      <c r="A98" s="4"/>
      <c r="B98" s="4"/>
      <c r="C98" s="4"/>
      <c r="D98" s="10"/>
      <c r="E98" s="11"/>
      <c r="F98" s="11"/>
      <c r="G98" s="11"/>
      <c r="H98" s="11"/>
      <c r="I98" s="11"/>
      <c r="J98" s="11"/>
      <c r="K98" s="11"/>
      <c r="L98" s="8"/>
      <c r="M98" s="8"/>
      <c r="N98" s="8"/>
      <c r="O98" s="8"/>
      <c r="P98" s="11"/>
      <c r="Q98" s="11"/>
      <c r="R98" s="11"/>
      <c r="S98" s="11"/>
      <c r="T98" s="11"/>
      <c r="U98" s="11"/>
      <c r="V98" s="11"/>
      <c r="W98" s="11"/>
      <c r="X98" s="11"/>
    </row>
    <row r="99" spans="1:24" x14ac:dyDescent="0.25">
      <c r="A99" s="4"/>
      <c r="B99" s="4"/>
      <c r="C99" s="4"/>
      <c r="D99" s="10"/>
      <c r="E99" s="11"/>
      <c r="F99" s="11"/>
      <c r="G99" s="11"/>
      <c r="H99" s="11"/>
      <c r="I99" s="11"/>
      <c r="J99" s="11"/>
      <c r="K99" s="11"/>
      <c r="L99" s="8"/>
      <c r="M99" s="8"/>
      <c r="N99" s="8"/>
      <c r="O99" s="8"/>
      <c r="P99" s="11"/>
      <c r="Q99" s="11"/>
      <c r="R99" s="11"/>
      <c r="S99" s="11"/>
      <c r="T99" s="11"/>
      <c r="U99" s="11"/>
      <c r="V99" s="11"/>
      <c r="W99" s="11"/>
      <c r="X99" s="11"/>
    </row>
    <row r="100" spans="1:24" x14ac:dyDescent="0.25">
      <c r="A100" s="4"/>
      <c r="B100" s="4"/>
      <c r="C100" s="4"/>
      <c r="D100" s="10"/>
      <c r="E100" s="11">
        <f>1700+660</f>
        <v>2360</v>
      </c>
      <c r="F100" s="11"/>
      <c r="G100" s="11"/>
      <c r="H100" s="11"/>
      <c r="I100" s="11"/>
      <c r="J100" s="11"/>
      <c r="K100" s="11"/>
      <c r="L100" s="8"/>
      <c r="M100" s="8"/>
      <c r="N100" s="8"/>
      <c r="O100" s="8"/>
      <c r="P100" s="11"/>
      <c r="Q100" s="11"/>
      <c r="R100" s="11"/>
      <c r="S100" s="11"/>
      <c r="T100" s="11"/>
      <c r="U100" s="11"/>
      <c r="V100" s="11"/>
      <c r="W100" s="11"/>
      <c r="X100" s="11"/>
    </row>
    <row r="101" spans="1:24" x14ac:dyDescent="0.25">
      <c r="A101" s="4"/>
      <c r="B101" s="4"/>
      <c r="C101" s="4"/>
      <c r="D101" s="10"/>
      <c r="E101" s="11"/>
      <c r="F101" s="11"/>
      <c r="G101" s="11"/>
      <c r="H101" s="11"/>
      <c r="I101" s="11"/>
      <c r="J101" s="11"/>
      <c r="K101" s="11"/>
      <c r="L101" s="8"/>
      <c r="M101" s="8"/>
      <c r="N101" s="8"/>
      <c r="O101" s="8"/>
      <c r="P101" s="11"/>
      <c r="Q101" s="11"/>
      <c r="R101" s="11"/>
      <c r="S101" s="11"/>
      <c r="T101" s="11"/>
      <c r="U101" s="11"/>
      <c r="V101" s="11"/>
      <c r="W101" s="11"/>
      <c r="X101" s="11"/>
    </row>
    <row r="102" spans="1:24" x14ac:dyDescent="0.25">
      <c r="A102" s="4"/>
      <c r="B102" s="4"/>
      <c r="C102" s="4"/>
      <c r="D102" s="10"/>
      <c r="E102" s="11"/>
      <c r="F102" s="11"/>
      <c r="G102" s="11"/>
      <c r="H102" s="11"/>
      <c r="I102" s="11"/>
      <c r="J102" s="11"/>
      <c r="K102" s="11"/>
      <c r="L102" s="8"/>
      <c r="M102" s="8"/>
      <c r="N102" s="8"/>
      <c r="O102" s="8"/>
      <c r="P102" s="11"/>
      <c r="Q102" s="11"/>
      <c r="R102" s="11"/>
      <c r="S102" s="11"/>
      <c r="T102" s="11"/>
      <c r="U102" s="11"/>
      <c r="V102" s="11"/>
      <c r="W102" s="11"/>
      <c r="X102" s="11"/>
    </row>
    <row r="103" spans="1:24" x14ac:dyDescent="0.25">
      <c r="A103" s="4"/>
      <c r="B103" s="4"/>
      <c r="C103" s="4"/>
      <c r="D103" s="10"/>
      <c r="E103" s="11"/>
      <c r="F103" s="11"/>
      <c r="G103" s="11"/>
      <c r="H103" s="11"/>
      <c r="I103" s="11"/>
      <c r="J103" s="11"/>
      <c r="K103" s="11"/>
      <c r="L103" s="8"/>
      <c r="M103" s="8"/>
      <c r="N103" s="8"/>
      <c r="O103" s="8"/>
      <c r="P103" s="11"/>
      <c r="Q103" s="11"/>
      <c r="R103" s="11"/>
      <c r="S103" s="11"/>
      <c r="T103" s="11"/>
      <c r="U103" s="11"/>
      <c r="V103" s="11"/>
      <c r="W103" s="11"/>
      <c r="X103" s="11"/>
    </row>
    <row r="104" spans="1:24" x14ac:dyDescent="0.25">
      <c r="A104" s="4"/>
      <c r="B104" s="4"/>
      <c r="C104" s="4"/>
      <c r="D104" s="10"/>
      <c r="E104" s="11"/>
      <c r="F104" s="11"/>
      <c r="G104" s="11"/>
      <c r="H104" s="11"/>
      <c r="I104" s="11"/>
      <c r="J104" s="11"/>
      <c r="K104" s="11"/>
      <c r="L104" s="8"/>
      <c r="M104" s="8"/>
      <c r="N104" s="8"/>
      <c r="O104" s="8"/>
      <c r="P104" s="11"/>
      <c r="Q104" s="11"/>
      <c r="R104" s="11"/>
      <c r="S104" s="11"/>
      <c r="T104" s="11"/>
      <c r="U104" s="11"/>
      <c r="V104" s="11"/>
      <c r="W104" s="11"/>
      <c r="X104" s="11"/>
    </row>
    <row r="105" spans="1:24" x14ac:dyDescent="0.25">
      <c r="A105" s="4"/>
      <c r="B105" s="4"/>
      <c r="C105" s="4"/>
      <c r="D105" s="10"/>
      <c r="E105" s="11"/>
      <c r="F105" s="11"/>
      <c r="G105" s="11"/>
      <c r="H105" s="11"/>
      <c r="I105" s="11"/>
      <c r="J105" s="11"/>
      <c r="K105" s="11"/>
      <c r="L105" s="8"/>
      <c r="M105" s="8"/>
      <c r="N105" s="8"/>
      <c r="O105" s="8"/>
      <c r="P105" s="11"/>
      <c r="Q105" s="11"/>
      <c r="R105" s="11"/>
      <c r="S105" s="11"/>
      <c r="T105" s="11"/>
      <c r="U105" s="11"/>
      <c r="V105" s="11"/>
      <c r="W105" s="11"/>
      <c r="X105" s="11"/>
    </row>
    <row r="106" spans="1:24" x14ac:dyDescent="0.25">
      <c r="A106" s="4"/>
      <c r="B106" s="4"/>
      <c r="C106" s="4"/>
      <c r="D106" s="10"/>
      <c r="E106" s="11"/>
      <c r="F106" s="11"/>
      <c r="G106" s="11"/>
      <c r="H106" s="11"/>
      <c r="I106" s="11"/>
      <c r="J106" s="11"/>
      <c r="K106" s="11"/>
      <c r="L106" s="8"/>
      <c r="M106" s="8"/>
      <c r="N106" s="8"/>
      <c r="O106" s="8"/>
      <c r="P106" s="11"/>
      <c r="Q106" s="11"/>
      <c r="R106" s="11"/>
      <c r="S106" s="11"/>
      <c r="T106" s="11"/>
      <c r="U106" s="11"/>
      <c r="V106" s="11"/>
      <c r="W106" s="11"/>
      <c r="X106" s="11"/>
    </row>
    <row r="107" spans="1:24" x14ac:dyDescent="0.25">
      <c r="A107" s="4"/>
      <c r="B107" s="4"/>
      <c r="C107" s="4"/>
      <c r="D107" s="10"/>
      <c r="E107" s="11"/>
      <c r="F107" s="11"/>
      <c r="G107" s="11"/>
      <c r="H107" s="11"/>
      <c r="I107" s="11"/>
      <c r="J107" s="11"/>
      <c r="K107" s="11"/>
      <c r="L107" s="8"/>
      <c r="M107" s="8"/>
      <c r="N107" s="8"/>
      <c r="O107" s="8"/>
      <c r="P107" s="11"/>
      <c r="Q107" s="11"/>
      <c r="R107" s="11"/>
      <c r="S107" s="11"/>
      <c r="T107" s="11"/>
      <c r="U107" s="11"/>
      <c r="V107" s="11"/>
      <c r="W107" s="11"/>
      <c r="X107" s="11"/>
    </row>
    <row r="108" spans="1:24" x14ac:dyDescent="0.25">
      <c r="A108" s="4"/>
      <c r="B108" s="4"/>
      <c r="C108" s="4"/>
      <c r="D108" s="10"/>
      <c r="E108" s="11"/>
      <c r="F108" s="11"/>
      <c r="G108" s="11"/>
      <c r="H108" s="11"/>
      <c r="I108" s="11"/>
      <c r="J108" s="11"/>
      <c r="K108" s="11"/>
      <c r="L108" s="8"/>
      <c r="M108" s="8"/>
      <c r="N108" s="8"/>
      <c r="O108" s="8"/>
      <c r="P108" s="11"/>
      <c r="Q108" s="11"/>
      <c r="R108" s="11"/>
      <c r="S108" s="11"/>
      <c r="T108" s="11"/>
      <c r="U108" s="11"/>
      <c r="V108" s="11"/>
      <c r="W108" s="11"/>
      <c r="X108" s="11"/>
    </row>
    <row r="109" spans="1:24" x14ac:dyDescent="0.25">
      <c r="A109" s="4"/>
      <c r="B109" s="4"/>
      <c r="C109" s="4"/>
      <c r="D109" s="10"/>
      <c r="E109" s="11"/>
      <c r="F109" s="11"/>
      <c r="G109" s="11"/>
      <c r="H109" s="11"/>
      <c r="I109" s="11"/>
      <c r="J109" s="11"/>
      <c r="K109" s="11"/>
      <c r="L109" s="8"/>
      <c r="M109" s="8"/>
      <c r="N109" s="8"/>
      <c r="O109" s="8"/>
      <c r="P109" s="11"/>
      <c r="Q109" s="11"/>
      <c r="R109" s="11"/>
      <c r="S109" s="11"/>
      <c r="T109" s="11"/>
      <c r="U109" s="11"/>
      <c r="V109" s="11"/>
      <c r="W109" s="11"/>
      <c r="X109" s="11"/>
    </row>
    <row r="110" spans="1:24" x14ac:dyDescent="0.25">
      <c r="A110" s="4"/>
      <c r="B110" s="4"/>
      <c r="C110" s="4"/>
      <c r="D110" s="10"/>
      <c r="E110" s="11"/>
      <c r="F110" s="11"/>
      <c r="G110" s="11"/>
      <c r="H110" s="11"/>
      <c r="I110" s="11"/>
      <c r="J110" s="11"/>
      <c r="K110" s="11"/>
      <c r="L110" s="8"/>
      <c r="M110" s="8"/>
      <c r="N110" s="8"/>
      <c r="O110" s="8"/>
      <c r="P110" s="11"/>
      <c r="Q110" s="11"/>
      <c r="R110" s="11"/>
      <c r="S110" s="11"/>
      <c r="T110" s="11"/>
      <c r="U110" s="11"/>
      <c r="V110" s="11"/>
      <c r="W110" s="11"/>
      <c r="X110" s="11"/>
    </row>
    <row r="111" spans="1:24" x14ac:dyDescent="0.25">
      <c r="A111" s="4"/>
      <c r="B111" s="4"/>
      <c r="C111" s="4"/>
      <c r="D111" s="10"/>
      <c r="E111" s="11"/>
      <c r="F111" s="11"/>
      <c r="G111" s="11"/>
      <c r="H111" s="11"/>
      <c r="I111" s="11"/>
      <c r="J111" s="11"/>
      <c r="K111" s="11"/>
      <c r="L111" s="8"/>
      <c r="M111" s="8"/>
      <c r="N111" s="8"/>
      <c r="O111" s="8"/>
      <c r="P111" s="11"/>
      <c r="Q111" s="11"/>
      <c r="R111" s="11"/>
      <c r="S111" s="11"/>
      <c r="T111" s="11"/>
      <c r="U111" s="11"/>
      <c r="V111" s="11"/>
      <c r="W111" s="11"/>
      <c r="X111" s="11"/>
    </row>
    <row r="112" spans="1:24" x14ac:dyDescent="0.25">
      <c r="A112" s="4"/>
      <c r="B112" s="4"/>
      <c r="C112" s="4"/>
      <c r="D112" s="10"/>
      <c r="E112" s="11"/>
      <c r="F112" s="11"/>
      <c r="G112" s="11"/>
      <c r="H112" s="11"/>
      <c r="I112" s="11"/>
      <c r="J112" s="11"/>
      <c r="K112" s="11"/>
      <c r="L112" s="8"/>
      <c r="M112" s="8"/>
      <c r="N112" s="8"/>
      <c r="O112" s="8"/>
      <c r="P112" s="11"/>
      <c r="Q112" s="11"/>
      <c r="R112" s="11"/>
      <c r="S112" s="11"/>
      <c r="T112" s="11"/>
      <c r="U112" s="11"/>
      <c r="V112" s="11"/>
      <c r="W112" s="11"/>
      <c r="X112" s="11"/>
    </row>
    <row r="113" spans="1:24" x14ac:dyDescent="0.25">
      <c r="A113" s="4"/>
      <c r="B113" s="4"/>
      <c r="C113" s="4"/>
      <c r="D113" s="10"/>
      <c r="E113" s="11"/>
      <c r="F113" s="11"/>
      <c r="G113" s="11"/>
      <c r="H113" s="11"/>
      <c r="I113" s="11"/>
      <c r="J113" s="11"/>
      <c r="K113" s="11"/>
      <c r="L113" s="8"/>
      <c r="M113" s="8"/>
      <c r="N113" s="8"/>
      <c r="O113" s="8"/>
      <c r="P113" s="11"/>
      <c r="Q113" s="11"/>
      <c r="R113" s="11"/>
      <c r="S113" s="11"/>
      <c r="T113" s="11"/>
      <c r="U113" s="11"/>
      <c r="V113" s="11"/>
      <c r="W113" s="11"/>
      <c r="X113" s="11"/>
    </row>
    <row r="114" spans="1:24" x14ac:dyDescent="0.25">
      <c r="A114" s="4"/>
      <c r="B114" s="4"/>
      <c r="C114" s="4"/>
      <c r="D114" s="10"/>
      <c r="E114" s="11"/>
      <c r="F114" s="11"/>
      <c r="G114" s="11"/>
      <c r="H114" s="11"/>
      <c r="I114" s="11"/>
      <c r="J114" s="11"/>
      <c r="K114" s="11"/>
      <c r="L114" s="8"/>
      <c r="M114" s="8"/>
      <c r="N114" s="8"/>
      <c r="O114" s="8"/>
      <c r="P114" s="11"/>
      <c r="Q114" s="11"/>
      <c r="R114" s="11"/>
      <c r="S114" s="11"/>
      <c r="T114" s="11"/>
      <c r="U114" s="11"/>
      <c r="V114" s="11"/>
      <c r="W114" s="11"/>
      <c r="X114" s="11"/>
    </row>
    <row r="115" spans="1:24" x14ac:dyDescent="0.25">
      <c r="A115" s="4"/>
      <c r="B115" s="4"/>
      <c r="C115" s="4"/>
      <c r="D115" s="10"/>
      <c r="E115" s="11"/>
      <c r="F115" s="11"/>
      <c r="G115" s="11"/>
      <c r="H115" s="11"/>
      <c r="I115" s="11"/>
      <c r="J115" s="11"/>
      <c r="K115" s="11"/>
      <c r="L115" s="8"/>
      <c r="M115" s="8"/>
      <c r="N115" s="8"/>
      <c r="O115" s="8"/>
      <c r="P115" s="11"/>
      <c r="Q115" s="11"/>
      <c r="R115" s="11"/>
      <c r="S115" s="11"/>
      <c r="T115" s="11"/>
      <c r="U115" s="11"/>
      <c r="V115" s="11"/>
      <c r="W115" s="11"/>
      <c r="X115" s="11"/>
    </row>
    <row r="116" spans="1:24" x14ac:dyDescent="0.25">
      <c r="A116" s="4"/>
      <c r="B116" s="4"/>
      <c r="C116" s="4"/>
      <c r="D116" s="10"/>
      <c r="E116" s="11"/>
      <c r="F116" s="11"/>
      <c r="G116" s="11"/>
      <c r="H116" s="11"/>
      <c r="I116" s="11"/>
      <c r="J116" s="11"/>
      <c r="K116" s="11"/>
      <c r="L116" s="8"/>
      <c r="M116" s="8"/>
      <c r="N116" s="8"/>
      <c r="O116" s="8"/>
      <c r="P116" s="11"/>
      <c r="Q116" s="11"/>
      <c r="R116" s="11"/>
      <c r="S116" s="11"/>
      <c r="T116" s="11"/>
      <c r="U116" s="11"/>
      <c r="V116" s="11"/>
      <c r="W116" s="11"/>
      <c r="X116" s="11"/>
    </row>
    <row r="117" spans="1:24" x14ac:dyDescent="0.25">
      <c r="A117" s="4"/>
      <c r="B117" s="4"/>
      <c r="C117" s="4"/>
      <c r="D117" s="10"/>
      <c r="E117" s="11"/>
      <c r="F117" s="11"/>
      <c r="G117" s="11"/>
      <c r="H117" s="11"/>
      <c r="I117" s="11"/>
      <c r="J117" s="11"/>
      <c r="K117" s="11"/>
      <c r="L117" s="8"/>
      <c r="M117" s="8"/>
      <c r="N117" s="8"/>
      <c r="O117" s="8"/>
      <c r="P117" s="11"/>
      <c r="Q117" s="11"/>
      <c r="R117" s="11"/>
      <c r="S117" s="11"/>
      <c r="T117" s="11"/>
      <c r="U117" s="11"/>
      <c r="V117" s="11"/>
      <c r="W117" s="11"/>
      <c r="X117" s="11"/>
    </row>
    <row r="118" spans="1:24" x14ac:dyDescent="0.25">
      <c r="A118" s="4"/>
      <c r="B118" s="4"/>
      <c r="C118" s="4"/>
      <c r="D118" s="10"/>
      <c r="E118" s="11"/>
      <c r="F118" s="11"/>
      <c r="G118" s="11"/>
      <c r="H118" s="11"/>
      <c r="I118" s="11"/>
      <c r="J118" s="11"/>
      <c r="K118" s="11"/>
      <c r="L118" s="8"/>
      <c r="M118" s="8"/>
      <c r="N118" s="8"/>
      <c r="O118" s="8"/>
      <c r="P118" s="11"/>
      <c r="Q118" s="11"/>
      <c r="R118" s="11"/>
      <c r="S118" s="11"/>
      <c r="T118" s="11"/>
      <c r="U118" s="11"/>
      <c r="V118" s="11"/>
      <c r="W118" s="11"/>
      <c r="X118" s="11"/>
    </row>
    <row r="119" spans="1:24" x14ac:dyDescent="0.25">
      <c r="A119" s="4"/>
      <c r="B119" s="4"/>
      <c r="C119" s="4"/>
      <c r="D119" s="10"/>
      <c r="E119" s="11"/>
      <c r="F119" s="11"/>
      <c r="G119" s="11"/>
      <c r="H119" s="11"/>
      <c r="I119" s="11"/>
      <c r="J119" s="11"/>
      <c r="K119" s="11"/>
      <c r="L119" s="8"/>
      <c r="M119" s="8"/>
      <c r="N119" s="8"/>
      <c r="O119" s="8"/>
      <c r="P119" s="11"/>
      <c r="Q119" s="11"/>
      <c r="R119" s="11"/>
      <c r="S119" s="11"/>
      <c r="T119" s="11"/>
      <c r="U119" s="11"/>
      <c r="V119" s="11"/>
      <c r="W119" s="11"/>
      <c r="X119" s="11"/>
    </row>
    <row r="120" spans="1:24" x14ac:dyDescent="0.25">
      <c r="A120" s="4"/>
      <c r="B120" s="4"/>
      <c r="C120" s="4"/>
      <c r="D120" s="10"/>
      <c r="E120" s="11"/>
      <c r="F120" s="11"/>
      <c r="G120" s="11"/>
      <c r="H120" s="11"/>
      <c r="I120" s="11"/>
      <c r="J120" s="11"/>
      <c r="K120" s="11"/>
      <c r="L120" s="8"/>
      <c r="M120" s="8"/>
      <c r="N120" s="8"/>
      <c r="O120" s="8"/>
      <c r="P120" s="11"/>
      <c r="Q120" s="11"/>
      <c r="R120" s="11"/>
      <c r="S120" s="11"/>
      <c r="T120" s="11"/>
      <c r="U120" s="11"/>
      <c r="V120" s="11"/>
      <c r="W120" s="11"/>
      <c r="X120" s="11"/>
    </row>
    <row r="121" spans="1:24" x14ac:dyDescent="0.25">
      <c r="A121" s="4"/>
      <c r="B121" s="4"/>
      <c r="C121" s="4"/>
      <c r="D121" s="10"/>
      <c r="E121" s="11"/>
      <c r="F121" s="11"/>
      <c r="G121" s="11"/>
      <c r="H121" s="11"/>
      <c r="I121" s="11"/>
      <c r="J121" s="11"/>
      <c r="K121" s="11"/>
      <c r="L121" s="8"/>
      <c r="M121" s="8"/>
      <c r="N121" s="8"/>
      <c r="O121" s="8"/>
      <c r="P121" s="11"/>
      <c r="Q121" s="11"/>
      <c r="R121" s="11"/>
      <c r="S121" s="11"/>
      <c r="T121" s="11"/>
      <c r="U121" s="11"/>
      <c r="V121" s="11"/>
      <c r="W121" s="11"/>
      <c r="X121" s="11"/>
    </row>
    <row r="122" spans="1:24" x14ac:dyDescent="0.25">
      <c r="A122" s="4"/>
      <c r="B122" s="4"/>
      <c r="C122" s="4"/>
      <c r="D122" s="6" t="s">
        <v>32</v>
      </c>
      <c r="E122" s="11">
        <v>4850</v>
      </c>
      <c r="F122" s="11">
        <v>4850</v>
      </c>
      <c r="G122" s="11">
        <v>4850</v>
      </c>
      <c r="H122" s="11">
        <v>4850</v>
      </c>
      <c r="I122" s="11">
        <v>4850</v>
      </c>
      <c r="J122" s="11">
        <v>4850</v>
      </c>
      <c r="K122" s="11">
        <v>5000</v>
      </c>
      <c r="L122" s="8">
        <f>ROUND($P122/4,2)</f>
        <v>1312.5</v>
      </c>
      <c r="M122" s="8">
        <f>ROUND($P122/4,2)</f>
        <v>1312.5</v>
      </c>
      <c r="N122" s="8">
        <f>ROUND($P122/4,2)</f>
        <v>1312.5</v>
      </c>
      <c r="O122" s="8">
        <f>ROUND($P122/4,2)</f>
        <v>1312.5</v>
      </c>
      <c r="P122" s="11">
        <v>5250</v>
      </c>
      <c r="Q122" s="11">
        <v>5250</v>
      </c>
      <c r="R122" s="11">
        <v>5250</v>
      </c>
      <c r="S122" s="11">
        <v>5250</v>
      </c>
      <c r="T122" s="11">
        <v>5250</v>
      </c>
      <c r="U122" s="11">
        <v>5250</v>
      </c>
      <c r="V122" s="11">
        <v>5250</v>
      </c>
      <c r="W122" s="11">
        <v>5250</v>
      </c>
      <c r="X122" s="11">
        <v>5250</v>
      </c>
    </row>
    <row r="123" spans="1:24" x14ac:dyDescent="0.25">
      <c r="A123" s="15" t="s">
        <v>128</v>
      </c>
      <c r="B123" s="15"/>
      <c r="C123" s="15"/>
      <c r="D123" s="15" t="s">
        <v>63</v>
      </c>
      <c r="E123" s="7">
        <f t="shared" ref="E123:J123" si="5">SUM(E2:E55)</f>
        <v>45636</v>
      </c>
      <c r="F123" s="7">
        <f t="shared" si="5"/>
        <v>45636</v>
      </c>
      <c r="G123" s="7">
        <f t="shared" si="5"/>
        <v>45916</v>
      </c>
      <c r="H123" s="7">
        <f t="shared" si="5"/>
        <v>47696</v>
      </c>
      <c r="I123" s="7">
        <f t="shared" si="5"/>
        <v>48671</v>
      </c>
      <c r="J123" s="7">
        <f t="shared" si="5"/>
        <v>51024</v>
      </c>
      <c r="K123" s="7">
        <f t="shared" ref="K123:P123" si="6">SUM(K2:K122)</f>
        <v>88596</v>
      </c>
      <c r="L123" s="7">
        <f t="shared" si="6"/>
        <v>16350</v>
      </c>
      <c r="M123" s="7">
        <f t="shared" si="6"/>
        <v>16350</v>
      </c>
      <c r="N123" s="7">
        <f t="shared" si="6"/>
        <v>16350</v>
      </c>
      <c r="O123" s="7">
        <f t="shared" si="6"/>
        <v>16350</v>
      </c>
      <c r="P123" s="7">
        <f t="shared" si="6"/>
        <v>65400</v>
      </c>
      <c r="Q123" s="7">
        <f t="shared" ref="Q123:X123" si="7">SUM(Q2:Q55)</f>
        <v>63704</v>
      </c>
      <c r="R123" s="7">
        <f t="shared" si="7"/>
        <v>65304</v>
      </c>
      <c r="S123" s="7">
        <f t="shared" si="7"/>
        <v>65304</v>
      </c>
      <c r="T123" s="7">
        <f t="shared" si="7"/>
        <v>65304</v>
      </c>
      <c r="U123" s="7">
        <f t="shared" si="7"/>
        <v>65304</v>
      </c>
      <c r="V123" s="7">
        <f t="shared" si="7"/>
        <v>65304</v>
      </c>
      <c r="W123" s="7">
        <f t="shared" si="7"/>
        <v>65304</v>
      </c>
      <c r="X123" s="7">
        <f t="shared" si="7"/>
        <v>65304</v>
      </c>
    </row>
    <row r="124" spans="1:24" x14ac:dyDescent="0.25">
      <c r="A124" s="16"/>
      <c r="B124" s="17"/>
      <c r="C124" s="17"/>
      <c r="D124" s="16"/>
      <c r="F124" s="16"/>
      <c r="G124" s="16"/>
      <c r="H124" s="16"/>
      <c r="I124" s="16"/>
      <c r="J124" s="16"/>
      <c r="K124" s="16"/>
      <c r="L124" s="16"/>
      <c r="M124" s="16"/>
      <c r="N124" s="16"/>
      <c r="O124" s="16"/>
      <c r="P124" s="16"/>
      <c r="Q124" s="16"/>
      <c r="R124" s="16"/>
      <c r="S124" s="16"/>
      <c r="T124" s="16"/>
      <c r="U124" s="16"/>
      <c r="V124" s="16"/>
      <c r="W124" s="16"/>
      <c r="X124" s="16"/>
    </row>
    <row r="126" spans="1:24" x14ac:dyDescent="0.25">
      <c r="E126" s="19"/>
    </row>
    <row r="130" spans="1:8" x14ac:dyDescent="0.25">
      <c r="A130" t="s">
        <v>114</v>
      </c>
      <c r="B130" t="s">
        <v>141</v>
      </c>
      <c r="D130" s="10" t="s">
        <v>74</v>
      </c>
      <c r="E130">
        <v>1300</v>
      </c>
    </row>
    <row r="131" spans="1:8" x14ac:dyDescent="0.25">
      <c r="A131" t="s">
        <v>126</v>
      </c>
      <c r="B131" t="s">
        <v>136</v>
      </c>
      <c r="D131" s="10" t="s">
        <v>74</v>
      </c>
      <c r="E131">
        <v>1700</v>
      </c>
    </row>
    <row r="132" spans="1:8" x14ac:dyDescent="0.25">
      <c r="A132" t="s">
        <v>126</v>
      </c>
      <c r="B132" t="s">
        <v>137</v>
      </c>
      <c r="D132" s="10" t="s">
        <v>74</v>
      </c>
      <c r="E132">
        <v>850</v>
      </c>
    </row>
    <row r="133" spans="1:8" x14ac:dyDescent="0.25">
      <c r="A133" t="s">
        <v>126</v>
      </c>
      <c r="B133" t="s">
        <v>137</v>
      </c>
      <c r="D133" s="10" t="s">
        <v>74</v>
      </c>
      <c r="E133">
        <v>1750</v>
      </c>
    </row>
    <row r="134" spans="1:8" x14ac:dyDescent="0.25">
      <c r="A134" t="s">
        <v>126</v>
      </c>
      <c r="B134" t="s">
        <v>137</v>
      </c>
      <c r="D134" t="s">
        <v>139</v>
      </c>
      <c r="E134">
        <v>550</v>
      </c>
    </row>
    <row r="135" spans="1:8" x14ac:dyDescent="0.25">
      <c r="A135" t="s">
        <v>126</v>
      </c>
      <c r="B135" t="s">
        <v>137</v>
      </c>
      <c r="D135" t="s">
        <v>139</v>
      </c>
      <c r="E135">
        <v>550</v>
      </c>
    </row>
    <row r="136" spans="1:8" x14ac:dyDescent="0.25">
      <c r="A136" t="s">
        <v>126</v>
      </c>
      <c r="B136" t="s">
        <v>137</v>
      </c>
      <c r="D136" t="s">
        <v>139</v>
      </c>
      <c r="E136">
        <v>450</v>
      </c>
    </row>
    <row r="137" spans="1:8" x14ac:dyDescent="0.25">
      <c r="A137" t="s">
        <v>126</v>
      </c>
      <c r="B137" t="s">
        <v>137</v>
      </c>
      <c r="D137" t="s">
        <v>139</v>
      </c>
      <c r="E137">
        <v>550</v>
      </c>
    </row>
    <row r="138" spans="1:8" x14ac:dyDescent="0.25">
      <c r="A138" t="s">
        <v>126</v>
      </c>
      <c r="B138" t="s">
        <v>137</v>
      </c>
      <c r="D138" t="s">
        <v>139</v>
      </c>
      <c r="E138">
        <v>1900</v>
      </c>
    </row>
    <row r="139" spans="1:8" x14ac:dyDescent="0.25">
      <c r="A139" t="s">
        <v>126</v>
      </c>
      <c r="B139" t="s">
        <v>137</v>
      </c>
      <c r="D139" t="s">
        <v>140</v>
      </c>
      <c r="E139">
        <v>1000</v>
      </c>
    </row>
    <row r="140" spans="1:8" x14ac:dyDescent="0.25">
      <c r="A140" t="s">
        <v>100</v>
      </c>
      <c r="B140" t="s">
        <v>143</v>
      </c>
      <c r="D140" t="s">
        <v>142</v>
      </c>
      <c r="E140">
        <v>180</v>
      </c>
    </row>
    <row r="141" spans="1:8" x14ac:dyDescent="0.25">
      <c r="A141" t="s">
        <v>100</v>
      </c>
      <c r="B141" t="s">
        <v>144</v>
      </c>
      <c r="D141" t="s">
        <v>145</v>
      </c>
      <c r="E141">
        <v>0</v>
      </c>
      <c r="F141">
        <v>0</v>
      </c>
      <c r="G141">
        <v>0</v>
      </c>
      <c r="H141">
        <v>1807</v>
      </c>
    </row>
    <row r="142" spans="1:8" x14ac:dyDescent="0.25">
      <c r="A142" t="s">
        <v>100</v>
      </c>
      <c r="B142" t="s">
        <v>148</v>
      </c>
      <c r="D142" t="s">
        <v>147</v>
      </c>
      <c r="E142">
        <v>40</v>
      </c>
      <c r="F142">
        <v>65</v>
      </c>
    </row>
    <row r="143" spans="1:8" x14ac:dyDescent="0.25">
      <c r="A143" t="s">
        <v>100</v>
      </c>
      <c r="B143" t="s">
        <v>150</v>
      </c>
      <c r="D143" t="s">
        <v>149</v>
      </c>
      <c r="E143">
        <v>45</v>
      </c>
    </row>
    <row r="144" spans="1:8" x14ac:dyDescent="0.25">
      <c r="A144" t="s">
        <v>100</v>
      </c>
      <c r="B144" t="s">
        <v>109</v>
      </c>
      <c r="D144" t="s">
        <v>151</v>
      </c>
      <c r="E144">
        <v>1600</v>
      </c>
    </row>
    <row r="145" spans="1:5" x14ac:dyDescent="0.25">
      <c r="A145" t="s">
        <v>126</v>
      </c>
      <c r="B145" t="s">
        <v>153</v>
      </c>
      <c r="D145" t="s">
        <v>152</v>
      </c>
      <c r="E145">
        <v>420</v>
      </c>
    </row>
    <row r="146" spans="1:5" x14ac:dyDescent="0.25">
      <c r="A146" t="s">
        <v>126</v>
      </c>
      <c r="B146" t="s">
        <v>155</v>
      </c>
      <c r="D146" t="s">
        <v>154</v>
      </c>
      <c r="E146">
        <v>850</v>
      </c>
    </row>
    <row r="147" spans="1:5" x14ac:dyDescent="0.25">
      <c r="A147" t="s">
        <v>126</v>
      </c>
      <c r="B147" t="s">
        <v>155</v>
      </c>
      <c r="D147" t="s">
        <v>154</v>
      </c>
      <c r="E147">
        <v>850</v>
      </c>
    </row>
    <row r="148" spans="1:5" x14ac:dyDescent="0.25">
      <c r="A148" t="s">
        <v>126</v>
      </c>
      <c r="B148" t="s">
        <v>155</v>
      </c>
      <c r="D148" t="s">
        <v>156</v>
      </c>
      <c r="E148">
        <v>790</v>
      </c>
    </row>
    <row r="149" spans="1:5" x14ac:dyDescent="0.25">
      <c r="A149" t="s">
        <v>77</v>
      </c>
      <c r="B149" t="s">
        <v>159</v>
      </c>
      <c r="D149" t="s">
        <v>158</v>
      </c>
      <c r="E149">
        <v>991</v>
      </c>
    </row>
    <row r="163" spans="4:5" x14ac:dyDescent="0.25">
      <c r="D163" s="21">
        <v>43922</v>
      </c>
      <c r="E163" t="s">
        <v>138</v>
      </c>
    </row>
  </sheetData>
  <pageMargins left="0.7" right="0.7" top="0.75" bottom="0.75" header="0.3" footer="0.3"/>
  <pageSetup orientation="portrait"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235F5B-9D4F-40AD-B686-949214E7CBD9}">
  <dimension ref="A1:V106"/>
  <sheetViews>
    <sheetView tabSelected="1" workbookViewId="0">
      <pane xSplit="1" ySplit="1" topLeftCell="B17" activePane="bottomRight" state="frozen"/>
      <selection pane="topRight" activeCell="B1" sqref="B1"/>
      <selection pane="bottomLeft" activeCell="A2" sqref="A2"/>
      <selection pane="bottomRight" activeCell="D27" sqref="D27"/>
    </sheetView>
  </sheetViews>
  <sheetFormatPr defaultRowHeight="15" x14ac:dyDescent="0.25"/>
  <cols>
    <col min="1" max="1" width="36.5703125" customWidth="1"/>
    <col min="2" max="2" width="18.28515625" bestFit="1" customWidth="1"/>
    <col min="3" max="3" width="36.7109375" bestFit="1" customWidth="1"/>
    <col min="4" max="4" width="47.28515625" bestFit="1" customWidth="1"/>
  </cols>
  <sheetData>
    <row r="1" spans="1:22" x14ac:dyDescent="0.25">
      <c r="A1" s="1" t="s">
        <v>0</v>
      </c>
      <c r="B1" s="1" t="s">
        <v>1</v>
      </c>
      <c r="C1" s="1" t="s">
        <v>2</v>
      </c>
      <c r="D1" s="1" t="s">
        <v>3</v>
      </c>
      <c r="E1" s="1">
        <v>2015</v>
      </c>
      <c r="F1" s="119">
        <v>2016</v>
      </c>
      <c r="G1" s="119">
        <v>2017</v>
      </c>
      <c r="H1" s="119">
        <v>2018</v>
      </c>
      <c r="I1" s="120">
        <v>2019</v>
      </c>
      <c r="J1" s="120">
        <v>2020</v>
      </c>
      <c r="K1" s="120" t="s">
        <v>4</v>
      </c>
      <c r="L1" s="120" t="s">
        <v>9</v>
      </c>
      <c r="M1" s="120" t="s">
        <v>10</v>
      </c>
      <c r="N1" s="120" t="s">
        <v>11</v>
      </c>
      <c r="O1" s="120" t="s">
        <v>12</v>
      </c>
      <c r="P1" s="120" t="s">
        <v>13</v>
      </c>
      <c r="Q1" s="120" t="s">
        <v>14</v>
      </c>
      <c r="R1" s="120" t="s">
        <v>15</v>
      </c>
      <c r="S1" s="120" t="s">
        <v>16</v>
      </c>
      <c r="T1" s="120" t="s">
        <v>17</v>
      </c>
      <c r="U1" s="121" t="s">
        <v>293</v>
      </c>
      <c r="V1" s="121" t="s">
        <v>294</v>
      </c>
    </row>
    <row r="2" spans="1:22" x14ac:dyDescent="0.25">
      <c r="A2" s="122" t="s">
        <v>100</v>
      </c>
      <c r="B2" s="122" t="s">
        <v>101</v>
      </c>
      <c r="C2" s="70" t="s">
        <v>190</v>
      </c>
      <c r="D2" s="123" t="s">
        <v>146</v>
      </c>
      <c r="E2" s="124">
        <v>1300</v>
      </c>
      <c r="F2" s="124">
        <v>1300</v>
      </c>
      <c r="G2" s="124">
        <v>1300</v>
      </c>
      <c r="H2" s="124">
        <v>1300</v>
      </c>
      <c r="I2" s="124">
        <v>1300</v>
      </c>
      <c r="J2" s="124">
        <v>1300</v>
      </c>
      <c r="K2" s="124">
        <v>1300</v>
      </c>
      <c r="L2" s="124">
        <v>1300</v>
      </c>
      <c r="M2" s="124">
        <v>1700</v>
      </c>
      <c r="N2" s="124">
        <v>1700</v>
      </c>
      <c r="O2" s="124">
        <v>1700</v>
      </c>
      <c r="P2" s="124">
        <v>1700</v>
      </c>
      <c r="Q2" s="124">
        <v>1700</v>
      </c>
      <c r="R2" s="124">
        <v>1700</v>
      </c>
      <c r="S2" s="124">
        <v>1700</v>
      </c>
      <c r="T2" s="124">
        <v>1700</v>
      </c>
      <c r="U2" s="124">
        <v>1700</v>
      </c>
      <c r="V2" s="124">
        <v>1700</v>
      </c>
    </row>
    <row r="3" spans="1:22" x14ac:dyDescent="0.25">
      <c r="A3" s="122" t="s">
        <v>100</v>
      </c>
      <c r="B3" s="122" t="s">
        <v>101</v>
      </c>
      <c r="C3" s="122" t="s">
        <v>193</v>
      </c>
      <c r="D3" s="122" t="s">
        <v>104</v>
      </c>
      <c r="E3" s="122">
        <v>0</v>
      </c>
      <c r="F3" s="122">
        <v>0</v>
      </c>
      <c r="G3" s="122">
        <v>0</v>
      </c>
      <c r="H3" s="122">
        <v>0</v>
      </c>
      <c r="I3" s="122">
        <v>0</v>
      </c>
      <c r="J3" s="122">
        <v>0</v>
      </c>
      <c r="K3" s="122">
        <v>0</v>
      </c>
      <c r="L3" s="122">
        <v>200</v>
      </c>
      <c r="M3" s="122">
        <v>200</v>
      </c>
      <c r="N3" s="122">
        <v>200</v>
      </c>
      <c r="O3" s="122">
        <v>200</v>
      </c>
      <c r="P3" s="122">
        <v>200</v>
      </c>
      <c r="Q3" s="122">
        <v>200</v>
      </c>
      <c r="R3" s="122">
        <v>200</v>
      </c>
      <c r="S3" s="122">
        <v>200</v>
      </c>
      <c r="T3" s="122">
        <v>200</v>
      </c>
      <c r="U3" s="122">
        <v>200</v>
      </c>
      <c r="V3" s="122">
        <v>200</v>
      </c>
    </row>
    <row r="4" spans="1:22" x14ac:dyDescent="0.25">
      <c r="A4" s="122" t="s">
        <v>100</v>
      </c>
      <c r="B4" s="125" t="s">
        <v>101</v>
      </c>
      <c r="C4" s="70" t="s">
        <v>189</v>
      </c>
      <c r="D4" s="122" t="s">
        <v>74</v>
      </c>
      <c r="E4" s="126">
        <v>2000</v>
      </c>
      <c r="F4" s="126">
        <v>2000</v>
      </c>
      <c r="G4" s="126">
        <v>2000</v>
      </c>
      <c r="H4" s="126">
        <v>2000</v>
      </c>
      <c r="I4" s="126">
        <v>2000</v>
      </c>
      <c r="J4" s="126">
        <v>2000</v>
      </c>
      <c r="K4" s="126">
        <v>2200</v>
      </c>
      <c r="L4" s="126">
        <v>2200</v>
      </c>
      <c r="M4" s="126">
        <f>2200+1800</f>
        <v>4000</v>
      </c>
      <c r="N4" s="126">
        <f t="shared" ref="N4:V4" si="0">2200+1800</f>
        <v>4000</v>
      </c>
      <c r="O4" s="126">
        <f t="shared" si="0"/>
        <v>4000</v>
      </c>
      <c r="P4" s="126">
        <f t="shared" si="0"/>
        <v>4000</v>
      </c>
      <c r="Q4" s="126">
        <f t="shared" si="0"/>
        <v>4000</v>
      </c>
      <c r="R4" s="126">
        <f t="shared" si="0"/>
        <v>4000</v>
      </c>
      <c r="S4" s="126">
        <f t="shared" si="0"/>
        <v>4000</v>
      </c>
      <c r="T4" s="126">
        <f t="shared" si="0"/>
        <v>4000</v>
      </c>
      <c r="U4" s="126">
        <f t="shared" si="0"/>
        <v>4000</v>
      </c>
      <c r="V4" s="126">
        <f t="shared" si="0"/>
        <v>4000</v>
      </c>
    </row>
    <row r="5" spans="1:22" x14ac:dyDescent="0.25">
      <c r="A5" s="122" t="s">
        <v>100</v>
      </c>
      <c r="B5" s="122" t="s">
        <v>101</v>
      </c>
      <c r="C5" s="70" t="s">
        <v>190</v>
      </c>
      <c r="D5" s="122" t="s">
        <v>106</v>
      </c>
      <c r="E5" s="122">
        <v>780</v>
      </c>
      <c r="F5" s="122">
        <v>780</v>
      </c>
      <c r="G5" s="122">
        <v>780</v>
      </c>
      <c r="H5" s="122">
        <v>780</v>
      </c>
      <c r="I5" s="122">
        <v>780</v>
      </c>
      <c r="J5" s="122">
        <v>780</v>
      </c>
      <c r="K5" s="122">
        <v>780</v>
      </c>
      <c r="L5" s="122">
        <v>780</v>
      </c>
      <c r="M5" s="122">
        <v>780</v>
      </c>
      <c r="N5" s="122">
        <v>780</v>
      </c>
      <c r="O5" s="122">
        <v>780</v>
      </c>
      <c r="P5" s="122">
        <v>780</v>
      </c>
      <c r="Q5" s="122">
        <v>780</v>
      </c>
      <c r="R5" s="122">
        <v>780</v>
      </c>
      <c r="S5" s="122">
        <v>780</v>
      </c>
      <c r="T5" s="122">
        <v>780</v>
      </c>
      <c r="U5" s="122">
        <v>780</v>
      </c>
      <c r="V5" s="122">
        <v>780</v>
      </c>
    </row>
    <row r="6" spans="1:22" x14ac:dyDescent="0.25">
      <c r="A6" s="122" t="s">
        <v>100</v>
      </c>
      <c r="B6" s="122" t="s">
        <v>101</v>
      </c>
      <c r="C6" s="70" t="s">
        <v>190</v>
      </c>
      <c r="D6" s="123" t="s">
        <v>157</v>
      </c>
      <c r="E6" s="123">
        <v>879</v>
      </c>
      <c r="F6" s="123">
        <v>879</v>
      </c>
      <c r="G6" s="123">
        <v>879</v>
      </c>
      <c r="H6" s="123">
        <v>879</v>
      </c>
      <c r="I6" s="123">
        <v>1004</v>
      </c>
      <c r="J6" s="122">
        <v>1004</v>
      </c>
      <c r="K6" s="122">
        <v>1004</v>
      </c>
      <c r="L6" s="122">
        <v>1004</v>
      </c>
      <c r="M6" s="122">
        <v>1004</v>
      </c>
      <c r="N6" s="122">
        <v>1004</v>
      </c>
      <c r="O6" s="122">
        <v>1004</v>
      </c>
      <c r="P6" s="122">
        <v>1004</v>
      </c>
      <c r="Q6" s="122">
        <v>1004</v>
      </c>
      <c r="R6" s="122">
        <v>1004</v>
      </c>
      <c r="S6" s="122">
        <v>1004</v>
      </c>
      <c r="T6" s="122">
        <v>1004</v>
      </c>
      <c r="U6" s="122">
        <v>1004</v>
      </c>
      <c r="V6" s="122">
        <v>1004</v>
      </c>
    </row>
    <row r="7" spans="1:22" x14ac:dyDescent="0.25">
      <c r="A7" s="122" t="s">
        <v>100</v>
      </c>
      <c r="B7" s="122" t="s">
        <v>101</v>
      </c>
      <c r="C7" s="122" t="s">
        <v>192</v>
      </c>
      <c r="D7" s="122" t="s">
        <v>108</v>
      </c>
      <c r="E7" s="122">
        <v>195</v>
      </c>
      <c r="F7" s="122">
        <v>195</v>
      </c>
      <c r="G7" s="122">
        <v>195</v>
      </c>
      <c r="H7" s="122">
        <v>195</v>
      </c>
      <c r="I7" s="122">
        <v>195</v>
      </c>
      <c r="J7" s="122">
        <v>195</v>
      </c>
      <c r="K7" s="122">
        <v>195</v>
      </c>
      <c r="L7" s="122">
        <v>195</v>
      </c>
      <c r="M7" s="122">
        <v>195</v>
      </c>
      <c r="N7" s="122">
        <v>195</v>
      </c>
      <c r="O7" s="122">
        <v>195</v>
      </c>
      <c r="P7" s="122">
        <v>195</v>
      </c>
      <c r="Q7" s="122">
        <v>195</v>
      </c>
      <c r="R7" s="122">
        <v>195</v>
      </c>
      <c r="S7" s="122">
        <v>195</v>
      </c>
      <c r="T7" s="122">
        <v>195</v>
      </c>
      <c r="U7" s="122">
        <v>195</v>
      </c>
      <c r="V7" s="122">
        <v>195</v>
      </c>
    </row>
    <row r="8" spans="1:22" x14ac:dyDescent="0.25">
      <c r="A8" s="122" t="s">
        <v>100</v>
      </c>
      <c r="B8" s="122" t="s">
        <v>101</v>
      </c>
      <c r="C8" s="70" t="s">
        <v>188</v>
      </c>
      <c r="D8" s="122" t="s">
        <v>110</v>
      </c>
      <c r="E8" s="122">
        <v>0</v>
      </c>
      <c r="F8" s="122">
        <v>0</v>
      </c>
      <c r="G8" s="122">
        <v>0</v>
      </c>
      <c r="H8" s="122">
        <v>850</v>
      </c>
      <c r="I8" s="122">
        <v>1700</v>
      </c>
      <c r="J8" s="122">
        <v>1700</v>
      </c>
      <c r="K8" s="122">
        <v>1700</v>
      </c>
      <c r="L8" s="122">
        <v>1700</v>
      </c>
      <c r="M8" s="122">
        <v>1700</v>
      </c>
      <c r="N8" s="122">
        <v>1700</v>
      </c>
      <c r="O8" s="122">
        <v>1700</v>
      </c>
      <c r="P8" s="122">
        <v>1700</v>
      </c>
      <c r="Q8" s="122">
        <v>1700</v>
      </c>
      <c r="R8" s="122">
        <v>1700</v>
      </c>
      <c r="S8" s="122">
        <v>1700</v>
      </c>
      <c r="T8" s="122">
        <v>1700</v>
      </c>
      <c r="U8" s="122">
        <v>1700</v>
      </c>
      <c r="V8" s="122">
        <v>1700</v>
      </c>
    </row>
    <row r="9" spans="1:22" x14ac:dyDescent="0.25">
      <c r="A9" s="122" t="s">
        <v>100</v>
      </c>
      <c r="B9" s="125" t="s">
        <v>111</v>
      </c>
      <c r="C9" s="122" t="s">
        <v>191</v>
      </c>
      <c r="D9" s="124" t="s">
        <v>74</v>
      </c>
      <c r="E9" s="124">
        <v>600</v>
      </c>
      <c r="F9" s="124">
        <v>600</v>
      </c>
      <c r="G9" s="124">
        <v>600</v>
      </c>
      <c r="H9" s="124">
        <v>600</v>
      </c>
      <c r="I9" s="124">
        <v>600</v>
      </c>
      <c r="J9" s="124">
        <v>600</v>
      </c>
      <c r="K9" s="124">
        <v>640</v>
      </c>
      <c r="L9" s="124">
        <v>640</v>
      </c>
      <c r="M9" s="124">
        <v>640</v>
      </c>
      <c r="N9" s="124">
        <v>640</v>
      </c>
      <c r="O9" s="124">
        <v>640</v>
      </c>
      <c r="P9" s="124">
        <v>640</v>
      </c>
      <c r="Q9" s="124">
        <v>640</v>
      </c>
      <c r="R9" s="124">
        <v>640</v>
      </c>
      <c r="S9" s="124">
        <v>640</v>
      </c>
      <c r="T9" s="124">
        <v>640</v>
      </c>
      <c r="U9" s="124">
        <v>640</v>
      </c>
      <c r="V9" s="124">
        <v>640</v>
      </c>
    </row>
    <row r="10" spans="1:22" x14ac:dyDescent="0.25">
      <c r="A10" s="122" t="s">
        <v>100</v>
      </c>
      <c r="B10" s="122" t="s">
        <v>111</v>
      </c>
      <c r="C10" s="122" t="s">
        <v>191</v>
      </c>
      <c r="D10" s="122" t="s">
        <v>113</v>
      </c>
      <c r="E10" s="122">
        <v>0</v>
      </c>
      <c r="F10" s="122">
        <v>0</v>
      </c>
      <c r="G10" s="122">
        <v>0</v>
      </c>
      <c r="H10" s="122">
        <v>0</v>
      </c>
      <c r="I10" s="122">
        <v>0</v>
      </c>
      <c r="J10" s="122">
        <v>0</v>
      </c>
      <c r="K10" s="122">
        <v>0</v>
      </c>
      <c r="L10" s="122">
        <v>0</v>
      </c>
      <c r="M10" s="122">
        <v>3400</v>
      </c>
      <c r="N10" s="122">
        <v>3400</v>
      </c>
      <c r="O10" s="122">
        <v>3400</v>
      </c>
      <c r="P10" s="122">
        <v>3400</v>
      </c>
      <c r="Q10" s="122">
        <v>3400</v>
      </c>
      <c r="R10" s="122">
        <v>3400</v>
      </c>
      <c r="S10" s="122">
        <v>3400</v>
      </c>
      <c r="T10" s="122">
        <v>3400</v>
      </c>
      <c r="U10" s="122">
        <v>3400</v>
      </c>
      <c r="V10" s="122">
        <v>3400</v>
      </c>
    </row>
    <row r="11" spans="1:22" x14ac:dyDescent="0.25">
      <c r="A11" s="70" t="s">
        <v>100</v>
      </c>
      <c r="B11" s="70" t="s">
        <v>338</v>
      </c>
      <c r="C11" s="70" t="s">
        <v>143</v>
      </c>
      <c r="D11" s="70" t="s">
        <v>142</v>
      </c>
      <c r="E11" s="70">
        <v>180</v>
      </c>
      <c r="F11" s="70">
        <v>180</v>
      </c>
      <c r="G11" s="70">
        <v>180</v>
      </c>
      <c r="H11" s="70">
        <v>180</v>
      </c>
      <c r="I11" s="70">
        <v>180</v>
      </c>
      <c r="J11" s="70">
        <v>180</v>
      </c>
      <c r="K11" s="70">
        <v>180</v>
      </c>
      <c r="L11" s="70">
        <v>180</v>
      </c>
      <c r="M11" s="70">
        <v>180</v>
      </c>
      <c r="N11" s="70">
        <v>180</v>
      </c>
      <c r="O11" s="70">
        <v>180</v>
      </c>
      <c r="P11" s="70">
        <v>180</v>
      </c>
      <c r="Q11" s="70">
        <v>180</v>
      </c>
      <c r="R11" s="70">
        <v>180</v>
      </c>
      <c r="S11" s="70">
        <v>180</v>
      </c>
      <c r="T11" s="70">
        <v>180</v>
      </c>
      <c r="U11" s="70">
        <v>180</v>
      </c>
      <c r="V11" s="70">
        <v>180</v>
      </c>
    </row>
    <row r="12" spans="1:22" x14ac:dyDescent="0.25">
      <c r="A12" s="70" t="s">
        <v>100</v>
      </c>
      <c r="B12" s="70" t="s">
        <v>101</v>
      </c>
      <c r="C12" s="70" t="s">
        <v>190</v>
      </c>
      <c r="D12" s="70" t="s">
        <v>145</v>
      </c>
      <c r="E12" s="70">
        <v>0</v>
      </c>
      <c r="F12" s="70">
        <v>0</v>
      </c>
      <c r="G12" s="70">
        <v>0</v>
      </c>
      <c r="H12" s="70">
        <v>1807</v>
      </c>
      <c r="I12" s="70">
        <v>1807</v>
      </c>
      <c r="J12" s="70">
        <v>1807</v>
      </c>
      <c r="K12" s="70">
        <v>1807</v>
      </c>
      <c r="L12" s="70">
        <v>1807</v>
      </c>
      <c r="M12" s="70">
        <v>1807</v>
      </c>
      <c r="N12" s="70">
        <v>1807</v>
      </c>
      <c r="O12" s="70">
        <v>1807</v>
      </c>
      <c r="P12" s="70">
        <v>1807</v>
      </c>
      <c r="Q12" s="70">
        <v>1807</v>
      </c>
      <c r="R12" s="70">
        <v>1807</v>
      </c>
      <c r="S12" s="70">
        <v>1807</v>
      </c>
      <c r="T12" s="70">
        <v>1807</v>
      </c>
      <c r="U12" s="70">
        <v>1807</v>
      </c>
      <c r="V12" s="70">
        <v>1807</v>
      </c>
    </row>
    <row r="13" spans="1:22" x14ac:dyDescent="0.25">
      <c r="A13" s="70" t="s">
        <v>100</v>
      </c>
      <c r="B13" s="70" t="s">
        <v>101</v>
      </c>
      <c r="C13" s="70" t="s">
        <v>190</v>
      </c>
      <c r="D13" s="70" t="s">
        <v>147</v>
      </c>
      <c r="E13" s="70">
        <v>40</v>
      </c>
      <c r="F13" s="70">
        <v>65</v>
      </c>
      <c r="G13" s="70">
        <v>65</v>
      </c>
      <c r="H13" s="70">
        <v>65</v>
      </c>
      <c r="I13" s="70">
        <v>65</v>
      </c>
      <c r="J13" s="70">
        <v>65</v>
      </c>
      <c r="K13" s="70">
        <v>65</v>
      </c>
      <c r="L13" s="70">
        <v>65</v>
      </c>
      <c r="M13" s="70">
        <v>65</v>
      </c>
      <c r="N13" s="70">
        <v>65</v>
      </c>
      <c r="O13" s="70">
        <v>65</v>
      </c>
      <c r="P13" s="70">
        <v>65</v>
      </c>
      <c r="Q13" s="70">
        <v>65</v>
      </c>
      <c r="R13" s="70">
        <v>65</v>
      </c>
      <c r="S13" s="70">
        <v>65</v>
      </c>
      <c r="T13" s="70">
        <v>65</v>
      </c>
      <c r="U13" s="70">
        <v>65</v>
      </c>
      <c r="V13" s="70">
        <v>65</v>
      </c>
    </row>
    <row r="14" spans="1:22" x14ac:dyDescent="0.25">
      <c r="A14" s="70" t="s">
        <v>100</v>
      </c>
      <c r="B14" s="70" t="s">
        <v>101</v>
      </c>
      <c r="C14" s="70" t="s">
        <v>189</v>
      </c>
      <c r="D14" s="70" t="s">
        <v>149</v>
      </c>
      <c r="E14" s="70">
        <v>45</v>
      </c>
      <c r="F14" s="70">
        <v>45</v>
      </c>
      <c r="G14" s="70">
        <v>45</v>
      </c>
      <c r="H14" s="70">
        <v>45</v>
      </c>
      <c r="I14" s="70">
        <v>45</v>
      </c>
      <c r="J14" s="70">
        <v>45</v>
      </c>
      <c r="K14" s="70">
        <v>45</v>
      </c>
      <c r="L14" s="70">
        <v>45</v>
      </c>
      <c r="M14" s="70">
        <v>45</v>
      </c>
      <c r="N14" s="70">
        <v>45</v>
      </c>
      <c r="O14" s="70">
        <v>45</v>
      </c>
      <c r="P14" s="70">
        <v>45</v>
      </c>
      <c r="Q14" s="70">
        <v>45</v>
      </c>
      <c r="R14" s="70">
        <v>45</v>
      </c>
      <c r="S14" s="70">
        <v>45</v>
      </c>
      <c r="T14" s="70">
        <v>45</v>
      </c>
      <c r="U14" s="70">
        <v>45</v>
      </c>
      <c r="V14" s="70">
        <v>45</v>
      </c>
    </row>
    <row r="15" spans="1:22" x14ac:dyDescent="0.25">
      <c r="A15" s="70" t="s">
        <v>100</v>
      </c>
      <c r="B15" s="70" t="s">
        <v>101</v>
      </c>
      <c r="C15" s="70" t="s">
        <v>188</v>
      </c>
      <c r="D15" s="70" t="s">
        <v>151</v>
      </c>
      <c r="E15" s="70">
        <v>1600</v>
      </c>
      <c r="F15" s="70">
        <v>1600</v>
      </c>
      <c r="G15" s="70">
        <v>1600</v>
      </c>
      <c r="H15" s="70">
        <v>1600</v>
      </c>
      <c r="I15" s="70">
        <v>1600</v>
      </c>
      <c r="J15" s="70">
        <v>1600</v>
      </c>
      <c r="K15" s="70">
        <v>1600</v>
      </c>
      <c r="L15" s="70">
        <v>1600</v>
      </c>
      <c r="M15" s="70">
        <v>1600</v>
      </c>
      <c r="N15" s="70">
        <v>1600</v>
      </c>
      <c r="O15" s="70">
        <v>1600</v>
      </c>
      <c r="P15" s="70">
        <v>1600</v>
      </c>
      <c r="Q15" s="70">
        <v>1600</v>
      </c>
      <c r="R15" s="70">
        <v>1600</v>
      </c>
      <c r="S15" s="70">
        <v>1600</v>
      </c>
      <c r="T15" s="70">
        <v>1600</v>
      </c>
      <c r="U15" s="70">
        <v>1600</v>
      </c>
      <c r="V15" s="70">
        <v>1600</v>
      </c>
    </row>
    <row r="16" spans="1:22" x14ac:dyDescent="0.25">
      <c r="A16" s="70" t="s">
        <v>126</v>
      </c>
      <c r="B16" s="70" t="s">
        <v>136</v>
      </c>
      <c r="C16" s="70" t="s">
        <v>194</v>
      </c>
      <c r="D16" s="122" t="s">
        <v>74</v>
      </c>
      <c r="E16" s="70">
        <v>1700</v>
      </c>
      <c r="F16" s="70">
        <v>1700</v>
      </c>
      <c r="G16" s="70">
        <v>1700</v>
      </c>
      <c r="H16" s="70">
        <v>1700</v>
      </c>
      <c r="I16" s="70">
        <v>1700</v>
      </c>
      <c r="J16" s="70">
        <v>1700</v>
      </c>
      <c r="K16" s="70">
        <v>1700</v>
      </c>
      <c r="L16" s="70">
        <v>1700</v>
      </c>
      <c r="M16" s="70">
        <v>1700</v>
      </c>
      <c r="N16" s="70">
        <v>1700</v>
      </c>
      <c r="O16" s="70">
        <v>1700</v>
      </c>
      <c r="P16" s="70">
        <v>1700</v>
      </c>
      <c r="Q16" s="70">
        <v>1700</v>
      </c>
      <c r="R16" s="70">
        <v>1700</v>
      </c>
      <c r="S16" s="70">
        <v>1700</v>
      </c>
      <c r="T16" s="70">
        <v>1700</v>
      </c>
      <c r="U16" s="70">
        <v>1700</v>
      </c>
      <c r="V16" s="70">
        <v>1700</v>
      </c>
    </row>
    <row r="17" spans="1:22" x14ac:dyDescent="0.25">
      <c r="A17" s="70" t="s">
        <v>126</v>
      </c>
      <c r="B17" s="70" t="s">
        <v>137</v>
      </c>
      <c r="C17" s="70" t="s">
        <v>195</v>
      </c>
      <c r="D17" s="122" t="s">
        <v>74</v>
      </c>
      <c r="E17" s="70">
        <v>850</v>
      </c>
      <c r="F17" s="70">
        <v>850</v>
      </c>
      <c r="G17" s="70">
        <v>850</v>
      </c>
      <c r="H17" s="70">
        <v>850</v>
      </c>
      <c r="I17" s="70">
        <v>850</v>
      </c>
      <c r="J17" s="70">
        <v>850</v>
      </c>
      <c r="K17" s="70">
        <v>850</v>
      </c>
      <c r="L17" s="70">
        <v>850</v>
      </c>
      <c r="M17" s="70">
        <v>850</v>
      </c>
      <c r="N17" s="70">
        <v>850</v>
      </c>
      <c r="O17" s="70">
        <v>850</v>
      </c>
      <c r="P17" s="70">
        <v>850</v>
      </c>
      <c r="Q17" s="70">
        <v>850</v>
      </c>
      <c r="R17" s="70">
        <v>850</v>
      </c>
      <c r="S17" s="70">
        <v>850</v>
      </c>
      <c r="T17" s="70">
        <v>850</v>
      </c>
      <c r="U17" s="70">
        <v>850</v>
      </c>
      <c r="V17" s="70">
        <v>850</v>
      </c>
    </row>
    <row r="18" spans="1:22" x14ac:dyDescent="0.25">
      <c r="A18" s="70" t="s">
        <v>126</v>
      </c>
      <c r="B18" s="70" t="s">
        <v>137</v>
      </c>
      <c r="C18" s="70" t="s">
        <v>195</v>
      </c>
      <c r="D18" s="122" t="s">
        <v>74</v>
      </c>
      <c r="E18" s="70">
        <v>1750</v>
      </c>
      <c r="F18" s="70">
        <v>1750</v>
      </c>
      <c r="G18" s="70">
        <v>1750</v>
      </c>
      <c r="H18" s="70">
        <v>1750</v>
      </c>
      <c r="I18" s="70">
        <v>1750</v>
      </c>
      <c r="J18" s="70">
        <v>1750</v>
      </c>
      <c r="K18" s="70">
        <v>1750</v>
      </c>
      <c r="L18" s="70">
        <v>1750</v>
      </c>
      <c r="M18" s="70">
        <v>1750</v>
      </c>
      <c r="N18" s="70">
        <v>1750</v>
      </c>
      <c r="O18" s="70">
        <v>1750</v>
      </c>
      <c r="P18" s="70">
        <v>1750</v>
      </c>
      <c r="Q18" s="70">
        <v>1750</v>
      </c>
      <c r="R18" s="70">
        <v>1750</v>
      </c>
      <c r="S18" s="70">
        <v>1750</v>
      </c>
      <c r="T18" s="70">
        <v>1750</v>
      </c>
      <c r="U18" s="70">
        <v>1750</v>
      </c>
      <c r="V18" s="70">
        <v>1750</v>
      </c>
    </row>
    <row r="19" spans="1:22" x14ac:dyDescent="0.25">
      <c r="A19" s="70" t="s">
        <v>126</v>
      </c>
      <c r="B19" s="70" t="s">
        <v>137</v>
      </c>
      <c r="C19" s="70" t="s">
        <v>195</v>
      </c>
      <c r="D19" s="70" t="s">
        <v>139</v>
      </c>
      <c r="E19" s="70">
        <v>550</v>
      </c>
      <c r="F19" s="70">
        <v>550</v>
      </c>
      <c r="G19" s="70">
        <v>550</v>
      </c>
      <c r="H19" s="70">
        <v>550</v>
      </c>
      <c r="I19" s="70">
        <v>550</v>
      </c>
      <c r="J19" s="70">
        <v>550</v>
      </c>
      <c r="K19" s="70">
        <v>550</v>
      </c>
      <c r="L19" s="70">
        <v>550</v>
      </c>
      <c r="M19" s="70">
        <v>550</v>
      </c>
      <c r="N19" s="70">
        <v>550</v>
      </c>
      <c r="O19" s="70">
        <v>550</v>
      </c>
      <c r="P19" s="70">
        <v>550</v>
      </c>
      <c r="Q19" s="70">
        <v>550</v>
      </c>
      <c r="R19" s="70">
        <v>550</v>
      </c>
      <c r="S19" s="70">
        <v>550</v>
      </c>
      <c r="T19" s="70">
        <v>550</v>
      </c>
      <c r="U19" s="70">
        <v>550</v>
      </c>
      <c r="V19" s="70">
        <v>550</v>
      </c>
    </row>
    <row r="20" spans="1:22" x14ac:dyDescent="0.25">
      <c r="A20" s="70" t="s">
        <v>126</v>
      </c>
      <c r="B20" s="70" t="s">
        <v>137</v>
      </c>
      <c r="C20" s="70" t="s">
        <v>195</v>
      </c>
      <c r="D20" s="70" t="s">
        <v>139</v>
      </c>
      <c r="E20" s="70">
        <v>550</v>
      </c>
      <c r="F20" s="70">
        <v>550</v>
      </c>
      <c r="G20" s="70">
        <v>550</v>
      </c>
      <c r="H20" s="70">
        <v>550</v>
      </c>
      <c r="I20" s="70">
        <v>550</v>
      </c>
      <c r="J20" s="70">
        <v>550</v>
      </c>
      <c r="K20" s="70">
        <v>550</v>
      </c>
      <c r="L20" s="70">
        <v>550</v>
      </c>
      <c r="M20" s="70">
        <v>550</v>
      </c>
      <c r="N20" s="70">
        <v>550</v>
      </c>
      <c r="O20" s="70">
        <v>550</v>
      </c>
      <c r="P20" s="70">
        <v>550</v>
      </c>
      <c r="Q20" s="70">
        <v>550</v>
      </c>
      <c r="R20" s="70">
        <v>550</v>
      </c>
      <c r="S20" s="70">
        <v>550</v>
      </c>
      <c r="T20" s="70">
        <v>550</v>
      </c>
      <c r="U20" s="70">
        <v>550</v>
      </c>
      <c r="V20" s="70">
        <v>550</v>
      </c>
    </row>
    <row r="21" spans="1:22" x14ac:dyDescent="0.25">
      <c r="A21" s="70" t="s">
        <v>126</v>
      </c>
      <c r="B21" s="70" t="s">
        <v>137</v>
      </c>
      <c r="C21" s="70" t="s">
        <v>195</v>
      </c>
      <c r="D21" s="70" t="s">
        <v>139</v>
      </c>
      <c r="E21" s="70">
        <v>450</v>
      </c>
      <c r="F21" s="70">
        <v>450</v>
      </c>
      <c r="G21" s="70">
        <v>450</v>
      </c>
      <c r="H21" s="70">
        <v>450</v>
      </c>
      <c r="I21" s="70">
        <v>450</v>
      </c>
      <c r="J21" s="70">
        <v>450</v>
      </c>
      <c r="K21" s="70">
        <v>450</v>
      </c>
      <c r="L21" s="70">
        <v>450</v>
      </c>
      <c r="M21" s="70">
        <v>450</v>
      </c>
      <c r="N21" s="70">
        <v>450</v>
      </c>
      <c r="O21" s="70">
        <v>450</v>
      </c>
      <c r="P21" s="70">
        <v>450</v>
      </c>
      <c r="Q21" s="70">
        <v>450</v>
      </c>
      <c r="R21" s="70">
        <v>450</v>
      </c>
      <c r="S21" s="70">
        <v>450</v>
      </c>
      <c r="T21" s="70">
        <v>450</v>
      </c>
      <c r="U21" s="70">
        <v>450</v>
      </c>
      <c r="V21" s="70">
        <v>450</v>
      </c>
    </row>
    <row r="22" spans="1:22" x14ac:dyDescent="0.25">
      <c r="A22" s="70" t="s">
        <v>126</v>
      </c>
      <c r="B22" s="70" t="s">
        <v>137</v>
      </c>
      <c r="C22" s="70" t="s">
        <v>195</v>
      </c>
      <c r="D22" s="70" t="s">
        <v>139</v>
      </c>
      <c r="E22" s="70">
        <v>550</v>
      </c>
      <c r="F22" s="70">
        <v>550</v>
      </c>
      <c r="G22" s="70">
        <v>550</v>
      </c>
      <c r="H22" s="70">
        <v>550</v>
      </c>
      <c r="I22" s="70">
        <v>550</v>
      </c>
      <c r="J22" s="70">
        <v>550</v>
      </c>
      <c r="K22" s="70">
        <v>550</v>
      </c>
      <c r="L22" s="70">
        <v>550</v>
      </c>
      <c r="M22" s="70">
        <v>550</v>
      </c>
      <c r="N22" s="70">
        <v>550</v>
      </c>
      <c r="O22" s="70">
        <v>550</v>
      </c>
      <c r="P22" s="70">
        <v>550</v>
      </c>
      <c r="Q22" s="70">
        <v>550</v>
      </c>
      <c r="R22" s="70">
        <v>550</v>
      </c>
      <c r="S22" s="70">
        <v>550</v>
      </c>
      <c r="T22" s="70">
        <v>550</v>
      </c>
      <c r="U22" s="70">
        <v>550</v>
      </c>
      <c r="V22" s="70">
        <v>550</v>
      </c>
    </row>
    <row r="23" spans="1:22" x14ac:dyDescent="0.25">
      <c r="A23" s="70" t="s">
        <v>126</v>
      </c>
      <c r="B23" s="70" t="s">
        <v>137</v>
      </c>
      <c r="C23" s="70" t="s">
        <v>195</v>
      </c>
      <c r="D23" s="70" t="s">
        <v>139</v>
      </c>
      <c r="E23" s="70">
        <v>1900</v>
      </c>
      <c r="F23" s="70">
        <v>1900</v>
      </c>
      <c r="G23" s="70">
        <v>1900</v>
      </c>
      <c r="H23" s="70">
        <v>1900</v>
      </c>
      <c r="I23" s="70">
        <v>1900</v>
      </c>
      <c r="J23" s="70">
        <v>1900</v>
      </c>
      <c r="K23" s="70">
        <v>1900</v>
      </c>
      <c r="L23" s="70">
        <v>1900</v>
      </c>
      <c r="M23" s="70">
        <v>1900</v>
      </c>
      <c r="N23" s="70">
        <v>1900</v>
      </c>
      <c r="O23" s="70">
        <v>1900</v>
      </c>
      <c r="P23" s="70">
        <v>1900</v>
      </c>
      <c r="Q23" s="70">
        <v>1900</v>
      </c>
      <c r="R23" s="70">
        <v>1900</v>
      </c>
      <c r="S23" s="70">
        <v>1900</v>
      </c>
      <c r="T23" s="70">
        <v>1900</v>
      </c>
      <c r="U23" s="70">
        <v>1900</v>
      </c>
      <c r="V23" s="70">
        <v>1900</v>
      </c>
    </row>
    <row r="24" spans="1:22" x14ac:dyDescent="0.25">
      <c r="A24" s="70" t="s">
        <v>126</v>
      </c>
      <c r="B24" s="70" t="s">
        <v>137</v>
      </c>
      <c r="C24" s="70" t="s">
        <v>195</v>
      </c>
      <c r="D24" s="70" t="s">
        <v>140</v>
      </c>
      <c r="E24" s="70">
        <v>1000</v>
      </c>
      <c r="F24" s="70">
        <v>1000</v>
      </c>
      <c r="G24" s="70">
        <v>1000</v>
      </c>
      <c r="H24" s="70">
        <v>1000</v>
      </c>
      <c r="I24" s="70">
        <v>1000</v>
      </c>
      <c r="J24" s="70">
        <v>1000</v>
      </c>
      <c r="K24" s="70">
        <v>1000</v>
      </c>
      <c r="L24" s="70">
        <v>1000</v>
      </c>
      <c r="M24" s="70">
        <v>1000</v>
      </c>
      <c r="N24" s="70">
        <v>1000</v>
      </c>
      <c r="O24" s="70">
        <v>1000</v>
      </c>
      <c r="P24" s="70">
        <v>1000</v>
      </c>
      <c r="Q24" s="70">
        <v>1000</v>
      </c>
      <c r="R24" s="70">
        <v>1000</v>
      </c>
      <c r="S24" s="70">
        <v>1000</v>
      </c>
      <c r="T24" s="70">
        <v>1000</v>
      </c>
      <c r="U24" s="70">
        <v>1000</v>
      </c>
      <c r="V24" s="70">
        <v>1000</v>
      </c>
    </row>
    <row r="25" spans="1:22" x14ac:dyDescent="0.25">
      <c r="A25" s="70" t="s">
        <v>126</v>
      </c>
      <c r="B25" s="70" t="s">
        <v>153</v>
      </c>
      <c r="C25" s="70" t="s">
        <v>196</v>
      </c>
      <c r="D25" s="70" t="s">
        <v>152</v>
      </c>
      <c r="E25" s="70">
        <v>420</v>
      </c>
      <c r="F25" s="70">
        <v>420</v>
      </c>
      <c r="G25" s="70">
        <v>420</v>
      </c>
      <c r="H25" s="70">
        <v>420</v>
      </c>
      <c r="I25" s="70">
        <v>420</v>
      </c>
      <c r="J25" s="70">
        <v>420</v>
      </c>
      <c r="K25" s="70">
        <v>420</v>
      </c>
      <c r="L25" s="70">
        <v>420</v>
      </c>
      <c r="M25" s="70">
        <v>420</v>
      </c>
      <c r="N25" s="70">
        <v>420</v>
      </c>
      <c r="O25" s="70">
        <v>420</v>
      </c>
      <c r="P25" s="70">
        <v>420</v>
      </c>
      <c r="Q25" s="70">
        <v>420</v>
      </c>
      <c r="R25" s="70">
        <v>420</v>
      </c>
      <c r="S25" s="70">
        <v>420</v>
      </c>
      <c r="T25" s="70">
        <v>420</v>
      </c>
      <c r="U25" s="70">
        <v>420</v>
      </c>
      <c r="V25" s="70">
        <v>420</v>
      </c>
    </row>
    <row r="26" spans="1:22" x14ac:dyDescent="0.25">
      <c r="A26" s="70" t="s">
        <v>126</v>
      </c>
      <c r="B26" s="70" t="s">
        <v>155</v>
      </c>
      <c r="C26" s="70" t="s">
        <v>197</v>
      </c>
      <c r="D26" s="70" t="s">
        <v>154</v>
      </c>
      <c r="E26" s="70">
        <v>850</v>
      </c>
      <c r="F26" s="70">
        <v>850</v>
      </c>
      <c r="G26" s="70">
        <v>850</v>
      </c>
      <c r="H26" s="70">
        <v>850</v>
      </c>
      <c r="I26" s="70">
        <v>850</v>
      </c>
      <c r="J26" s="70">
        <v>850</v>
      </c>
      <c r="K26" s="70">
        <v>850</v>
      </c>
      <c r="L26" s="70">
        <v>850</v>
      </c>
      <c r="M26" s="70">
        <v>850</v>
      </c>
      <c r="N26" s="70">
        <v>850</v>
      </c>
      <c r="O26" s="70">
        <v>850</v>
      </c>
      <c r="P26" s="70">
        <v>850</v>
      </c>
      <c r="Q26" s="70">
        <v>850</v>
      </c>
      <c r="R26" s="70">
        <v>850</v>
      </c>
      <c r="S26" s="70">
        <v>850</v>
      </c>
      <c r="T26" s="70">
        <v>850</v>
      </c>
      <c r="U26" s="70">
        <v>850</v>
      </c>
      <c r="V26" s="70">
        <v>850</v>
      </c>
    </row>
    <row r="27" spans="1:22" x14ac:dyDescent="0.25">
      <c r="A27" s="70" t="s">
        <v>126</v>
      </c>
      <c r="B27" s="70" t="s">
        <v>155</v>
      </c>
      <c r="C27" s="70" t="s">
        <v>197</v>
      </c>
      <c r="D27" s="70" t="s">
        <v>154</v>
      </c>
      <c r="E27" s="70">
        <v>850</v>
      </c>
      <c r="F27" s="70">
        <v>850</v>
      </c>
      <c r="G27" s="70">
        <v>850</v>
      </c>
      <c r="H27" s="70">
        <v>850</v>
      </c>
      <c r="I27" s="70">
        <v>850</v>
      </c>
      <c r="J27" s="70">
        <v>850</v>
      </c>
      <c r="K27" s="70">
        <v>850</v>
      </c>
      <c r="L27" s="70">
        <v>850</v>
      </c>
      <c r="M27" s="70">
        <v>850</v>
      </c>
      <c r="N27" s="70">
        <v>850</v>
      </c>
      <c r="O27" s="70">
        <v>850</v>
      </c>
      <c r="P27" s="70">
        <v>850</v>
      </c>
      <c r="Q27" s="70">
        <v>850</v>
      </c>
      <c r="R27" s="70">
        <v>850</v>
      </c>
      <c r="S27" s="70">
        <v>850</v>
      </c>
      <c r="T27" s="70">
        <v>850</v>
      </c>
      <c r="U27" s="70">
        <v>850</v>
      </c>
      <c r="V27" s="70">
        <v>850</v>
      </c>
    </row>
    <row r="28" spans="1:22" x14ac:dyDescent="0.25">
      <c r="A28" s="70" t="s">
        <v>126</v>
      </c>
      <c r="B28" s="70" t="s">
        <v>155</v>
      </c>
      <c r="C28" s="70" t="s">
        <v>197</v>
      </c>
      <c r="D28" s="70" t="s">
        <v>156</v>
      </c>
      <c r="E28" s="70">
        <v>790</v>
      </c>
      <c r="F28" s="70">
        <v>790</v>
      </c>
      <c r="G28" s="70">
        <v>790</v>
      </c>
      <c r="H28" s="70">
        <v>790</v>
      </c>
      <c r="I28" s="70">
        <v>790</v>
      </c>
      <c r="J28" s="70">
        <v>790</v>
      </c>
      <c r="K28" s="70">
        <v>790</v>
      </c>
      <c r="L28" s="70">
        <v>790</v>
      </c>
      <c r="M28" s="70">
        <v>790</v>
      </c>
      <c r="N28" s="70">
        <v>790</v>
      </c>
      <c r="O28" s="70">
        <v>790</v>
      </c>
      <c r="P28" s="70">
        <v>790</v>
      </c>
      <c r="Q28" s="70">
        <v>790</v>
      </c>
      <c r="R28" s="70">
        <v>790</v>
      </c>
      <c r="S28" s="70">
        <v>790</v>
      </c>
      <c r="T28" s="70">
        <v>790</v>
      </c>
      <c r="U28" s="70">
        <v>790</v>
      </c>
      <c r="V28" s="70">
        <v>790</v>
      </c>
    </row>
    <row r="29" spans="1:22" x14ac:dyDescent="0.25">
      <c r="A29" s="70" t="s">
        <v>126</v>
      </c>
      <c r="B29" s="70" t="s">
        <v>155</v>
      </c>
      <c r="C29" s="70" t="s">
        <v>197</v>
      </c>
      <c r="D29" s="70" t="s">
        <v>120</v>
      </c>
      <c r="E29" s="70">
        <v>1600</v>
      </c>
      <c r="F29" s="70">
        <v>1600</v>
      </c>
      <c r="G29" s="70">
        <v>1600</v>
      </c>
      <c r="H29" s="70">
        <v>1600</v>
      </c>
      <c r="I29" s="70">
        <v>1600</v>
      </c>
      <c r="J29" s="70">
        <v>1600</v>
      </c>
      <c r="K29" s="70">
        <v>1600</v>
      </c>
      <c r="L29" s="70">
        <v>1600</v>
      </c>
      <c r="M29" s="70">
        <v>1600</v>
      </c>
      <c r="N29" s="70">
        <v>1600</v>
      </c>
      <c r="O29" s="70">
        <v>1600</v>
      </c>
      <c r="P29" s="70">
        <v>1600</v>
      </c>
      <c r="Q29" s="70">
        <v>1600</v>
      </c>
      <c r="R29" s="70">
        <v>1600</v>
      </c>
      <c r="S29" s="70">
        <v>1600</v>
      </c>
      <c r="T29" s="70">
        <v>1600</v>
      </c>
      <c r="U29" s="70">
        <v>1600</v>
      </c>
      <c r="V29" s="70">
        <v>1600</v>
      </c>
    </row>
    <row r="30" spans="1:22" x14ac:dyDescent="0.25">
      <c r="A30" s="122" t="s">
        <v>77</v>
      </c>
      <c r="B30" s="122" t="s">
        <v>78</v>
      </c>
      <c r="C30" s="122" t="s">
        <v>198</v>
      </c>
      <c r="D30" s="127" t="s">
        <v>80</v>
      </c>
      <c r="E30" s="122">
        <v>0</v>
      </c>
      <c r="F30" s="122">
        <v>0</v>
      </c>
      <c r="G30" s="122">
        <v>0</v>
      </c>
      <c r="H30" s="122">
        <v>480</v>
      </c>
      <c r="I30" s="122">
        <v>480</v>
      </c>
      <c r="J30" s="122">
        <v>480</v>
      </c>
      <c r="K30" s="122">
        <v>480</v>
      </c>
      <c r="L30" s="122">
        <v>480</v>
      </c>
      <c r="M30" s="122">
        <v>480</v>
      </c>
      <c r="N30" s="122">
        <v>480</v>
      </c>
      <c r="O30" s="122">
        <v>480</v>
      </c>
      <c r="P30" s="122">
        <v>480</v>
      </c>
      <c r="Q30" s="122">
        <v>480</v>
      </c>
      <c r="R30" s="122">
        <v>480</v>
      </c>
      <c r="S30" s="122">
        <v>480</v>
      </c>
      <c r="T30" s="122">
        <v>480</v>
      </c>
      <c r="U30" s="122">
        <v>480</v>
      </c>
      <c r="V30" s="122">
        <v>480</v>
      </c>
    </row>
    <row r="31" spans="1:22" x14ac:dyDescent="0.25">
      <c r="A31" s="122" t="s">
        <v>77</v>
      </c>
      <c r="B31" s="122" t="s">
        <v>78</v>
      </c>
      <c r="C31" s="122" t="s">
        <v>199</v>
      </c>
      <c r="D31" s="127" t="s">
        <v>82</v>
      </c>
      <c r="E31" s="122">
        <v>300</v>
      </c>
      <c r="F31" s="122">
        <v>300</v>
      </c>
      <c r="G31" s="122">
        <v>300</v>
      </c>
      <c r="H31" s="122">
        <v>300</v>
      </c>
      <c r="I31" s="122">
        <v>300</v>
      </c>
      <c r="J31" s="122">
        <v>300</v>
      </c>
      <c r="K31" s="122">
        <v>300</v>
      </c>
      <c r="L31" s="122">
        <v>300</v>
      </c>
      <c r="M31" s="122">
        <v>300</v>
      </c>
      <c r="N31" s="122">
        <v>300</v>
      </c>
      <c r="O31" s="122">
        <v>300</v>
      </c>
      <c r="P31" s="122">
        <v>300</v>
      </c>
      <c r="Q31" s="122">
        <v>300</v>
      </c>
      <c r="R31" s="122">
        <v>300</v>
      </c>
      <c r="S31" s="122">
        <v>300</v>
      </c>
      <c r="T31" s="122">
        <v>300</v>
      </c>
      <c r="U31" s="122">
        <v>300</v>
      </c>
      <c r="V31" s="122">
        <v>300</v>
      </c>
    </row>
    <row r="32" spans="1:22" x14ac:dyDescent="0.25">
      <c r="A32" s="122" t="s">
        <v>77</v>
      </c>
      <c r="B32" s="122" t="s">
        <v>78</v>
      </c>
      <c r="C32" s="122" t="s">
        <v>200</v>
      </c>
      <c r="D32" s="127" t="s">
        <v>84</v>
      </c>
      <c r="E32" s="122">
        <v>200</v>
      </c>
      <c r="F32" s="122">
        <v>200</v>
      </c>
      <c r="G32" s="122">
        <v>200</v>
      </c>
      <c r="H32" s="122">
        <v>200</v>
      </c>
      <c r="I32" s="122">
        <v>200</v>
      </c>
      <c r="J32" s="122">
        <v>200</v>
      </c>
      <c r="K32" s="122">
        <v>200</v>
      </c>
      <c r="L32" s="122">
        <v>200</v>
      </c>
      <c r="M32" s="122">
        <v>200</v>
      </c>
      <c r="N32" s="122">
        <v>200</v>
      </c>
      <c r="O32" s="122">
        <v>200</v>
      </c>
      <c r="P32" s="122">
        <v>200</v>
      </c>
      <c r="Q32" s="122">
        <v>200</v>
      </c>
      <c r="R32" s="122">
        <v>200</v>
      </c>
      <c r="S32" s="122">
        <v>200</v>
      </c>
      <c r="T32" s="122">
        <v>200</v>
      </c>
      <c r="U32" s="122">
        <v>200</v>
      </c>
      <c r="V32" s="122">
        <v>200</v>
      </c>
    </row>
    <row r="33" spans="1:22" x14ac:dyDescent="0.25">
      <c r="A33" s="122" t="s">
        <v>77</v>
      </c>
      <c r="B33" s="122" t="s">
        <v>78</v>
      </c>
      <c r="C33" s="122" t="s">
        <v>201</v>
      </c>
      <c r="D33" s="122" t="s">
        <v>162</v>
      </c>
      <c r="E33" s="122">
        <v>500</v>
      </c>
      <c r="F33" s="122">
        <v>500</v>
      </c>
      <c r="G33" s="122">
        <v>500</v>
      </c>
      <c r="H33" s="122">
        <v>950</v>
      </c>
      <c r="I33" s="122">
        <v>950</v>
      </c>
      <c r="J33" s="122">
        <v>950</v>
      </c>
      <c r="K33" s="122">
        <v>1450</v>
      </c>
      <c r="L33" s="122">
        <v>1450</v>
      </c>
      <c r="M33" s="122">
        <v>1450</v>
      </c>
      <c r="N33" s="122">
        <v>1450</v>
      </c>
      <c r="O33" s="122">
        <v>1450</v>
      </c>
      <c r="P33" s="122">
        <v>1450</v>
      </c>
      <c r="Q33" s="122">
        <v>1450</v>
      </c>
      <c r="R33" s="122">
        <v>1450</v>
      </c>
      <c r="S33" s="122">
        <v>1450</v>
      </c>
      <c r="T33" s="122">
        <v>1450</v>
      </c>
      <c r="U33" s="122">
        <v>1450</v>
      </c>
      <c r="V33" s="122">
        <v>1450</v>
      </c>
    </row>
    <row r="34" spans="1:22" x14ac:dyDescent="0.25">
      <c r="A34" s="122" t="s">
        <v>77</v>
      </c>
      <c r="B34" s="122" t="s">
        <v>86</v>
      </c>
      <c r="C34" s="122" t="s">
        <v>202</v>
      </c>
      <c r="D34" s="127" t="s">
        <v>87</v>
      </c>
      <c r="E34" s="122">
        <v>900</v>
      </c>
      <c r="F34" s="122">
        <v>900</v>
      </c>
      <c r="G34" s="122">
        <v>1180</v>
      </c>
      <c r="H34" s="122">
        <v>1180</v>
      </c>
      <c r="I34" s="122">
        <v>1180</v>
      </c>
      <c r="J34" s="122">
        <v>1180</v>
      </c>
      <c r="K34" s="122">
        <v>1180</v>
      </c>
      <c r="L34" s="122">
        <v>1180</v>
      </c>
      <c r="M34" s="122">
        <v>1180</v>
      </c>
      <c r="N34" s="122">
        <v>1180</v>
      </c>
      <c r="O34" s="122">
        <v>1180</v>
      </c>
      <c r="P34" s="122">
        <v>1180</v>
      </c>
      <c r="Q34" s="122">
        <v>1180</v>
      </c>
      <c r="R34" s="122">
        <v>1180</v>
      </c>
      <c r="S34" s="122">
        <v>1180</v>
      </c>
      <c r="T34" s="122">
        <v>1180</v>
      </c>
      <c r="U34" s="122">
        <v>1180</v>
      </c>
      <c r="V34" s="122">
        <v>1180</v>
      </c>
    </row>
    <row r="35" spans="1:22" x14ac:dyDescent="0.25">
      <c r="A35" s="122" t="s">
        <v>77</v>
      </c>
      <c r="B35" s="122" t="s">
        <v>86</v>
      </c>
      <c r="C35" s="122" t="s">
        <v>203</v>
      </c>
      <c r="D35" s="127" t="s">
        <v>89</v>
      </c>
      <c r="E35" s="122">
        <v>660</v>
      </c>
      <c r="F35" s="122">
        <v>660</v>
      </c>
      <c r="G35" s="122">
        <v>660</v>
      </c>
      <c r="H35" s="122">
        <v>660</v>
      </c>
      <c r="I35" s="122">
        <v>660</v>
      </c>
      <c r="J35" s="122">
        <v>660</v>
      </c>
      <c r="K35" s="122">
        <v>660</v>
      </c>
      <c r="L35" s="122">
        <v>660</v>
      </c>
      <c r="M35" s="122">
        <v>660</v>
      </c>
      <c r="N35" s="122">
        <v>660</v>
      </c>
      <c r="O35" s="122">
        <v>660</v>
      </c>
      <c r="P35" s="122">
        <v>660</v>
      </c>
      <c r="Q35" s="122">
        <v>660</v>
      </c>
      <c r="R35" s="122">
        <v>660</v>
      </c>
      <c r="S35" s="122">
        <v>660</v>
      </c>
      <c r="T35" s="122">
        <v>660</v>
      </c>
      <c r="U35" s="122">
        <v>660</v>
      </c>
      <c r="V35" s="122">
        <v>660</v>
      </c>
    </row>
    <row r="36" spans="1:22" x14ac:dyDescent="0.25">
      <c r="A36" s="122" t="s">
        <v>77</v>
      </c>
      <c r="B36" s="122" t="s">
        <v>86</v>
      </c>
      <c r="C36" s="122" t="s">
        <v>204</v>
      </c>
      <c r="D36" s="122" t="s">
        <v>91</v>
      </c>
      <c r="E36" s="122">
        <v>130</v>
      </c>
      <c r="F36" s="122">
        <v>130</v>
      </c>
      <c r="G36" s="122">
        <v>130</v>
      </c>
      <c r="H36" s="122">
        <v>130</v>
      </c>
      <c r="I36" s="122">
        <v>130</v>
      </c>
      <c r="J36" s="122">
        <v>130</v>
      </c>
      <c r="K36" s="122">
        <v>130</v>
      </c>
      <c r="L36" s="122">
        <v>130</v>
      </c>
      <c r="M36" s="122">
        <v>130</v>
      </c>
      <c r="N36" s="122">
        <v>130</v>
      </c>
      <c r="O36" s="122">
        <v>130</v>
      </c>
      <c r="P36" s="122">
        <v>130</v>
      </c>
      <c r="Q36" s="122">
        <v>130</v>
      </c>
      <c r="R36" s="122">
        <v>130</v>
      </c>
      <c r="S36" s="122">
        <v>130</v>
      </c>
      <c r="T36" s="122">
        <v>130</v>
      </c>
      <c r="U36" s="122">
        <v>130</v>
      </c>
      <c r="V36" s="122">
        <v>130</v>
      </c>
    </row>
    <row r="37" spans="1:22" x14ac:dyDescent="0.25">
      <c r="A37" s="122" t="s">
        <v>77</v>
      </c>
      <c r="B37" s="122" t="s">
        <v>86</v>
      </c>
      <c r="C37" s="122" t="s">
        <v>202</v>
      </c>
      <c r="D37" s="127" t="s">
        <v>93</v>
      </c>
      <c r="E37" s="122">
        <v>400</v>
      </c>
      <c r="F37" s="122">
        <v>400</v>
      </c>
      <c r="G37" s="122">
        <v>400</v>
      </c>
      <c r="H37" s="122">
        <v>400</v>
      </c>
      <c r="I37" s="122">
        <v>400</v>
      </c>
      <c r="J37" s="122">
        <v>400</v>
      </c>
      <c r="K37" s="122">
        <v>400</v>
      </c>
      <c r="L37" s="122">
        <v>400</v>
      </c>
      <c r="M37" s="122">
        <v>400</v>
      </c>
      <c r="N37" s="122">
        <v>400</v>
      </c>
      <c r="O37" s="122">
        <v>400</v>
      </c>
      <c r="P37" s="122">
        <v>400</v>
      </c>
      <c r="Q37" s="122">
        <v>400</v>
      </c>
      <c r="R37" s="122">
        <v>400</v>
      </c>
      <c r="S37" s="122">
        <v>400</v>
      </c>
      <c r="T37" s="122">
        <v>400</v>
      </c>
      <c r="U37" s="122">
        <v>400</v>
      </c>
      <c r="V37" s="122">
        <v>400</v>
      </c>
    </row>
    <row r="38" spans="1:22" x14ac:dyDescent="0.25">
      <c r="A38" s="122" t="s">
        <v>77</v>
      </c>
      <c r="B38" s="122" t="s">
        <v>86</v>
      </c>
      <c r="C38" s="122" t="s">
        <v>205</v>
      </c>
      <c r="D38" s="127" t="s">
        <v>95</v>
      </c>
      <c r="E38" s="122">
        <v>900</v>
      </c>
      <c r="F38" s="122">
        <v>900</v>
      </c>
      <c r="G38" s="122">
        <v>900</v>
      </c>
      <c r="H38" s="122">
        <v>900</v>
      </c>
      <c r="I38" s="122">
        <v>900</v>
      </c>
      <c r="J38" s="122">
        <v>900</v>
      </c>
      <c r="K38" s="122">
        <v>900</v>
      </c>
      <c r="L38" s="122">
        <v>900</v>
      </c>
      <c r="M38" s="122">
        <v>900</v>
      </c>
      <c r="N38" s="122">
        <v>900</v>
      </c>
      <c r="O38" s="122">
        <v>900</v>
      </c>
      <c r="P38" s="122">
        <v>900</v>
      </c>
      <c r="Q38" s="122">
        <v>900</v>
      </c>
      <c r="R38" s="122">
        <v>900</v>
      </c>
      <c r="S38" s="122">
        <v>900</v>
      </c>
      <c r="T38" s="122">
        <v>900</v>
      </c>
      <c r="U38" s="122">
        <v>900</v>
      </c>
      <c r="V38" s="122">
        <v>900</v>
      </c>
    </row>
    <row r="39" spans="1:22" x14ac:dyDescent="0.25">
      <c r="A39" s="122" t="s">
        <v>77</v>
      </c>
      <c r="B39" s="122" t="s">
        <v>86</v>
      </c>
      <c r="C39" s="122" t="s">
        <v>206</v>
      </c>
      <c r="D39" s="127" t="s">
        <v>96</v>
      </c>
      <c r="E39" s="122">
        <v>750</v>
      </c>
      <c r="F39" s="122">
        <v>750</v>
      </c>
      <c r="G39" s="122">
        <v>750</v>
      </c>
      <c r="H39" s="122">
        <v>750</v>
      </c>
      <c r="I39" s="122">
        <v>750</v>
      </c>
      <c r="J39" s="122">
        <v>750</v>
      </c>
      <c r="K39" s="122">
        <v>750</v>
      </c>
      <c r="L39" s="122">
        <v>750</v>
      </c>
      <c r="M39" s="122">
        <v>750</v>
      </c>
      <c r="N39" s="122">
        <v>750</v>
      </c>
      <c r="O39" s="122">
        <v>750</v>
      </c>
      <c r="P39" s="122">
        <v>750</v>
      </c>
      <c r="Q39" s="122">
        <v>750</v>
      </c>
      <c r="R39" s="122">
        <v>750</v>
      </c>
      <c r="S39" s="122">
        <v>750</v>
      </c>
      <c r="T39" s="122">
        <v>750</v>
      </c>
      <c r="U39" s="122">
        <v>750</v>
      </c>
      <c r="V39" s="122">
        <v>750</v>
      </c>
    </row>
    <row r="40" spans="1:22" x14ac:dyDescent="0.25">
      <c r="A40" s="122" t="s">
        <v>77</v>
      </c>
      <c r="B40" s="122" t="s">
        <v>97</v>
      </c>
      <c r="C40" s="122" t="s">
        <v>207</v>
      </c>
      <c r="D40" s="122" t="s">
        <v>99</v>
      </c>
      <c r="E40" s="122">
        <v>411</v>
      </c>
      <c r="F40" s="122">
        <v>411</v>
      </c>
      <c r="G40" s="122">
        <v>411</v>
      </c>
      <c r="H40" s="122">
        <v>411</v>
      </c>
      <c r="I40" s="122">
        <v>411</v>
      </c>
      <c r="J40" s="122">
        <v>411</v>
      </c>
      <c r="K40" s="122">
        <v>411</v>
      </c>
      <c r="L40" s="122">
        <v>411</v>
      </c>
      <c r="M40" s="122">
        <v>411</v>
      </c>
      <c r="N40" s="122">
        <v>411</v>
      </c>
      <c r="O40" s="122">
        <v>411</v>
      </c>
      <c r="P40" s="122">
        <v>411</v>
      </c>
      <c r="Q40" s="122">
        <v>411</v>
      </c>
      <c r="R40" s="122">
        <v>411</v>
      </c>
      <c r="S40" s="122">
        <v>411</v>
      </c>
      <c r="T40" s="122">
        <v>411</v>
      </c>
      <c r="U40" s="122">
        <v>411</v>
      </c>
      <c r="V40" s="122">
        <v>411</v>
      </c>
    </row>
    <row r="41" spans="1:22" x14ac:dyDescent="0.25">
      <c r="A41" s="70" t="s">
        <v>77</v>
      </c>
      <c r="B41" s="70" t="s">
        <v>159</v>
      </c>
      <c r="C41" s="70" t="s">
        <v>208</v>
      </c>
      <c r="D41" s="70" t="s">
        <v>158</v>
      </c>
      <c r="E41" s="70">
        <v>991</v>
      </c>
      <c r="F41" s="70">
        <v>991</v>
      </c>
      <c r="G41" s="70">
        <v>991</v>
      </c>
      <c r="H41" s="70">
        <v>991</v>
      </c>
      <c r="I41" s="70">
        <v>991</v>
      </c>
      <c r="J41" s="70">
        <v>991</v>
      </c>
      <c r="K41" s="70">
        <v>991</v>
      </c>
      <c r="L41" s="70">
        <v>991</v>
      </c>
      <c r="M41" s="70">
        <v>991</v>
      </c>
      <c r="N41" s="70">
        <v>991</v>
      </c>
      <c r="O41" s="70">
        <v>991</v>
      </c>
      <c r="P41" s="70">
        <v>991</v>
      </c>
      <c r="Q41" s="70">
        <v>991</v>
      </c>
      <c r="R41" s="70">
        <v>991</v>
      </c>
      <c r="S41" s="70">
        <v>991</v>
      </c>
      <c r="T41" s="70">
        <v>991</v>
      </c>
      <c r="U41" s="70">
        <v>991</v>
      </c>
      <c r="V41" s="70">
        <v>991</v>
      </c>
    </row>
    <row r="42" spans="1:22" x14ac:dyDescent="0.25">
      <c r="A42" s="70" t="s">
        <v>77</v>
      </c>
      <c r="B42" s="122" t="s">
        <v>161</v>
      </c>
      <c r="C42" s="122" t="s">
        <v>209</v>
      </c>
      <c r="D42" s="70" t="s">
        <v>160</v>
      </c>
      <c r="E42" s="122">
        <v>900</v>
      </c>
      <c r="F42" s="122">
        <v>900</v>
      </c>
      <c r="G42" s="122">
        <v>900</v>
      </c>
      <c r="H42" s="122">
        <v>900</v>
      </c>
      <c r="I42" s="122">
        <v>900</v>
      </c>
      <c r="J42" s="122">
        <v>900</v>
      </c>
      <c r="K42" s="122">
        <v>900</v>
      </c>
      <c r="L42" s="122">
        <v>900</v>
      </c>
      <c r="M42" s="122">
        <v>900</v>
      </c>
      <c r="N42" s="122">
        <v>900</v>
      </c>
      <c r="O42" s="122">
        <v>900</v>
      </c>
      <c r="P42" s="122">
        <v>900</v>
      </c>
      <c r="Q42" s="122">
        <v>900</v>
      </c>
      <c r="R42" s="122">
        <v>900</v>
      </c>
      <c r="S42" s="122">
        <v>900</v>
      </c>
      <c r="T42" s="122">
        <v>900</v>
      </c>
      <c r="U42" s="122">
        <v>900</v>
      </c>
      <c r="V42" s="122">
        <v>900</v>
      </c>
    </row>
    <row r="43" spans="1:22" x14ac:dyDescent="0.25">
      <c r="A43" s="70" t="s">
        <v>77</v>
      </c>
      <c r="B43" s="122" t="s">
        <v>164</v>
      </c>
      <c r="C43" s="122" t="s">
        <v>210</v>
      </c>
      <c r="D43" s="122" t="s">
        <v>163</v>
      </c>
      <c r="E43" s="122">
        <v>720</v>
      </c>
      <c r="F43" s="122">
        <v>720</v>
      </c>
      <c r="G43" s="122">
        <v>720</v>
      </c>
      <c r="H43" s="122">
        <v>720</v>
      </c>
      <c r="I43" s="122">
        <v>720</v>
      </c>
      <c r="J43" s="122">
        <v>720</v>
      </c>
      <c r="K43" s="122">
        <v>720</v>
      </c>
      <c r="L43" s="122">
        <v>720</v>
      </c>
      <c r="M43" s="122">
        <v>720</v>
      </c>
      <c r="N43" s="122">
        <v>720</v>
      </c>
      <c r="O43" s="122">
        <v>720</v>
      </c>
      <c r="P43" s="122">
        <v>720</v>
      </c>
      <c r="Q43" s="122">
        <v>720</v>
      </c>
      <c r="R43" s="122">
        <v>720</v>
      </c>
      <c r="S43" s="122">
        <v>720</v>
      </c>
      <c r="T43" s="122">
        <v>720</v>
      </c>
      <c r="U43" s="122">
        <v>720</v>
      </c>
      <c r="V43" s="122">
        <v>720</v>
      </c>
    </row>
    <row r="44" spans="1:22" x14ac:dyDescent="0.25">
      <c r="A44" s="122" t="s">
        <v>114</v>
      </c>
      <c r="B44" s="122" t="s">
        <v>115</v>
      </c>
      <c r="C44" s="122" t="s">
        <v>211</v>
      </c>
      <c r="D44" s="122" t="s">
        <v>117</v>
      </c>
      <c r="E44" s="122">
        <v>4900</v>
      </c>
      <c r="F44" s="122">
        <v>4900</v>
      </c>
      <c r="G44" s="122">
        <v>4900</v>
      </c>
      <c r="H44" s="122">
        <v>4900</v>
      </c>
      <c r="I44" s="122">
        <v>4900</v>
      </c>
      <c r="J44" s="122">
        <v>4900</v>
      </c>
      <c r="K44" s="122">
        <v>4900</v>
      </c>
      <c r="L44" s="122">
        <v>4900</v>
      </c>
      <c r="M44" s="122">
        <v>5300</v>
      </c>
      <c r="N44" s="122">
        <v>5300</v>
      </c>
      <c r="O44" s="122">
        <v>5300</v>
      </c>
      <c r="P44" s="122">
        <v>5300</v>
      </c>
      <c r="Q44" s="122">
        <v>5300</v>
      </c>
      <c r="R44" s="122">
        <v>5300</v>
      </c>
      <c r="S44" s="122">
        <v>5300</v>
      </c>
      <c r="T44" s="122">
        <v>5300</v>
      </c>
      <c r="U44" s="122">
        <v>5300</v>
      </c>
      <c r="V44" s="122">
        <v>5300</v>
      </c>
    </row>
    <row r="45" spans="1:22" x14ac:dyDescent="0.25">
      <c r="A45" s="122" t="s">
        <v>114</v>
      </c>
      <c r="B45" s="122" t="s">
        <v>115</v>
      </c>
      <c r="C45" s="122" t="s">
        <v>212</v>
      </c>
      <c r="D45" s="122" t="s">
        <v>119</v>
      </c>
      <c r="E45" s="122">
        <v>967</v>
      </c>
      <c r="F45" s="122">
        <v>967</v>
      </c>
      <c r="G45" s="122">
        <v>967</v>
      </c>
      <c r="H45" s="122">
        <v>967</v>
      </c>
      <c r="I45" s="122">
        <v>967</v>
      </c>
      <c r="J45" s="122">
        <v>967</v>
      </c>
      <c r="K45" s="122">
        <v>967</v>
      </c>
      <c r="L45" s="122">
        <v>967</v>
      </c>
      <c r="M45" s="122">
        <v>967</v>
      </c>
      <c r="N45" s="122">
        <v>967</v>
      </c>
      <c r="O45" s="122">
        <v>967</v>
      </c>
      <c r="P45" s="122">
        <v>967</v>
      </c>
      <c r="Q45" s="122">
        <v>967</v>
      </c>
      <c r="R45" s="122">
        <v>967</v>
      </c>
      <c r="S45" s="122">
        <v>967</v>
      </c>
      <c r="T45" s="122">
        <v>967</v>
      </c>
      <c r="U45" s="122">
        <v>967</v>
      </c>
      <c r="V45" s="122">
        <v>967</v>
      </c>
    </row>
    <row r="46" spans="1:22" x14ac:dyDescent="0.25">
      <c r="A46" s="122" t="s">
        <v>114</v>
      </c>
      <c r="B46" s="122" t="s">
        <v>115</v>
      </c>
      <c r="C46" s="122" t="s">
        <v>211</v>
      </c>
      <c r="D46" s="122" t="s">
        <v>120</v>
      </c>
      <c r="E46" s="122">
        <v>4850</v>
      </c>
      <c r="F46" s="122">
        <v>4850</v>
      </c>
      <c r="G46" s="122">
        <v>4850</v>
      </c>
      <c r="H46" s="122">
        <v>4850</v>
      </c>
      <c r="I46" s="122">
        <v>4850</v>
      </c>
      <c r="J46" s="122">
        <v>4850</v>
      </c>
      <c r="K46" s="122">
        <v>4850</v>
      </c>
      <c r="L46" s="122">
        <v>4850</v>
      </c>
      <c r="M46" s="122">
        <v>4850</v>
      </c>
      <c r="N46" s="122">
        <v>4850</v>
      </c>
      <c r="O46" s="122">
        <v>4850</v>
      </c>
      <c r="P46" s="122">
        <v>4850</v>
      </c>
      <c r="Q46" s="122">
        <v>4850</v>
      </c>
      <c r="R46" s="122">
        <v>4850</v>
      </c>
      <c r="S46" s="122">
        <v>4850</v>
      </c>
      <c r="T46" s="122">
        <v>4850</v>
      </c>
      <c r="U46" s="122">
        <v>4850</v>
      </c>
      <c r="V46" s="122">
        <v>4850</v>
      </c>
    </row>
    <row r="47" spans="1:22" x14ac:dyDescent="0.25">
      <c r="A47" s="122" t="s">
        <v>114</v>
      </c>
      <c r="B47" s="122" t="s">
        <v>115</v>
      </c>
      <c r="C47" s="122" t="s">
        <v>211</v>
      </c>
      <c r="D47" s="122" t="s">
        <v>121</v>
      </c>
      <c r="E47" s="122">
        <v>425</v>
      </c>
      <c r="F47" s="122">
        <v>425</v>
      </c>
      <c r="G47" s="122">
        <v>425</v>
      </c>
      <c r="H47" s="122">
        <v>425</v>
      </c>
      <c r="I47" s="122">
        <v>425</v>
      </c>
      <c r="J47" s="122">
        <v>425</v>
      </c>
      <c r="K47" s="122">
        <v>425</v>
      </c>
      <c r="L47" s="122">
        <v>425</v>
      </c>
      <c r="M47" s="122">
        <v>425</v>
      </c>
      <c r="N47" s="122">
        <v>425</v>
      </c>
      <c r="O47" s="122">
        <v>425</v>
      </c>
      <c r="P47" s="122">
        <v>425</v>
      </c>
      <c r="Q47" s="122">
        <v>425</v>
      </c>
      <c r="R47" s="122">
        <v>425</v>
      </c>
      <c r="S47" s="122">
        <v>425</v>
      </c>
      <c r="T47" s="122">
        <v>425</v>
      </c>
      <c r="U47" s="122">
        <v>425</v>
      </c>
      <c r="V47" s="122">
        <v>425</v>
      </c>
    </row>
    <row r="48" spans="1:22" x14ac:dyDescent="0.25">
      <c r="A48" s="122" t="s">
        <v>114</v>
      </c>
      <c r="B48" s="122" t="s">
        <v>123</v>
      </c>
      <c r="C48" s="122" t="s">
        <v>213</v>
      </c>
      <c r="D48" s="122" t="s">
        <v>125</v>
      </c>
      <c r="E48" s="122">
        <v>1000</v>
      </c>
      <c r="F48" s="122">
        <v>1000</v>
      </c>
      <c r="G48" s="122">
        <v>1000</v>
      </c>
      <c r="H48" s="122">
        <v>1000</v>
      </c>
      <c r="I48" s="122">
        <v>1000</v>
      </c>
      <c r="J48" s="122">
        <v>1000</v>
      </c>
      <c r="K48" s="122">
        <v>1000</v>
      </c>
      <c r="L48" s="122">
        <v>1000</v>
      </c>
      <c r="M48" s="122">
        <v>1000</v>
      </c>
      <c r="N48" s="122">
        <v>1000</v>
      </c>
      <c r="O48" s="122">
        <v>1000</v>
      </c>
      <c r="P48" s="122">
        <v>1000</v>
      </c>
      <c r="Q48" s="122">
        <v>1000</v>
      </c>
      <c r="R48" s="122">
        <v>1000</v>
      </c>
      <c r="S48" s="122">
        <v>1000</v>
      </c>
      <c r="T48" s="122">
        <v>1000</v>
      </c>
      <c r="U48" s="122">
        <v>1000</v>
      </c>
      <c r="V48" s="122">
        <v>1000</v>
      </c>
    </row>
    <row r="49" spans="1:22" x14ac:dyDescent="0.25">
      <c r="A49" s="70" t="s">
        <v>114</v>
      </c>
      <c r="B49" s="70" t="s">
        <v>135</v>
      </c>
      <c r="C49" s="70" t="s">
        <v>141</v>
      </c>
      <c r="D49" s="122" t="s">
        <v>74</v>
      </c>
      <c r="E49" s="70">
        <v>1300</v>
      </c>
      <c r="F49" s="70">
        <v>1300</v>
      </c>
      <c r="G49" s="70">
        <v>1300</v>
      </c>
      <c r="H49" s="70">
        <v>1300</v>
      </c>
      <c r="I49" s="70">
        <v>1300</v>
      </c>
      <c r="J49" s="70">
        <v>1300</v>
      </c>
      <c r="K49" s="70">
        <v>1300</v>
      </c>
      <c r="L49" s="70">
        <v>1300</v>
      </c>
      <c r="M49" s="70">
        <v>1300</v>
      </c>
      <c r="N49" s="70">
        <v>1300</v>
      </c>
      <c r="O49" s="70">
        <v>1300</v>
      </c>
      <c r="P49" s="70">
        <v>1300</v>
      </c>
      <c r="Q49" s="70">
        <v>1300</v>
      </c>
      <c r="R49" s="70">
        <v>1300</v>
      </c>
      <c r="S49" s="70">
        <v>1300</v>
      </c>
      <c r="T49" s="70">
        <v>1300</v>
      </c>
      <c r="U49" s="70">
        <v>1300</v>
      </c>
      <c r="V49" s="70">
        <v>1300</v>
      </c>
    </row>
    <row r="50" spans="1:22" x14ac:dyDescent="0.25">
      <c r="A50" s="122" t="s">
        <v>114</v>
      </c>
      <c r="B50" s="122" t="s">
        <v>165</v>
      </c>
      <c r="C50" s="122" t="s">
        <v>214</v>
      </c>
      <c r="D50" s="70" t="s">
        <v>179</v>
      </c>
      <c r="E50" s="122">
        <v>2300</v>
      </c>
      <c r="F50" s="122">
        <v>2300</v>
      </c>
      <c r="G50" s="122">
        <v>2300</v>
      </c>
      <c r="H50" s="122">
        <v>2300</v>
      </c>
      <c r="I50" s="122">
        <v>2300</v>
      </c>
      <c r="J50" s="122">
        <v>2300</v>
      </c>
      <c r="K50" s="122">
        <v>2300</v>
      </c>
      <c r="L50" s="122">
        <v>2300</v>
      </c>
      <c r="M50" s="122">
        <v>2300</v>
      </c>
      <c r="N50" s="122">
        <v>2300</v>
      </c>
      <c r="O50" s="122">
        <v>2300</v>
      </c>
      <c r="P50" s="122">
        <v>2300</v>
      </c>
      <c r="Q50" s="122">
        <v>2300</v>
      </c>
      <c r="R50" s="122">
        <v>2300</v>
      </c>
      <c r="S50" s="122">
        <v>2300</v>
      </c>
      <c r="T50" s="122">
        <v>2300</v>
      </c>
      <c r="U50" s="122">
        <v>2300</v>
      </c>
      <c r="V50" s="122">
        <v>2300</v>
      </c>
    </row>
    <row r="51" spans="1:22" x14ac:dyDescent="0.25">
      <c r="A51" s="122" t="s">
        <v>114</v>
      </c>
      <c r="B51" s="122" t="s">
        <v>165</v>
      </c>
      <c r="C51" s="122" t="s">
        <v>217</v>
      </c>
      <c r="D51" s="122" t="s">
        <v>168</v>
      </c>
      <c r="E51" s="122">
        <v>660</v>
      </c>
      <c r="F51" s="122">
        <v>660</v>
      </c>
      <c r="G51" s="122">
        <v>660</v>
      </c>
      <c r="H51" s="122">
        <v>660</v>
      </c>
      <c r="I51" s="122">
        <v>660</v>
      </c>
      <c r="J51" s="122">
        <v>660</v>
      </c>
      <c r="K51" s="122">
        <v>660</v>
      </c>
      <c r="L51" s="122">
        <v>660</v>
      </c>
      <c r="M51" s="122">
        <v>660</v>
      </c>
      <c r="N51" s="122">
        <v>660</v>
      </c>
      <c r="O51" s="122">
        <v>660</v>
      </c>
      <c r="P51" s="122">
        <v>660</v>
      </c>
      <c r="Q51" s="122">
        <v>660</v>
      </c>
      <c r="R51" s="122">
        <v>660</v>
      </c>
      <c r="S51" s="122">
        <v>660</v>
      </c>
      <c r="T51" s="122">
        <v>660</v>
      </c>
      <c r="U51" s="122">
        <v>660</v>
      </c>
      <c r="V51" s="122">
        <v>660</v>
      </c>
    </row>
    <row r="52" spans="1:22" x14ac:dyDescent="0.25">
      <c r="A52" s="122" t="s">
        <v>114</v>
      </c>
      <c r="B52" s="122" t="s">
        <v>165</v>
      </c>
      <c r="C52" s="122" t="s">
        <v>216</v>
      </c>
      <c r="D52" s="122" t="s">
        <v>169</v>
      </c>
      <c r="E52" s="122">
        <v>1000</v>
      </c>
      <c r="F52" s="122">
        <v>1000</v>
      </c>
      <c r="G52" s="122">
        <v>1000</v>
      </c>
      <c r="H52" s="122">
        <v>1000</v>
      </c>
      <c r="I52" s="122">
        <v>1000</v>
      </c>
      <c r="J52" s="122">
        <v>1000</v>
      </c>
      <c r="K52" s="122">
        <v>1000</v>
      </c>
      <c r="L52" s="122">
        <v>1000</v>
      </c>
      <c r="M52" s="122">
        <v>1000</v>
      </c>
      <c r="N52" s="122">
        <v>1000</v>
      </c>
      <c r="O52" s="122">
        <v>1000</v>
      </c>
      <c r="P52" s="122">
        <v>1000</v>
      </c>
      <c r="Q52" s="122">
        <v>1000</v>
      </c>
      <c r="R52" s="122">
        <v>1000</v>
      </c>
      <c r="S52" s="122">
        <v>1000</v>
      </c>
      <c r="T52" s="122">
        <v>1000</v>
      </c>
      <c r="U52" s="122">
        <v>1000</v>
      </c>
      <c r="V52" s="122">
        <v>1000</v>
      </c>
    </row>
    <row r="53" spans="1:22" x14ac:dyDescent="0.25">
      <c r="A53" s="122" t="s">
        <v>114</v>
      </c>
      <c r="B53" s="122" t="s">
        <v>165</v>
      </c>
      <c r="C53" s="122" t="s">
        <v>214</v>
      </c>
      <c r="D53" s="122" t="s">
        <v>170</v>
      </c>
      <c r="E53" s="122">
        <v>3300</v>
      </c>
      <c r="F53" s="122">
        <v>3300</v>
      </c>
      <c r="G53" s="122">
        <v>3300</v>
      </c>
      <c r="H53" s="122">
        <v>3300</v>
      </c>
      <c r="I53" s="122">
        <v>3300</v>
      </c>
      <c r="J53" s="122">
        <v>3300</v>
      </c>
      <c r="K53" s="122">
        <v>3300</v>
      </c>
      <c r="L53" s="122">
        <v>3300</v>
      </c>
      <c r="M53" s="122">
        <v>3300</v>
      </c>
      <c r="N53" s="122">
        <v>3300</v>
      </c>
      <c r="O53" s="122">
        <v>3300</v>
      </c>
      <c r="P53" s="122">
        <v>3300</v>
      </c>
      <c r="Q53" s="122">
        <v>3300</v>
      </c>
      <c r="R53" s="122">
        <v>3300</v>
      </c>
      <c r="S53" s="122">
        <v>3300</v>
      </c>
      <c r="T53" s="122">
        <v>3300</v>
      </c>
      <c r="U53" s="122">
        <v>3300</v>
      </c>
      <c r="V53" s="122">
        <v>3300</v>
      </c>
    </row>
    <row r="54" spans="1:22" x14ac:dyDescent="0.25">
      <c r="A54" s="122" t="s">
        <v>114</v>
      </c>
      <c r="B54" s="122" t="s">
        <v>165</v>
      </c>
      <c r="C54" s="122" t="s">
        <v>215</v>
      </c>
      <c r="D54" s="122" t="s">
        <v>177</v>
      </c>
      <c r="E54" s="122">
        <v>1650</v>
      </c>
      <c r="F54" s="122">
        <v>1650</v>
      </c>
      <c r="G54" s="122">
        <v>1650</v>
      </c>
      <c r="H54" s="122">
        <v>1650</v>
      </c>
      <c r="I54" s="122">
        <v>1650</v>
      </c>
      <c r="J54" s="122">
        <v>1650</v>
      </c>
      <c r="K54" s="122">
        <v>1650</v>
      </c>
      <c r="L54" s="122">
        <v>1650</v>
      </c>
      <c r="M54" s="122">
        <v>1650</v>
      </c>
      <c r="N54" s="122">
        <v>1650</v>
      </c>
      <c r="O54" s="122">
        <v>1650</v>
      </c>
      <c r="P54" s="122">
        <v>1650</v>
      </c>
      <c r="Q54" s="122">
        <v>1650</v>
      </c>
      <c r="R54" s="122">
        <v>1650</v>
      </c>
      <c r="S54" s="122">
        <v>1650</v>
      </c>
      <c r="T54" s="122">
        <v>1650</v>
      </c>
      <c r="U54" s="122">
        <v>1650</v>
      </c>
      <c r="V54" s="122">
        <v>1650</v>
      </c>
    </row>
    <row r="55" spans="1:22" x14ac:dyDescent="0.25">
      <c r="A55" s="122" t="s">
        <v>114</v>
      </c>
      <c r="B55" s="122" t="s">
        <v>165</v>
      </c>
      <c r="C55" s="122" t="s">
        <v>215</v>
      </c>
      <c r="D55" s="122" t="s">
        <v>178</v>
      </c>
      <c r="E55" s="122">
        <v>1650</v>
      </c>
      <c r="F55" s="122">
        <v>1650</v>
      </c>
      <c r="G55" s="122">
        <v>1650</v>
      </c>
      <c r="H55" s="122">
        <v>1650</v>
      </c>
      <c r="I55" s="122">
        <v>1650</v>
      </c>
      <c r="J55" s="122">
        <v>1650</v>
      </c>
      <c r="K55" s="122">
        <v>1650</v>
      </c>
      <c r="L55" s="122">
        <v>1650</v>
      </c>
      <c r="M55" s="122">
        <v>1650</v>
      </c>
      <c r="N55" s="122">
        <v>1650</v>
      </c>
      <c r="O55" s="122">
        <v>1650</v>
      </c>
      <c r="P55" s="122">
        <v>1650</v>
      </c>
      <c r="Q55" s="122">
        <v>1650</v>
      </c>
      <c r="R55" s="122">
        <v>1650</v>
      </c>
      <c r="S55" s="122">
        <v>1650</v>
      </c>
      <c r="T55" s="122">
        <v>1650</v>
      </c>
      <c r="U55" s="122">
        <v>1650</v>
      </c>
      <c r="V55" s="122">
        <v>1650</v>
      </c>
    </row>
    <row r="56" spans="1:22" x14ac:dyDescent="0.25">
      <c r="A56" s="122" t="s">
        <v>114</v>
      </c>
      <c r="B56" s="122" t="s">
        <v>165</v>
      </c>
      <c r="C56" s="122" t="s">
        <v>215</v>
      </c>
      <c r="D56" s="122" t="s">
        <v>181</v>
      </c>
      <c r="E56" s="122">
        <v>1650</v>
      </c>
      <c r="F56" s="122">
        <v>1650</v>
      </c>
      <c r="G56" s="122">
        <v>1650</v>
      </c>
      <c r="H56" s="122">
        <v>1650</v>
      </c>
      <c r="I56" s="122">
        <v>1650</v>
      </c>
      <c r="J56" s="122">
        <v>1650</v>
      </c>
      <c r="K56" s="122">
        <v>1650</v>
      </c>
      <c r="L56" s="122">
        <v>1650</v>
      </c>
      <c r="M56" s="122">
        <v>1650</v>
      </c>
      <c r="N56" s="122">
        <v>1650</v>
      </c>
      <c r="O56" s="122">
        <v>1650</v>
      </c>
      <c r="P56" s="122">
        <v>1650</v>
      </c>
      <c r="Q56" s="122">
        <v>1650</v>
      </c>
      <c r="R56" s="122">
        <v>1650</v>
      </c>
      <c r="S56" s="122">
        <v>1650</v>
      </c>
      <c r="T56" s="122">
        <v>1650</v>
      </c>
      <c r="U56" s="122">
        <v>1650</v>
      </c>
      <c r="V56" s="122">
        <v>1650</v>
      </c>
    </row>
    <row r="57" spans="1:22" x14ac:dyDescent="0.25">
      <c r="A57" s="122" t="s">
        <v>114</v>
      </c>
      <c r="B57" s="122" t="s">
        <v>165</v>
      </c>
      <c r="C57" s="122" t="s">
        <v>218</v>
      </c>
      <c r="D57" s="122" t="s">
        <v>182</v>
      </c>
      <c r="E57" s="122">
        <v>84</v>
      </c>
      <c r="F57" s="122">
        <v>84</v>
      </c>
      <c r="G57" s="122">
        <v>84</v>
      </c>
      <c r="H57" s="122">
        <v>84</v>
      </c>
      <c r="I57" s="122">
        <v>84</v>
      </c>
      <c r="J57" s="122">
        <v>84</v>
      </c>
      <c r="K57" s="122">
        <v>84</v>
      </c>
      <c r="L57" s="122">
        <v>84</v>
      </c>
      <c r="M57" s="122">
        <v>84</v>
      </c>
      <c r="N57" s="122">
        <v>84</v>
      </c>
      <c r="O57" s="122">
        <v>84</v>
      </c>
      <c r="P57" s="122">
        <v>84</v>
      </c>
      <c r="Q57" s="122">
        <v>84</v>
      </c>
      <c r="R57" s="122">
        <v>84</v>
      </c>
      <c r="S57" s="122">
        <v>84</v>
      </c>
      <c r="T57" s="122">
        <v>84</v>
      </c>
      <c r="U57" s="122">
        <v>84</v>
      </c>
      <c r="V57" s="122">
        <v>84</v>
      </c>
    </row>
    <row r="58" spans="1:22" x14ac:dyDescent="0.25">
      <c r="A58" s="122" t="s">
        <v>114</v>
      </c>
      <c r="B58" s="122" t="s">
        <v>165</v>
      </c>
      <c r="C58" s="122" t="s">
        <v>215</v>
      </c>
      <c r="D58" s="122" t="s">
        <v>183</v>
      </c>
      <c r="E58" s="122">
        <v>1650</v>
      </c>
      <c r="F58" s="122">
        <v>1650</v>
      </c>
      <c r="G58" s="122">
        <v>1650</v>
      </c>
      <c r="H58" s="122">
        <v>1650</v>
      </c>
      <c r="I58" s="122">
        <v>1650</v>
      </c>
      <c r="J58" s="122">
        <v>1650</v>
      </c>
      <c r="K58" s="122">
        <v>1650</v>
      </c>
      <c r="L58" s="122">
        <v>1650</v>
      </c>
      <c r="M58" s="122">
        <v>1650</v>
      </c>
      <c r="N58" s="122">
        <v>1650</v>
      </c>
      <c r="O58" s="122">
        <v>1650</v>
      </c>
      <c r="P58" s="122">
        <v>1650</v>
      </c>
      <c r="Q58" s="122">
        <v>1650</v>
      </c>
      <c r="R58" s="122">
        <v>1650</v>
      </c>
      <c r="S58" s="122">
        <v>1650</v>
      </c>
      <c r="T58" s="122">
        <v>1650</v>
      </c>
      <c r="U58" s="122">
        <v>1650</v>
      </c>
      <c r="V58" s="122">
        <v>1650</v>
      </c>
    </row>
    <row r="59" spans="1:22" x14ac:dyDescent="0.25">
      <c r="A59" s="122" t="s">
        <v>114</v>
      </c>
      <c r="B59" s="122" t="s">
        <v>165</v>
      </c>
      <c r="C59" s="122" t="s">
        <v>215</v>
      </c>
      <c r="D59" s="122" t="s">
        <v>184</v>
      </c>
      <c r="E59" s="122">
        <v>1650</v>
      </c>
      <c r="F59" s="122">
        <v>1650</v>
      </c>
      <c r="G59" s="122">
        <v>1650</v>
      </c>
      <c r="H59" s="122">
        <v>1650</v>
      </c>
      <c r="I59" s="122">
        <v>1650</v>
      </c>
      <c r="J59" s="122">
        <v>1650</v>
      </c>
      <c r="K59" s="122">
        <v>1650</v>
      </c>
      <c r="L59" s="122">
        <v>1650</v>
      </c>
      <c r="M59" s="122">
        <v>1650</v>
      </c>
      <c r="N59" s="122">
        <v>1650</v>
      </c>
      <c r="O59" s="122">
        <v>1650</v>
      </c>
      <c r="P59" s="122">
        <v>1650</v>
      </c>
      <c r="Q59" s="122">
        <v>1650</v>
      </c>
      <c r="R59" s="122">
        <v>1650</v>
      </c>
      <c r="S59" s="122">
        <v>1650</v>
      </c>
      <c r="T59" s="122">
        <v>1650</v>
      </c>
      <c r="U59" s="122">
        <v>1650</v>
      </c>
      <c r="V59" s="122">
        <v>1650</v>
      </c>
    </row>
    <row r="60" spans="1:22" x14ac:dyDescent="0.25">
      <c r="A60" s="122" t="s">
        <v>114</v>
      </c>
      <c r="B60" s="122" t="s">
        <v>172</v>
      </c>
      <c r="C60" s="122" t="s">
        <v>219</v>
      </c>
      <c r="D60" s="122" t="s">
        <v>171</v>
      </c>
      <c r="E60" s="122">
        <v>982</v>
      </c>
      <c r="F60" s="122">
        <v>982</v>
      </c>
      <c r="G60" s="122">
        <v>982</v>
      </c>
      <c r="H60" s="122">
        <v>982</v>
      </c>
      <c r="I60" s="122">
        <v>982</v>
      </c>
      <c r="J60" s="122">
        <v>982</v>
      </c>
      <c r="K60" s="122">
        <v>982</v>
      </c>
      <c r="L60" s="122">
        <v>982</v>
      </c>
      <c r="M60" s="122">
        <v>982</v>
      </c>
      <c r="N60" s="122">
        <v>982</v>
      </c>
      <c r="O60" s="122">
        <v>982</v>
      </c>
      <c r="P60" s="122">
        <v>982</v>
      </c>
      <c r="Q60" s="122">
        <v>982</v>
      </c>
      <c r="R60" s="122">
        <v>982</v>
      </c>
      <c r="S60" s="122">
        <v>982</v>
      </c>
      <c r="T60" s="122">
        <v>982</v>
      </c>
      <c r="U60" s="122">
        <v>982</v>
      </c>
      <c r="V60" s="122">
        <v>982</v>
      </c>
    </row>
    <row r="61" spans="1:22" x14ac:dyDescent="0.25">
      <c r="A61" s="122" t="s">
        <v>114</v>
      </c>
      <c r="B61" s="122" t="s">
        <v>115</v>
      </c>
      <c r="C61" s="122" t="s">
        <v>211</v>
      </c>
      <c r="D61" s="122" t="s">
        <v>173</v>
      </c>
      <c r="E61" s="122">
        <v>230</v>
      </c>
      <c r="F61" s="122">
        <v>230</v>
      </c>
      <c r="G61" s="122">
        <v>230</v>
      </c>
      <c r="H61" s="122">
        <v>230</v>
      </c>
      <c r="I61" s="122">
        <v>230</v>
      </c>
      <c r="J61" s="122">
        <v>230</v>
      </c>
      <c r="K61" s="122">
        <v>230</v>
      </c>
      <c r="L61" s="122">
        <v>230</v>
      </c>
      <c r="M61" s="122">
        <v>230</v>
      </c>
      <c r="N61" s="122">
        <v>230</v>
      </c>
      <c r="O61" s="122">
        <v>230</v>
      </c>
      <c r="P61" s="122">
        <v>230</v>
      </c>
      <c r="Q61" s="122">
        <v>230</v>
      </c>
      <c r="R61" s="122">
        <v>230</v>
      </c>
      <c r="S61" s="122">
        <v>230</v>
      </c>
      <c r="T61" s="122">
        <v>230</v>
      </c>
      <c r="U61" s="122">
        <v>230</v>
      </c>
      <c r="V61" s="122">
        <v>230</v>
      </c>
    </row>
    <row r="62" spans="1:22" x14ac:dyDescent="0.25">
      <c r="A62" s="122" t="s">
        <v>114</v>
      </c>
      <c r="B62" s="122" t="s">
        <v>115</v>
      </c>
      <c r="C62" s="122" t="s">
        <v>220</v>
      </c>
      <c r="D62" s="122" t="s">
        <v>174</v>
      </c>
      <c r="E62" s="122">
        <v>1150</v>
      </c>
      <c r="F62" s="122">
        <v>1150</v>
      </c>
      <c r="G62" s="122">
        <v>1150</v>
      </c>
      <c r="H62" s="122">
        <v>1150</v>
      </c>
      <c r="I62" s="122">
        <v>1150</v>
      </c>
      <c r="J62" s="122">
        <v>1150</v>
      </c>
      <c r="K62" s="122">
        <v>1150</v>
      </c>
      <c r="L62" s="122">
        <v>1150</v>
      </c>
      <c r="M62" s="122">
        <v>1150</v>
      </c>
      <c r="N62" s="122">
        <v>1150</v>
      </c>
      <c r="O62" s="122">
        <v>1150</v>
      </c>
      <c r="P62" s="122">
        <v>1150</v>
      </c>
      <c r="Q62" s="122">
        <v>1150</v>
      </c>
      <c r="R62" s="122">
        <v>1150</v>
      </c>
      <c r="S62" s="122">
        <v>1150</v>
      </c>
      <c r="T62" s="122">
        <v>1150</v>
      </c>
      <c r="U62" s="122">
        <v>1150</v>
      </c>
      <c r="V62" s="122">
        <v>1150</v>
      </c>
    </row>
    <row r="63" spans="1:22" x14ac:dyDescent="0.25">
      <c r="A63" s="122" t="s">
        <v>114</v>
      </c>
      <c r="B63" s="122" t="s">
        <v>176</v>
      </c>
      <c r="C63" s="122" t="s">
        <v>221</v>
      </c>
      <c r="D63" s="122" t="s">
        <v>175</v>
      </c>
      <c r="E63" s="122">
        <v>1300</v>
      </c>
      <c r="F63" s="122">
        <v>1300</v>
      </c>
      <c r="G63" s="122">
        <v>1300</v>
      </c>
      <c r="H63" s="122">
        <v>1300</v>
      </c>
      <c r="I63" s="122">
        <v>1300</v>
      </c>
      <c r="J63" s="122">
        <v>1300</v>
      </c>
      <c r="K63" s="122">
        <v>1300</v>
      </c>
      <c r="L63" s="122">
        <v>1300</v>
      </c>
      <c r="M63" s="122">
        <v>1300</v>
      </c>
      <c r="N63" s="122">
        <v>1300</v>
      </c>
      <c r="O63" s="122">
        <v>1300</v>
      </c>
      <c r="P63" s="122">
        <v>1300</v>
      </c>
      <c r="Q63" s="122">
        <v>1300</v>
      </c>
      <c r="R63" s="122">
        <v>1300</v>
      </c>
      <c r="S63" s="122">
        <v>1300</v>
      </c>
      <c r="T63" s="122">
        <v>1300</v>
      </c>
      <c r="U63" s="122">
        <v>1300</v>
      </c>
      <c r="V63" s="122">
        <v>1300</v>
      </c>
    </row>
    <row r="64" spans="1:22" x14ac:dyDescent="0.25">
      <c r="A64" s="122" t="s">
        <v>114</v>
      </c>
      <c r="B64" s="122" t="s">
        <v>165</v>
      </c>
      <c r="C64" s="122" t="s">
        <v>222</v>
      </c>
      <c r="D64" s="122" t="s">
        <v>180</v>
      </c>
      <c r="E64" s="122">
        <v>660</v>
      </c>
      <c r="F64" s="122">
        <v>660</v>
      </c>
      <c r="G64" s="122">
        <v>660</v>
      </c>
      <c r="H64" s="122">
        <v>660</v>
      </c>
      <c r="I64" s="122">
        <v>660</v>
      </c>
      <c r="J64" s="122">
        <v>660</v>
      </c>
      <c r="K64" s="122">
        <v>660</v>
      </c>
      <c r="L64" s="122">
        <v>660</v>
      </c>
      <c r="M64" s="122">
        <v>660</v>
      </c>
      <c r="N64" s="122">
        <v>660</v>
      </c>
      <c r="O64" s="122">
        <v>660</v>
      </c>
      <c r="P64" s="122">
        <v>660</v>
      </c>
      <c r="Q64" s="122">
        <v>660</v>
      </c>
      <c r="R64" s="122">
        <v>660</v>
      </c>
      <c r="S64" s="122">
        <v>660</v>
      </c>
      <c r="T64" s="122">
        <v>660</v>
      </c>
      <c r="U64" s="122">
        <v>660</v>
      </c>
      <c r="V64" s="122">
        <v>660</v>
      </c>
    </row>
    <row r="65" spans="1:22" x14ac:dyDescent="0.25">
      <c r="A65" s="128" t="s">
        <v>114</v>
      </c>
      <c r="B65" s="128" t="s">
        <v>122</v>
      </c>
      <c r="C65" s="128" t="s">
        <v>262</v>
      </c>
      <c r="D65" s="128" t="s">
        <v>261</v>
      </c>
      <c r="E65" s="128">
        <v>0</v>
      </c>
      <c r="F65" s="128">
        <v>0</v>
      </c>
      <c r="G65" s="128">
        <v>0</v>
      </c>
      <c r="H65" s="128">
        <v>0</v>
      </c>
      <c r="I65" s="128">
        <v>0</v>
      </c>
      <c r="J65" s="128">
        <v>0</v>
      </c>
      <c r="K65" s="128">
        <v>0</v>
      </c>
      <c r="L65" s="122">
        <v>0</v>
      </c>
      <c r="M65" s="122">
        <v>0</v>
      </c>
      <c r="N65" s="122">
        <v>0</v>
      </c>
      <c r="O65" s="122">
        <v>0</v>
      </c>
      <c r="P65" s="122">
        <v>1800</v>
      </c>
      <c r="Q65" s="122">
        <v>1800</v>
      </c>
      <c r="R65" s="122">
        <v>1800</v>
      </c>
      <c r="S65" s="122">
        <v>1800</v>
      </c>
      <c r="T65" s="122">
        <v>1800</v>
      </c>
      <c r="U65" s="122">
        <v>1800</v>
      </c>
      <c r="V65" s="122">
        <v>1800</v>
      </c>
    </row>
    <row r="66" spans="1:22" x14ac:dyDescent="0.25">
      <c r="A66" s="128" t="s">
        <v>18</v>
      </c>
      <c r="B66" s="128" t="s">
        <v>19</v>
      </c>
      <c r="C66" s="128" t="s">
        <v>223</v>
      </c>
      <c r="D66" s="128" t="s">
        <v>21</v>
      </c>
      <c r="E66" s="129">
        <v>33</v>
      </c>
      <c r="F66" s="129">
        <v>33</v>
      </c>
      <c r="G66" s="129">
        <v>33</v>
      </c>
      <c r="H66" s="129">
        <v>33</v>
      </c>
      <c r="I66" s="129">
        <v>33</v>
      </c>
      <c r="J66" s="129">
        <v>33</v>
      </c>
      <c r="K66" s="129">
        <v>33</v>
      </c>
      <c r="L66" s="130">
        <v>33</v>
      </c>
      <c r="M66" s="130">
        <v>198</v>
      </c>
      <c r="N66" s="130">
        <v>198</v>
      </c>
      <c r="O66" s="130">
        <v>198</v>
      </c>
      <c r="P66" s="130">
        <v>198</v>
      </c>
      <c r="Q66" s="130">
        <v>198</v>
      </c>
      <c r="R66" s="130">
        <v>198</v>
      </c>
      <c r="S66" s="130">
        <v>198</v>
      </c>
      <c r="T66" s="130">
        <v>198</v>
      </c>
      <c r="U66" s="130">
        <v>198</v>
      </c>
      <c r="V66" s="130">
        <v>198</v>
      </c>
    </row>
    <row r="67" spans="1:22" x14ac:dyDescent="0.25">
      <c r="A67" s="128" t="s">
        <v>18</v>
      </c>
      <c r="B67" s="128" t="s">
        <v>19</v>
      </c>
      <c r="C67" s="128" t="s">
        <v>224</v>
      </c>
      <c r="D67" s="128" t="s">
        <v>23</v>
      </c>
      <c r="E67" s="131">
        <v>269</v>
      </c>
      <c r="F67" s="131">
        <v>269</v>
      </c>
      <c r="G67" s="131">
        <v>269</v>
      </c>
      <c r="H67" s="131">
        <v>269</v>
      </c>
      <c r="I67" s="131">
        <v>269</v>
      </c>
      <c r="J67" s="131">
        <v>269</v>
      </c>
      <c r="K67" s="131">
        <v>269</v>
      </c>
      <c r="L67" s="132">
        <v>269</v>
      </c>
      <c r="M67" s="132">
        <v>269</v>
      </c>
      <c r="N67" s="132">
        <v>269</v>
      </c>
      <c r="O67" s="132">
        <v>269</v>
      </c>
      <c r="P67" s="132">
        <v>269</v>
      </c>
      <c r="Q67" s="132">
        <v>269</v>
      </c>
      <c r="R67" s="132">
        <v>269</v>
      </c>
      <c r="S67" s="132">
        <v>269</v>
      </c>
      <c r="T67" s="132">
        <v>269</v>
      </c>
      <c r="U67" s="132">
        <v>269</v>
      </c>
      <c r="V67" s="132">
        <v>269</v>
      </c>
    </row>
    <row r="68" spans="1:22" x14ac:dyDescent="0.25">
      <c r="A68" s="128" t="s">
        <v>18</v>
      </c>
      <c r="B68" s="128" t="s">
        <v>19</v>
      </c>
      <c r="C68" s="128" t="s">
        <v>227</v>
      </c>
      <c r="D68" s="128" t="s">
        <v>25</v>
      </c>
      <c r="E68" s="129">
        <v>0</v>
      </c>
      <c r="F68" s="129">
        <v>0</v>
      </c>
      <c r="G68" s="129">
        <v>0</v>
      </c>
      <c r="H68" s="129">
        <v>0</v>
      </c>
      <c r="I68" s="129">
        <v>0</v>
      </c>
      <c r="J68" s="129">
        <v>80</v>
      </c>
      <c r="K68" s="129">
        <v>80</v>
      </c>
      <c r="L68" s="130">
        <v>80</v>
      </c>
      <c r="M68" s="130">
        <v>80</v>
      </c>
      <c r="N68" s="130">
        <v>80</v>
      </c>
      <c r="O68" s="130">
        <v>80</v>
      </c>
      <c r="P68" s="130">
        <v>80</v>
      </c>
      <c r="Q68" s="130">
        <v>80</v>
      </c>
      <c r="R68" s="130">
        <v>80</v>
      </c>
      <c r="S68" s="130">
        <v>80</v>
      </c>
      <c r="T68" s="130">
        <v>80</v>
      </c>
      <c r="U68" s="130">
        <v>80</v>
      </c>
      <c r="V68" s="130">
        <v>80</v>
      </c>
    </row>
    <row r="69" spans="1:22" x14ac:dyDescent="0.25">
      <c r="A69" s="128" t="s">
        <v>18</v>
      </c>
      <c r="B69" s="128" t="s">
        <v>19</v>
      </c>
      <c r="C69" s="128" t="s">
        <v>225</v>
      </c>
      <c r="D69" s="128" t="s">
        <v>27</v>
      </c>
      <c r="E69" s="129">
        <v>100</v>
      </c>
      <c r="F69" s="129">
        <v>100</v>
      </c>
      <c r="G69" s="129">
        <v>100</v>
      </c>
      <c r="H69" s="129">
        <v>100</v>
      </c>
      <c r="I69" s="129">
        <v>100</v>
      </c>
      <c r="J69" s="129">
        <v>100</v>
      </c>
      <c r="K69" s="129">
        <v>100</v>
      </c>
      <c r="L69" s="130">
        <v>100</v>
      </c>
      <c r="M69" s="130">
        <v>100</v>
      </c>
      <c r="N69" s="130">
        <v>100</v>
      </c>
      <c r="O69" s="130">
        <v>100</v>
      </c>
      <c r="P69" s="130">
        <v>100</v>
      </c>
      <c r="Q69" s="130">
        <v>100</v>
      </c>
      <c r="R69" s="130">
        <v>100</v>
      </c>
      <c r="S69" s="130">
        <v>100</v>
      </c>
      <c r="T69" s="130">
        <v>100</v>
      </c>
      <c r="U69" s="130">
        <v>100</v>
      </c>
      <c r="V69" s="130">
        <v>100</v>
      </c>
    </row>
    <row r="70" spans="1:22" x14ac:dyDescent="0.25">
      <c r="A70" s="128" t="s">
        <v>18</v>
      </c>
      <c r="B70" s="128" t="s">
        <v>19</v>
      </c>
      <c r="C70" s="128" t="s">
        <v>226</v>
      </c>
      <c r="D70" s="128" t="s">
        <v>29</v>
      </c>
      <c r="E70" s="129">
        <v>0</v>
      </c>
      <c r="F70" s="129">
        <v>0</v>
      </c>
      <c r="G70" s="129">
        <v>0</v>
      </c>
      <c r="H70" s="129">
        <v>0</v>
      </c>
      <c r="I70" s="129">
        <v>0</v>
      </c>
      <c r="J70" s="129">
        <v>173</v>
      </c>
      <c r="K70" s="129">
        <v>173</v>
      </c>
      <c r="L70" s="130">
        <v>173</v>
      </c>
      <c r="M70" s="130">
        <v>173</v>
      </c>
      <c r="N70" s="130">
        <v>173</v>
      </c>
      <c r="O70" s="130">
        <v>173</v>
      </c>
      <c r="P70" s="130">
        <v>173</v>
      </c>
      <c r="Q70" s="130">
        <v>173</v>
      </c>
      <c r="R70" s="130">
        <v>173</v>
      </c>
      <c r="S70" s="130">
        <v>173</v>
      </c>
      <c r="T70" s="130">
        <v>173</v>
      </c>
      <c r="U70" s="130">
        <v>173</v>
      </c>
      <c r="V70" s="130">
        <v>173</v>
      </c>
    </row>
    <row r="71" spans="1:22" x14ac:dyDescent="0.25">
      <c r="A71" s="128" t="s">
        <v>18</v>
      </c>
      <c r="B71" s="128" t="s">
        <v>33</v>
      </c>
      <c r="C71" s="128" t="s">
        <v>273</v>
      </c>
      <c r="D71" s="133" t="s">
        <v>35</v>
      </c>
      <c r="E71" s="133">
        <v>250</v>
      </c>
      <c r="F71" s="133">
        <v>250</v>
      </c>
      <c r="G71" s="133">
        <v>250</v>
      </c>
      <c r="H71" s="133">
        <v>250</v>
      </c>
      <c r="I71" s="133">
        <v>250</v>
      </c>
      <c r="J71" s="133">
        <v>250</v>
      </c>
      <c r="K71" s="133">
        <v>250</v>
      </c>
      <c r="L71" s="124">
        <v>250</v>
      </c>
      <c r="M71" s="124">
        <v>250</v>
      </c>
      <c r="N71" s="124">
        <v>250</v>
      </c>
      <c r="O71" s="124">
        <v>250</v>
      </c>
      <c r="P71" s="124">
        <v>250</v>
      </c>
      <c r="Q71" s="124">
        <v>250</v>
      </c>
      <c r="R71" s="124">
        <v>250</v>
      </c>
      <c r="S71" s="124">
        <v>250</v>
      </c>
      <c r="T71" s="124">
        <v>250</v>
      </c>
      <c r="U71" s="124">
        <v>250</v>
      </c>
      <c r="V71" s="124">
        <v>250</v>
      </c>
    </row>
    <row r="72" spans="1:22" x14ac:dyDescent="0.25">
      <c r="A72" s="128" t="s">
        <v>18</v>
      </c>
      <c r="B72" s="128" t="s">
        <v>33</v>
      </c>
      <c r="C72" s="128" t="s">
        <v>274</v>
      </c>
      <c r="D72" s="128" t="s">
        <v>41</v>
      </c>
      <c r="E72" s="128">
        <v>700</v>
      </c>
      <c r="F72" s="128">
        <v>700</v>
      </c>
      <c r="G72" s="128">
        <v>700</v>
      </c>
      <c r="H72" s="128">
        <v>700</v>
      </c>
      <c r="I72" s="128">
        <v>700</v>
      </c>
      <c r="J72" s="128">
        <v>700</v>
      </c>
      <c r="K72" s="128">
        <v>700</v>
      </c>
      <c r="L72" s="122">
        <v>700</v>
      </c>
      <c r="M72" s="122">
        <v>700</v>
      </c>
      <c r="N72" s="122">
        <v>700</v>
      </c>
      <c r="O72" s="122">
        <v>700</v>
      </c>
      <c r="P72" s="122">
        <v>700</v>
      </c>
      <c r="Q72" s="122">
        <v>700</v>
      </c>
      <c r="R72" s="122">
        <v>700</v>
      </c>
      <c r="S72" s="122">
        <v>700</v>
      </c>
      <c r="T72" s="122">
        <v>700</v>
      </c>
      <c r="U72" s="122">
        <v>700</v>
      </c>
      <c r="V72" s="122">
        <v>700</v>
      </c>
    </row>
    <row r="73" spans="1:22" x14ac:dyDescent="0.25">
      <c r="A73" s="128" t="s">
        <v>18</v>
      </c>
      <c r="B73" s="128" t="s">
        <v>33</v>
      </c>
      <c r="C73" s="128" t="s">
        <v>275</v>
      </c>
      <c r="D73" s="128" t="s">
        <v>44</v>
      </c>
      <c r="E73" s="128">
        <v>300</v>
      </c>
      <c r="F73" s="128">
        <v>300</v>
      </c>
      <c r="G73" s="128">
        <v>300</v>
      </c>
      <c r="H73" s="128">
        <v>300</v>
      </c>
      <c r="I73" s="128">
        <v>300</v>
      </c>
      <c r="J73" s="128">
        <v>300</v>
      </c>
      <c r="K73" s="128">
        <v>900</v>
      </c>
      <c r="L73" s="122">
        <v>900</v>
      </c>
      <c r="M73" s="122">
        <v>900</v>
      </c>
      <c r="N73" s="122">
        <v>900</v>
      </c>
      <c r="O73" s="122">
        <v>900</v>
      </c>
      <c r="P73" s="122">
        <v>900</v>
      </c>
      <c r="Q73" s="122">
        <v>900</v>
      </c>
      <c r="R73" s="122">
        <v>900</v>
      </c>
      <c r="S73" s="122">
        <v>900</v>
      </c>
      <c r="T73" s="122">
        <v>900</v>
      </c>
      <c r="U73" s="122">
        <v>900</v>
      </c>
      <c r="V73" s="122">
        <v>900</v>
      </c>
    </row>
    <row r="74" spans="1:22" x14ac:dyDescent="0.25">
      <c r="A74" s="128" t="s">
        <v>18</v>
      </c>
      <c r="B74" s="128" t="s">
        <v>33</v>
      </c>
      <c r="C74" s="128" t="s">
        <v>276</v>
      </c>
      <c r="D74" s="128" t="s">
        <v>46</v>
      </c>
      <c r="E74" s="128">
        <v>1000</v>
      </c>
      <c r="F74" s="128">
        <v>1000</v>
      </c>
      <c r="G74" s="128">
        <v>1000</v>
      </c>
      <c r="H74" s="128">
        <v>1000</v>
      </c>
      <c r="I74" s="128">
        <v>1000</v>
      </c>
      <c r="J74" s="128">
        <v>1000</v>
      </c>
      <c r="K74" s="128">
        <v>1000</v>
      </c>
      <c r="L74" s="122">
        <v>1000</v>
      </c>
      <c r="M74" s="122">
        <v>1000</v>
      </c>
      <c r="N74" s="122">
        <v>1000</v>
      </c>
      <c r="O74" s="122">
        <v>1000</v>
      </c>
      <c r="P74" s="122">
        <v>1000</v>
      </c>
      <c r="Q74" s="122">
        <v>1000</v>
      </c>
      <c r="R74" s="122">
        <v>1000</v>
      </c>
      <c r="S74" s="122">
        <v>1000</v>
      </c>
      <c r="T74" s="122">
        <v>1000</v>
      </c>
      <c r="U74" s="122">
        <v>1000</v>
      </c>
      <c r="V74" s="122">
        <v>1000</v>
      </c>
    </row>
    <row r="75" spans="1:22" x14ac:dyDescent="0.25">
      <c r="A75" s="128" t="s">
        <v>18</v>
      </c>
      <c r="B75" s="128" t="s">
        <v>33</v>
      </c>
      <c r="C75" s="128" t="s">
        <v>277</v>
      </c>
      <c r="D75" s="128" t="s">
        <v>47</v>
      </c>
      <c r="E75" s="128">
        <v>1000</v>
      </c>
      <c r="F75" s="128">
        <v>1000</v>
      </c>
      <c r="G75" s="128">
        <v>1000</v>
      </c>
      <c r="H75" s="128">
        <v>1000</v>
      </c>
      <c r="I75" s="128">
        <v>1000</v>
      </c>
      <c r="J75" s="128">
        <v>1000</v>
      </c>
      <c r="K75" s="128">
        <v>1000</v>
      </c>
      <c r="L75" s="122">
        <v>1000</v>
      </c>
      <c r="M75" s="122">
        <v>1000</v>
      </c>
      <c r="N75" s="122">
        <v>1000</v>
      </c>
      <c r="O75" s="122">
        <v>1000</v>
      </c>
      <c r="P75" s="122">
        <v>1000</v>
      </c>
      <c r="Q75" s="122">
        <v>1000</v>
      </c>
      <c r="R75" s="122">
        <v>1000</v>
      </c>
      <c r="S75" s="122">
        <v>1000</v>
      </c>
      <c r="T75" s="122">
        <v>1000</v>
      </c>
      <c r="U75" s="122">
        <v>1000</v>
      </c>
      <c r="V75" s="122">
        <v>1000</v>
      </c>
    </row>
    <row r="76" spans="1:22" x14ac:dyDescent="0.25">
      <c r="A76" s="128" t="s">
        <v>18</v>
      </c>
      <c r="B76" s="128" t="s">
        <v>33</v>
      </c>
      <c r="C76" s="134" t="s">
        <v>278</v>
      </c>
      <c r="D76" s="128" t="s">
        <v>49</v>
      </c>
      <c r="E76" s="128">
        <v>1640</v>
      </c>
      <c r="F76" s="128">
        <v>1640</v>
      </c>
      <c r="G76" s="128">
        <v>1640</v>
      </c>
      <c r="H76" s="128">
        <v>1640</v>
      </c>
      <c r="I76" s="128">
        <v>1640</v>
      </c>
      <c r="J76" s="128">
        <v>1640</v>
      </c>
      <c r="K76" s="128">
        <v>1640</v>
      </c>
      <c r="L76" s="122">
        <v>1640</v>
      </c>
      <c r="M76" s="122">
        <v>1640</v>
      </c>
      <c r="N76" s="122">
        <v>1640</v>
      </c>
      <c r="O76" s="122">
        <v>1640</v>
      </c>
      <c r="P76" s="122">
        <v>1640</v>
      </c>
      <c r="Q76" s="122">
        <v>1640</v>
      </c>
      <c r="R76" s="122">
        <v>1640</v>
      </c>
      <c r="S76" s="122">
        <v>1640</v>
      </c>
      <c r="T76" s="122">
        <v>1640</v>
      </c>
      <c r="U76" s="122">
        <v>1640</v>
      </c>
      <c r="V76" s="122">
        <v>1640</v>
      </c>
    </row>
    <row r="77" spans="1:22" x14ac:dyDescent="0.25">
      <c r="A77" s="128" t="s">
        <v>18</v>
      </c>
      <c r="B77" s="128" t="s">
        <v>33</v>
      </c>
      <c r="C77" s="128" t="s">
        <v>279</v>
      </c>
      <c r="D77" s="128" t="s">
        <v>51</v>
      </c>
      <c r="E77" s="128">
        <v>800</v>
      </c>
      <c r="F77" s="128">
        <v>800</v>
      </c>
      <c r="G77" s="128">
        <v>800</v>
      </c>
      <c r="H77" s="128">
        <v>1600</v>
      </c>
      <c r="I77" s="128">
        <v>1600</v>
      </c>
      <c r="J77" s="128">
        <v>1600</v>
      </c>
      <c r="K77" s="128">
        <v>1600</v>
      </c>
      <c r="L77" s="122">
        <v>1600</v>
      </c>
      <c r="M77" s="122">
        <v>1600</v>
      </c>
      <c r="N77" s="122">
        <v>1600</v>
      </c>
      <c r="O77" s="122">
        <v>1600</v>
      </c>
      <c r="P77" s="122">
        <v>1600</v>
      </c>
      <c r="Q77" s="122">
        <v>1600</v>
      </c>
      <c r="R77" s="122">
        <v>1600</v>
      </c>
      <c r="S77" s="122">
        <v>1600</v>
      </c>
      <c r="T77" s="122">
        <v>1600</v>
      </c>
      <c r="U77" s="122">
        <v>1600</v>
      </c>
      <c r="V77" s="122">
        <v>1600</v>
      </c>
    </row>
    <row r="78" spans="1:22" x14ac:dyDescent="0.25">
      <c r="A78" s="128" t="s">
        <v>18</v>
      </c>
      <c r="B78" s="128" t="s">
        <v>33</v>
      </c>
      <c r="C78" s="128" t="s">
        <v>280</v>
      </c>
      <c r="D78" s="128" t="s">
        <v>52</v>
      </c>
      <c r="E78" s="128">
        <v>0</v>
      </c>
      <c r="F78" s="128">
        <v>0</v>
      </c>
      <c r="G78" s="128">
        <v>0</v>
      </c>
      <c r="H78" s="128">
        <v>0</v>
      </c>
      <c r="I78" s="128">
        <v>0</v>
      </c>
      <c r="J78" s="128">
        <v>0</v>
      </c>
      <c r="K78" s="128">
        <v>0</v>
      </c>
      <c r="L78" s="122">
        <v>0</v>
      </c>
      <c r="M78" s="122">
        <v>1800</v>
      </c>
      <c r="N78" s="122">
        <v>1800</v>
      </c>
      <c r="O78" s="122">
        <v>1800</v>
      </c>
      <c r="P78" s="122">
        <v>1800</v>
      </c>
      <c r="Q78" s="122">
        <v>1800</v>
      </c>
      <c r="R78" s="122">
        <v>1800</v>
      </c>
      <c r="S78" s="122">
        <v>1800</v>
      </c>
      <c r="T78" s="122">
        <v>1800</v>
      </c>
      <c r="U78" s="122">
        <v>1800</v>
      </c>
      <c r="V78" s="122">
        <v>1800</v>
      </c>
    </row>
    <row r="79" spans="1:22" ht="15.75" x14ac:dyDescent="0.25">
      <c r="A79" s="128" t="s">
        <v>18</v>
      </c>
      <c r="B79" s="128" t="s">
        <v>33</v>
      </c>
      <c r="C79" s="54" t="s">
        <v>281</v>
      </c>
      <c r="D79" s="128" t="s">
        <v>53</v>
      </c>
      <c r="E79" s="128">
        <v>300</v>
      </c>
      <c r="F79" s="128">
        <v>300</v>
      </c>
      <c r="G79" s="128">
        <v>300</v>
      </c>
      <c r="H79" s="128">
        <v>300</v>
      </c>
      <c r="I79" s="128">
        <v>300</v>
      </c>
      <c r="J79" s="128">
        <v>300</v>
      </c>
      <c r="K79" s="128">
        <v>300</v>
      </c>
      <c r="L79" s="128">
        <v>300</v>
      </c>
      <c r="M79" s="128">
        <v>300</v>
      </c>
      <c r="N79" s="128">
        <v>300</v>
      </c>
      <c r="O79" s="128">
        <v>300</v>
      </c>
      <c r="P79" s="128">
        <v>300</v>
      </c>
      <c r="Q79" s="128">
        <v>300</v>
      </c>
      <c r="R79" s="128">
        <v>300</v>
      </c>
      <c r="S79" s="128">
        <v>300</v>
      </c>
      <c r="T79" s="128">
        <v>300</v>
      </c>
      <c r="U79" s="128">
        <v>300</v>
      </c>
      <c r="V79" s="128">
        <v>300</v>
      </c>
    </row>
    <row r="80" spans="1:22" x14ac:dyDescent="0.25">
      <c r="A80" s="128" t="s">
        <v>18</v>
      </c>
      <c r="B80" s="128" t="s">
        <v>33</v>
      </c>
      <c r="C80" s="128" t="s">
        <v>282</v>
      </c>
      <c r="D80" s="128" t="s">
        <v>57</v>
      </c>
      <c r="E80" s="128">
        <v>0</v>
      </c>
      <c r="F80" s="128">
        <v>0</v>
      </c>
      <c r="G80" s="128">
        <v>0</v>
      </c>
      <c r="H80" s="128">
        <v>0</v>
      </c>
      <c r="I80" s="128">
        <v>0</v>
      </c>
      <c r="J80" s="128">
        <v>800</v>
      </c>
      <c r="K80" s="128">
        <v>800</v>
      </c>
      <c r="L80" s="128">
        <v>800</v>
      </c>
      <c r="M80" s="128">
        <v>800</v>
      </c>
      <c r="N80" s="128">
        <v>800</v>
      </c>
      <c r="O80" s="128">
        <v>800</v>
      </c>
      <c r="P80" s="128">
        <v>800</v>
      </c>
      <c r="Q80" s="128">
        <v>800</v>
      </c>
      <c r="R80" s="128">
        <v>800</v>
      </c>
      <c r="S80" s="128">
        <v>800</v>
      </c>
      <c r="T80" s="128">
        <v>800</v>
      </c>
      <c r="U80" s="128">
        <v>800</v>
      </c>
      <c r="V80" s="128">
        <v>800</v>
      </c>
    </row>
    <row r="81" spans="1:22" x14ac:dyDescent="0.25">
      <c r="A81" s="128" t="s">
        <v>18</v>
      </c>
      <c r="B81" s="128" t="s">
        <v>33</v>
      </c>
      <c r="C81" s="128" t="s">
        <v>283</v>
      </c>
      <c r="D81" s="133" t="s">
        <v>263</v>
      </c>
      <c r="E81" s="133">
        <v>1400</v>
      </c>
      <c r="F81" s="133">
        <v>1400</v>
      </c>
      <c r="G81" s="133">
        <v>1400</v>
      </c>
      <c r="H81" s="133">
        <v>1400</v>
      </c>
      <c r="I81" s="133">
        <v>1400</v>
      </c>
      <c r="J81" s="133">
        <v>1400</v>
      </c>
      <c r="K81" s="133">
        <v>1400</v>
      </c>
      <c r="L81" s="133">
        <v>1400</v>
      </c>
      <c r="M81" s="133">
        <v>1400</v>
      </c>
      <c r="N81" s="133">
        <v>1400</v>
      </c>
      <c r="O81" s="133">
        <v>1400</v>
      </c>
      <c r="P81" s="133">
        <v>1400</v>
      </c>
      <c r="Q81" s="133">
        <v>1400</v>
      </c>
      <c r="R81" s="133">
        <v>1400</v>
      </c>
      <c r="S81" s="133">
        <v>1400</v>
      </c>
      <c r="T81" s="133">
        <v>1400</v>
      </c>
      <c r="U81" s="133">
        <v>1400</v>
      </c>
      <c r="V81" s="133">
        <v>1400</v>
      </c>
    </row>
    <row r="82" spans="1:22" x14ac:dyDescent="0.25">
      <c r="A82" s="128" t="s">
        <v>18</v>
      </c>
      <c r="B82" s="128" t="s">
        <v>33</v>
      </c>
      <c r="C82" s="128" t="s">
        <v>291</v>
      </c>
      <c r="D82" s="133" t="s">
        <v>264</v>
      </c>
      <c r="E82" s="133">
        <v>1400</v>
      </c>
      <c r="F82" s="133">
        <v>1400</v>
      </c>
      <c r="G82" s="133">
        <v>1400</v>
      </c>
      <c r="H82" s="133">
        <v>1400</v>
      </c>
      <c r="I82" s="133">
        <v>1400</v>
      </c>
      <c r="J82" s="133">
        <v>4000</v>
      </c>
      <c r="K82" s="133">
        <v>4000</v>
      </c>
      <c r="L82" s="133">
        <v>4000</v>
      </c>
      <c r="M82" s="133">
        <v>4000</v>
      </c>
      <c r="N82" s="133">
        <v>4000</v>
      </c>
      <c r="O82" s="133">
        <v>4000</v>
      </c>
      <c r="P82" s="133">
        <v>4000</v>
      </c>
      <c r="Q82" s="133">
        <v>4000</v>
      </c>
      <c r="R82" s="133">
        <v>4000</v>
      </c>
      <c r="S82" s="133">
        <v>4000</v>
      </c>
      <c r="T82" s="133">
        <v>4000</v>
      </c>
      <c r="U82" s="133">
        <v>4000</v>
      </c>
      <c r="V82" s="133">
        <v>4000</v>
      </c>
    </row>
    <row r="83" spans="1:22" ht="15.75" x14ac:dyDescent="0.25">
      <c r="A83" s="128" t="s">
        <v>18</v>
      </c>
      <c r="B83" s="128" t="s">
        <v>33</v>
      </c>
      <c r="C83" s="54" t="s">
        <v>284</v>
      </c>
      <c r="D83" s="133" t="s">
        <v>265</v>
      </c>
      <c r="E83" s="133">
        <v>200</v>
      </c>
      <c r="F83" s="133">
        <v>200</v>
      </c>
      <c r="G83" s="133">
        <v>200</v>
      </c>
      <c r="H83" s="133">
        <v>200</v>
      </c>
      <c r="I83" s="133">
        <v>200</v>
      </c>
      <c r="J83" s="133">
        <v>200</v>
      </c>
      <c r="K83" s="133">
        <v>200</v>
      </c>
      <c r="L83" s="133">
        <v>200</v>
      </c>
      <c r="M83" s="133">
        <v>200</v>
      </c>
      <c r="N83" s="133">
        <v>200</v>
      </c>
      <c r="O83" s="133">
        <v>200</v>
      </c>
      <c r="P83" s="133">
        <v>200</v>
      </c>
      <c r="Q83" s="133">
        <v>200</v>
      </c>
      <c r="R83" s="133">
        <v>200</v>
      </c>
      <c r="S83" s="133">
        <v>200</v>
      </c>
      <c r="T83" s="133">
        <v>200</v>
      </c>
      <c r="U83" s="133">
        <v>200</v>
      </c>
      <c r="V83" s="133">
        <v>200</v>
      </c>
    </row>
    <row r="84" spans="1:22" ht="15.75" x14ac:dyDescent="0.25">
      <c r="A84" s="128" t="s">
        <v>18</v>
      </c>
      <c r="B84" s="128" t="s">
        <v>33</v>
      </c>
      <c r="C84" s="54" t="s">
        <v>285</v>
      </c>
      <c r="D84" s="133" t="s">
        <v>266</v>
      </c>
      <c r="E84" s="133">
        <v>200</v>
      </c>
      <c r="F84" s="133">
        <v>200</v>
      </c>
      <c r="G84" s="133">
        <v>200</v>
      </c>
      <c r="H84" s="133">
        <v>200</v>
      </c>
      <c r="I84" s="133">
        <v>200</v>
      </c>
      <c r="J84" s="133">
        <v>200</v>
      </c>
      <c r="K84" s="133">
        <v>200</v>
      </c>
      <c r="L84" s="133">
        <v>200</v>
      </c>
      <c r="M84" s="133">
        <v>200</v>
      </c>
      <c r="N84" s="133">
        <v>200</v>
      </c>
      <c r="O84" s="133">
        <v>200</v>
      </c>
      <c r="P84" s="133">
        <v>200</v>
      </c>
      <c r="Q84" s="133">
        <v>200</v>
      </c>
      <c r="R84" s="133">
        <v>200</v>
      </c>
      <c r="S84" s="133">
        <v>200</v>
      </c>
      <c r="T84" s="133">
        <v>200</v>
      </c>
      <c r="U84" s="133">
        <v>200</v>
      </c>
      <c r="V84" s="133">
        <v>200</v>
      </c>
    </row>
    <row r="85" spans="1:22" x14ac:dyDescent="0.25">
      <c r="A85" s="128" t="s">
        <v>18</v>
      </c>
      <c r="B85" s="128" t="s">
        <v>33</v>
      </c>
      <c r="C85" s="128" t="s">
        <v>286</v>
      </c>
      <c r="D85" s="133" t="s">
        <v>267</v>
      </c>
      <c r="E85" s="133">
        <v>300</v>
      </c>
      <c r="F85" s="133">
        <v>300</v>
      </c>
      <c r="G85" s="133">
        <v>300</v>
      </c>
      <c r="H85" s="133">
        <v>300</v>
      </c>
      <c r="I85" s="133">
        <v>300</v>
      </c>
      <c r="J85" s="133">
        <v>300</v>
      </c>
      <c r="K85" s="133">
        <v>300</v>
      </c>
      <c r="L85" s="133">
        <v>300</v>
      </c>
      <c r="M85" s="133">
        <v>300</v>
      </c>
      <c r="N85" s="133">
        <v>300</v>
      </c>
      <c r="O85" s="133">
        <v>300</v>
      </c>
      <c r="P85" s="133">
        <v>300</v>
      </c>
      <c r="Q85" s="133">
        <v>300</v>
      </c>
      <c r="R85" s="133">
        <v>300</v>
      </c>
      <c r="S85" s="133">
        <v>300</v>
      </c>
      <c r="T85" s="133">
        <v>300</v>
      </c>
      <c r="U85" s="133">
        <v>300</v>
      </c>
      <c r="V85" s="133">
        <v>300</v>
      </c>
    </row>
    <row r="86" spans="1:22" x14ac:dyDescent="0.25">
      <c r="A86" s="128" t="s">
        <v>18</v>
      </c>
      <c r="B86" s="128" t="s">
        <v>33</v>
      </c>
      <c r="C86" s="128" t="s">
        <v>292</v>
      </c>
      <c r="D86" s="133" t="s">
        <v>268</v>
      </c>
      <c r="E86" s="133">
        <v>800</v>
      </c>
      <c r="F86" s="133">
        <v>800</v>
      </c>
      <c r="G86" s="133">
        <v>800</v>
      </c>
      <c r="H86" s="133">
        <v>800</v>
      </c>
      <c r="I86" s="133">
        <v>800</v>
      </c>
      <c r="J86" s="133">
        <v>800</v>
      </c>
      <c r="K86" s="133">
        <v>800</v>
      </c>
      <c r="L86" s="133">
        <v>800</v>
      </c>
      <c r="M86" s="133">
        <v>800</v>
      </c>
      <c r="N86" s="133">
        <v>800</v>
      </c>
      <c r="O86" s="133">
        <v>800</v>
      </c>
      <c r="P86" s="133">
        <v>800</v>
      </c>
      <c r="Q86" s="133">
        <v>800</v>
      </c>
      <c r="R86" s="133">
        <v>800</v>
      </c>
      <c r="S86" s="133">
        <v>800</v>
      </c>
      <c r="T86" s="133">
        <v>800</v>
      </c>
      <c r="U86" s="133">
        <v>800</v>
      </c>
      <c r="V86" s="133">
        <v>800</v>
      </c>
    </row>
    <row r="87" spans="1:22" x14ac:dyDescent="0.25">
      <c r="A87" s="128" t="s">
        <v>18</v>
      </c>
      <c r="B87" s="128" t="s">
        <v>33</v>
      </c>
      <c r="C87" s="128" t="s">
        <v>286</v>
      </c>
      <c r="D87" s="133" t="s">
        <v>269</v>
      </c>
      <c r="E87" s="133">
        <v>500</v>
      </c>
      <c r="F87" s="133">
        <v>500</v>
      </c>
      <c r="G87" s="133">
        <v>500</v>
      </c>
      <c r="H87" s="133">
        <v>500</v>
      </c>
      <c r="I87" s="133">
        <v>500</v>
      </c>
      <c r="J87" s="133">
        <v>500</v>
      </c>
      <c r="K87" s="133">
        <v>500</v>
      </c>
      <c r="L87" s="133">
        <v>500</v>
      </c>
      <c r="M87" s="133">
        <v>500</v>
      </c>
      <c r="N87" s="133">
        <v>500</v>
      </c>
      <c r="O87" s="133">
        <v>500</v>
      </c>
      <c r="P87" s="133">
        <v>500</v>
      </c>
      <c r="Q87" s="133">
        <v>500</v>
      </c>
      <c r="R87" s="133">
        <v>500</v>
      </c>
      <c r="S87" s="133">
        <v>500</v>
      </c>
      <c r="T87" s="133">
        <v>500</v>
      </c>
      <c r="U87" s="133">
        <v>500</v>
      </c>
      <c r="V87" s="133">
        <v>500</v>
      </c>
    </row>
    <row r="88" spans="1:22" x14ac:dyDescent="0.25">
      <c r="A88" s="128" t="s">
        <v>18</v>
      </c>
      <c r="B88" s="128" t="s">
        <v>33</v>
      </c>
      <c r="C88" s="128" t="s">
        <v>287</v>
      </c>
      <c r="D88" s="133" t="s">
        <v>270</v>
      </c>
      <c r="E88" s="133">
        <v>1800</v>
      </c>
      <c r="F88" s="133">
        <v>1800</v>
      </c>
      <c r="G88" s="133">
        <v>1800</v>
      </c>
      <c r="H88" s="133">
        <v>1800</v>
      </c>
      <c r="I88" s="133">
        <v>1800</v>
      </c>
      <c r="J88" s="133">
        <v>1800</v>
      </c>
      <c r="K88" s="133">
        <v>1800</v>
      </c>
      <c r="L88" s="133">
        <v>1800</v>
      </c>
      <c r="M88" s="133">
        <v>1800</v>
      </c>
      <c r="N88" s="133">
        <v>1800</v>
      </c>
      <c r="O88" s="133">
        <v>1800</v>
      </c>
      <c r="P88" s="133">
        <v>1800</v>
      </c>
      <c r="Q88" s="133">
        <v>1800</v>
      </c>
      <c r="R88" s="133">
        <v>1800</v>
      </c>
      <c r="S88" s="133">
        <v>1800</v>
      </c>
      <c r="T88" s="133">
        <v>1800</v>
      </c>
      <c r="U88" s="133">
        <v>1800</v>
      </c>
      <c r="V88" s="133">
        <v>1800</v>
      </c>
    </row>
    <row r="89" spans="1:22" x14ac:dyDescent="0.25">
      <c r="A89" s="128" t="s">
        <v>18</v>
      </c>
      <c r="B89" s="128" t="s">
        <v>33</v>
      </c>
      <c r="C89" s="128" t="s">
        <v>288</v>
      </c>
      <c r="D89" s="133" t="s">
        <v>271</v>
      </c>
      <c r="E89" s="133">
        <v>600</v>
      </c>
      <c r="F89" s="133">
        <v>600</v>
      </c>
      <c r="G89" s="133">
        <v>600</v>
      </c>
      <c r="H89" s="133">
        <v>600</v>
      </c>
      <c r="I89" s="133">
        <v>600</v>
      </c>
      <c r="J89" s="133">
        <v>600</v>
      </c>
      <c r="K89" s="133">
        <v>600</v>
      </c>
      <c r="L89" s="133">
        <v>600</v>
      </c>
      <c r="M89" s="133">
        <v>600</v>
      </c>
      <c r="N89" s="133">
        <v>600</v>
      </c>
      <c r="O89" s="133">
        <v>600</v>
      </c>
      <c r="P89" s="133">
        <v>600</v>
      </c>
      <c r="Q89" s="133">
        <v>600</v>
      </c>
      <c r="R89" s="133">
        <v>600</v>
      </c>
      <c r="S89" s="133">
        <v>600</v>
      </c>
      <c r="T89" s="133">
        <v>600</v>
      </c>
      <c r="U89" s="133">
        <v>600</v>
      </c>
      <c r="V89" s="133">
        <v>600</v>
      </c>
    </row>
    <row r="90" spans="1:22" x14ac:dyDescent="0.25">
      <c r="A90" s="128" t="s">
        <v>18</v>
      </c>
      <c r="B90" s="128" t="s">
        <v>33</v>
      </c>
      <c r="C90" s="128" t="s">
        <v>289</v>
      </c>
      <c r="D90" s="133" t="s">
        <v>272</v>
      </c>
      <c r="E90" s="133">
        <v>1800</v>
      </c>
      <c r="F90" s="133">
        <v>1800</v>
      </c>
      <c r="G90" s="133">
        <v>1800</v>
      </c>
      <c r="H90" s="133">
        <v>1800</v>
      </c>
      <c r="I90" s="133">
        <v>1800</v>
      </c>
      <c r="J90" s="133">
        <v>1800</v>
      </c>
      <c r="K90" s="133">
        <v>1800</v>
      </c>
      <c r="L90" s="133">
        <v>1800</v>
      </c>
      <c r="M90" s="133">
        <v>1800</v>
      </c>
      <c r="N90" s="133">
        <v>1800</v>
      </c>
      <c r="O90" s="133">
        <v>1800</v>
      </c>
      <c r="P90" s="133">
        <v>1800</v>
      </c>
      <c r="Q90" s="133">
        <v>1800</v>
      </c>
      <c r="R90" s="133">
        <v>1800</v>
      </c>
      <c r="S90" s="133">
        <v>1800</v>
      </c>
      <c r="T90" s="133">
        <v>1800</v>
      </c>
      <c r="U90" s="133">
        <v>1800</v>
      </c>
      <c r="V90" s="133">
        <v>1800</v>
      </c>
    </row>
    <row r="91" spans="1:22" x14ac:dyDescent="0.25">
      <c r="A91" s="139" t="s">
        <v>18</v>
      </c>
      <c r="B91" s="139" t="s">
        <v>64</v>
      </c>
      <c r="C91" s="139" t="s">
        <v>333</v>
      </c>
      <c r="D91" s="140" t="s">
        <v>66</v>
      </c>
      <c r="E91" s="11">
        <v>2400</v>
      </c>
      <c r="F91" s="11">
        <v>2400</v>
      </c>
      <c r="G91" s="11">
        <v>2400</v>
      </c>
      <c r="H91" s="11">
        <v>2400</v>
      </c>
      <c r="I91" s="11">
        <v>2400</v>
      </c>
      <c r="J91" s="11">
        <v>2400</v>
      </c>
      <c r="K91" s="11">
        <v>2400</v>
      </c>
      <c r="L91" s="11">
        <v>2400</v>
      </c>
      <c r="M91" s="11">
        <v>2400</v>
      </c>
      <c r="N91" s="11">
        <v>2400</v>
      </c>
      <c r="O91" s="11">
        <v>2400</v>
      </c>
      <c r="P91" s="11">
        <v>2400</v>
      </c>
      <c r="Q91" s="11">
        <v>2400</v>
      </c>
      <c r="R91" s="11">
        <v>2400</v>
      </c>
      <c r="S91" s="11">
        <v>2400</v>
      </c>
      <c r="T91" s="11">
        <v>2400</v>
      </c>
      <c r="U91" s="11">
        <v>2400</v>
      </c>
      <c r="V91" s="11">
        <v>2400</v>
      </c>
    </row>
    <row r="92" spans="1:22" x14ac:dyDescent="0.25">
      <c r="A92" s="139" t="s">
        <v>18</v>
      </c>
      <c r="B92" s="139" t="s">
        <v>67</v>
      </c>
      <c r="C92" s="139" t="s">
        <v>334</v>
      </c>
      <c r="D92" s="141" t="s">
        <v>69</v>
      </c>
      <c r="E92" s="12">
        <v>660</v>
      </c>
      <c r="F92" s="12">
        <v>660</v>
      </c>
      <c r="G92" s="12">
        <v>660</v>
      </c>
      <c r="H92" s="12">
        <v>660</v>
      </c>
      <c r="I92" s="12">
        <v>660</v>
      </c>
      <c r="J92" s="12">
        <v>660</v>
      </c>
      <c r="K92" s="12">
        <v>660</v>
      </c>
      <c r="L92" s="12">
        <v>660</v>
      </c>
      <c r="M92" s="12">
        <v>660</v>
      </c>
      <c r="N92" s="12">
        <v>660</v>
      </c>
      <c r="O92" s="12">
        <v>660</v>
      </c>
      <c r="P92" s="12">
        <v>660</v>
      </c>
      <c r="Q92" s="12">
        <v>660</v>
      </c>
      <c r="R92" s="12">
        <v>660</v>
      </c>
      <c r="S92" s="12">
        <v>660</v>
      </c>
      <c r="T92" s="12">
        <v>660</v>
      </c>
      <c r="U92" s="12">
        <v>660</v>
      </c>
      <c r="V92" s="12">
        <v>660</v>
      </c>
    </row>
    <row r="93" spans="1:22" x14ac:dyDescent="0.25">
      <c r="A93" s="139" t="s">
        <v>18</v>
      </c>
      <c r="B93" s="139" t="s">
        <v>70</v>
      </c>
      <c r="C93" s="139" t="s">
        <v>335</v>
      </c>
      <c r="D93" s="140" t="s">
        <v>72</v>
      </c>
      <c r="E93" s="11">
        <v>3500</v>
      </c>
      <c r="F93" s="11">
        <v>3500</v>
      </c>
      <c r="G93" s="11">
        <v>3500</v>
      </c>
      <c r="H93" s="11">
        <v>3500</v>
      </c>
      <c r="I93" s="11">
        <v>3500</v>
      </c>
      <c r="J93" s="11">
        <v>3500</v>
      </c>
      <c r="K93" s="11">
        <v>3500</v>
      </c>
      <c r="L93" s="11">
        <v>3500</v>
      </c>
      <c r="M93" s="11">
        <v>3500</v>
      </c>
      <c r="N93" s="11">
        <v>3500</v>
      </c>
      <c r="O93" s="11">
        <v>3500</v>
      </c>
      <c r="P93" s="11">
        <v>3500</v>
      </c>
      <c r="Q93" s="11">
        <v>3500</v>
      </c>
      <c r="R93" s="11">
        <v>3500</v>
      </c>
      <c r="S93" s="11">
        <v>3500</v>
      </c>
      <c r="T93" s="11">
        <v>3500</v>
      </c>
      <c r="U93" s="11">
        <v>3500</v>
      </c>
      <c r="V93" s="11">
        <v>3500</v>
      </c>
    </row>
    <row r="94" spans="1:22" x14ac:dyDescent="0.25">
      <c r="A94" s="139" t="s">
        <v>18</v>
      </c>
      <c r="B94" s="139" t="s">
        <v>337</v>
      </c>
      <c r="C94" s="139" t="s">
        <v>336</v>
      </c>
      <c r="D94" s="141" t="s">
        <v>74</v>
      </c>
      <c r="E94" s="12">
        <v>2200</v>
      </c>
      <c r="F94" s="12">
        <v>2200</v>
      </c>
      <c r="G94" s="12">
        <v>2200</v>
      </c>
      <c r="H94" s="12">
        <v>2200</v>
      </c>
      <c r="I94" s="12">
        <v>2200</v>
      </c>
      <c r="J94" s="12">
        <v>2200</v>
      </c>
      <c r="K94" s="12">
        <v>2200</v>
      </c>
      <c r="L94" s="12">
        <v>2200</v>
      </c>
      <c r="M94" s="12">
        <v>2200</v>
      </c>
      <c r="N94" s="12">
        <v>2200</v>
      </c>
      <c r="O94" s="12">
        <v>2200</v>
      </c>
      <c r="P94" s="12">
        <v>2200</v>
      </c>
      <c r="Q94" s="12">
        <v>2200</v>
      </c>
      <c r="R94" s="12">
        <v>2200</v>
      </c>
      <c r="S94" s="12">
        <v>2200</v>
      </c>
      <c r="T94" s="12">
        <v>2200</v>
      </c>
      <c r="U94" s="12">
        <v>2200</v>
      </c>
      <c r="V94" s="12">
        <v>2200</v>
      </c>
    </row>
    <row r="95" spans="1:22" x14ac:dyDescent="0.25">
      <c r="A95" s="139" t="s">
        <v>18</v>
      </c>
      <c r="B95" s="139" t="s">
        <v>70</v>
      </c>
      <c r="C95" s="139" t="s">
        <v>75</v>
      </c>
      <c r="D95" s="141" t="s">
        <v>76</v>
      </c>
      <c r="E95" s="12">
        <v>70</v>
      </c>
      <c r="F95" s="12">
        <v>70</v>
      </c>
      <c r="G95" s="12">
        <v>70</v>
      </c>
      <c r="H95" s="12">
        <v>70</v>
      </c>
      <c r="I95" s="12">
        <v>70</v>
      </c>
      <c r="J95" s="12">
        <v>70</v>
      </c>
      <c r="K95" s="12">
        <v>70</v>
      </c>
      <c r="L95" s="12">
        <v>70</v>
      </c>
      <c r="M95" s="12">
        <v>70</v>
      </c>
      <c r="N95" s="12">
        <v>70</v>
      </c>
      <c r="O95" s="12">
        <v>70</v>
      </c>
      <c r="P95" s="12">
        <v>70</v>
      </c>
      <c r="Q95" s="12">
        <v>70</v>
      </c>
      <c r="R95" s="12">
        <v>70</v>
      </c>
      <c r="S95" s="12">
        <v>70</v>
      </c>
      <c r="T95" s="12">
        <v>70</v>
      </c>
      <c r="U95" s="12">
        <v>70</v>
      </c>
      <c r="V95" s="12">
        <v>70</v>
      </c>
    </row>
    <row r="96" spans="1:22" x14ac:dyDescent="0.25">
      <c r="A96" s="135" t="s">
        <v>128</v>
      </c>
      <c r="B96" s="135" t="s">
        <v>290</v>
      </c>
      <c r="C96" s="135" t="s">
        <v>290</v>
      </c>
      <c r="D96" s="135" t="s">
        <v>32</v>
      </c>
      <c r="E96" s="128">
        <v>21850</v>
      </c>
      <c r="F96" s="128">
        <v>21850</v>
      </c>
      <c r="G96" s="128">
        <v>21850</v>
      </c>
      <c r="H96" s="128">
        <v>23000</v>
      </c>
      <c r="I96" s="128">
        <v>23000</v>
      </c>
      <c r="J96" s="128">
        <v>24850</v>
      </c>
      <c r="K96" s="128">
        <v>25640</v>
      </c>
      <c r="L96" s="128">
        <v>25640</v>
      </c>
      <c r="M96" s="128">
        <v>27000</v>
      </c>
      <c r="N96" s="128">
        <v>27000</v>
      </c>
      <c r="O96" s="128">
        <v>27000</v>
      </c>
      <c r="P96" s="128">
        <v>27000</v>
      </c>
      <c r="Q96" s="128">
        <v>27000</v>
      </c>
      <c r="R96" s="128">
        <v>27000</v>
      </c>
      <c r="S96" s="128">
        <v>27000</v>
      </c>
      <c r="T96" s="128">
        <v>27000</v>
      </c>
      <c r="U96" s="128">
        <v>27000</v>
      </c>
      <c r="V96" s="128">
        <v>27000</v>
      </c>
    </row>
    <row r="97" spans="1:22" x14ac:dyDescent="0.25">
      <c r="A97" s="136" t="s">
        <v>128</v>
      </c>
      <c r="B97" s="101"/>
      <c r="C97" s="101"/>
      <c r="D97" s="101" t="s">
        <v>63</v>
      </c>
      <c r="E97" s="101">
        <f t="shared" ref="E97:V97" si="1">SUM(E2:E96)</f>
        <v>108621</v>
      </c>
      <c r="F97" s="101">
        <f t="shared" si="1"/>
        <v>108646</v>
      </c>
      <c r="G97" s="101">
        <f t="shared" si="1"/>
        <v>108926</v>
      </c>
      <c r="H97" s="101">
        <f t="shared" si="1"/>
        <v>114463</v>
      </c>
      <c r="I97" s="101">
        <f t="shared" si="1"/>
        <v>115438</v>
      </c>
      <c r="J97" s="101">
        <f t="shared" si="1"/>
        <v>120941</v>
      </c>
      <c r="K97" s="101">
        <f t="shared" si="1"/>
        <v>123071</v>
      </c>
      <c r="L97" s="101">
        <f t="shared" si="1"/>
        <v>123271</v>
      </c>
      <c r="M97" s="101">
        <f t="shared" si="1"/>
        <v>132596</v>
      </c>
      <c r="N97" s="101">
        <f t="shared" si="1"/>
        <v>132596</v>
      </c>
      <c r="O97" s="101">
        <f t="shared" si="1"/>
        <v>132596</v>
      </c>
      <c r="P97" s="101">
        <f t="shared" si="1"/>
        <v>134396</v>
      </c>
      <c r="Q97" s="101">
        <f t="shared" si="1"/>
        <v>134396</v>
      </c>
      <c r="R97" s="101">
        <f t="shared" si="1"/>
        <v>134396</v>
      </c>
      <c r="S97" s="101">
        <f t="shared" si="1"/>
        <v>134396</v>
      </c>
      <c r="T97" s="101">
        <f t="shared" si="1"/>
        <v>134396</v>
      </c>
      <c r="U97" s="101">
        <f t="shared" si="1"/>
        <v>134396</v>
      </c>
      <c r="V97" s="101">
        <f t="shared" si="1"/>
        <v>134396</v>
      </c>
    </row>
    <row r="98" spans="1:22" x14ac:dyDescent="0.25">
      <c r="J98" s="138"/>
    </row>
    <row r="99" spans="1:22" x14ac:dyDescent="0.25">
      <c r="E99" s="55"/>
      <c r="F99" s="18"/>
      <c r="G99" s="18"/>
      <c r="H99" s="18"/>
      <c r="I99" s="18"/>
      <c r="J99" s="18"/>
      <c r="K99" s="18"/>
    </row>
    <row r="100" spans="1:22" x14ac:dyDescent="0.25">
      <c r="J100" t="s">
        <v>339</v>
      </c>
      <c r="K100">
        <v>11516</v>
      </c>
      <c r="L100" s="19">
        <f>K100/K$106</f>
        <v>9.3572003152651725E-2</v>
      </c>
    </row>
    <row r="101" spans="1:22" x14ac:dyDescent="0.25">
      <c r="J101" t="s">
        <v>340</v>
      </c>
      <c r="K101">
        <v>13810</v>
      </c>
      <c r="L101" s="19">
        <f t="shared" ref="L101:L105" si="2">K101/K$106</f>
        <v>0.11221165018566519</v>
      </c>
      <c r="M101">
        <v>7600</v>
      </c>
      <c r="N101" s="18">
        <f>M101/K101</f>
        <v>0.55032585083272989</v>
      </c>
    </row>
    <row r="102" spans="1:22" x14ac:dyDescent="0.25">
      <c r="J102" t="s">
        <v>114</v>
      </c>
      <c r="K102">
        <v>33358</v>
      </c>
      <c r="L102" s="19">
        <f t="shared" si="2"/>
        <v>0.27104679412696736</v>
      </c>
      <c r="M102">
        <v>28776</v>
      </c>
      <c r="N102" s="18">
        <f>M102/K102</f>
        <v>0.86264164518256492</v>
      </c>
    </row>
    <row r="103" spans="1:22" x14ac:dyDescent="0.25">
      <c r="J103" t="s">
        <v>341</v>
      </c>
      <c r="K103">
        <v>9472</v>
      </c>
      <c r="L103" s="19">
        <f t="shared" si="2"/>
        <v>7.6963703878249135E-2</v>
      </c>
    </row>
    <row r="104" spans="1:22" x14ac:dyDescent="0.25">
      <c r="J104" t="s">
        <v>317</v>
      </c>
      <c r="K104">
        <v>29275</v>
      </c>
      <c r="L104" s="19">
        <f t="shared" si="2"/>
        <v>0.23787082253333441</v>
      </c>
      <c r="M104">
        <v>19790</v>
      </c>
      <c r="N104" s="18">
        <f>M104/K104</f>
        <v>0.67600341588385993</v>
      </c>
    </row>
    <row r="105" spans="1:22" x14ac:dyDescent="0.25">
      <c r="J105" t="s">
        <v>32</v>
      </c>
      <c r="K105" s="128">
        <v>25640</v>
      </c>
      <c r="L105" s="19">
        <f t="shared" si="2"/>
        <v>0.20833502612313218</v>
      </c>
    </row>
    <row r="106" spans="1:22" x14ac:dyDescent="0.25">
      <c r="J106" t="s">
        <v>63</v>
      </c>
      <c r="K106">
        <v>123071</v>
      </c>
    </row>
  </sheetData>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EDEBF5-337A-47D4-8D17-E59F0E852AEE}">
  <dimension ref="A1:W85"/>
  <sheetViews>
    <sheetView workbookViewId="0">
      <pane ySplit="1" topLeftCell="A65" activePane="bottomLeft" state="frozen"/>
      <selection pane="bottomLeft" activeCell="L72" sqref="L72"/>
    </sheetView>
  </sheetViews>
  <sheetFormatPr defaultRowHeight="15" x14ac:dyDescent="0.25"/>
  <cols>
    <col min="1" max="1" width="57.140625" bestFit="1" customWidth="1"/>
  </cols>
  <sheetData>
    <row r="1" spans="1:23" x14ac:dyDescent="0.25">
      <c r="A1" s="56" t="str">
        <f>'Capacity By Location'!D1</f>
        <v>Company</v>
      </c>
      <c r="B1" s="56">
        <f>'Capacity By Location'!E1</f>
        <v>2015</v>
      </c>
      <c r="C1" s="56">
        <f>'Capacity By Location'!F1</f>
        <v>2016</v>
      </c>
      <c r="D1" s="56">
        <f>'Capacity By Location'!G1</f>
        <v>2017</v>
      </c>
      <c r="E1" s="56">
        <f>'Capacity By Location'!H1</f>
        <v>2018</v>
      </c>
      <c r="F1" s="56">
        <f>'Capacity By Location'!I1</f>
        <v>2019</v>
      </c>
      <c r="G1" s="56">
        <f>'Capacity By Location'!J1</f>
        <v>2020</v>
      </c>
      <c r="H1" s="56" t="str">
        <f>'Capacity By Location'!K1</f>
        <v>2021E</v>
      </c>
      <c r="I1" s="56" t="s">
        <v>327</v>
      </c>
      <c r="J1" s="56" t="s">
        <v>328</v>
      </c>
      <c r="K1" s="56" t="s">
        <v>329</v>
      </c>
      <c r="L1" s="56" t="s">
        <v>330</v>
      </c>
      <c r="M1" s="56" t="str">
        <f>'Capacity By Location'!L1</f>
        <v>2022F</v>
      </c>
      <c r="N1" s="56" t="str">
        <f>'Capacity By Location'!M1</f>
        <v>2023F</v>
      </c>
      <c r="O1" s="56" t="str">
        <f>'Capacity By Location'!N1</f>
        <v>2024F</v>
      </c>
      <c r="P1" s="56" t="str">
        <f>'Capacity By Location'!O1</f>
        <v>2025F</v>
      </c>
      <c r="Q1" s="56" t="str">
        <f>'Capacity By Location'!P1</f>
        <v>2026F</v>
      </c>
      <c r="R1" s="56" t="str">
        <f>'Capacity By Location'!Q1</f>
        <v>2027F</v>
      </c>
      <c r="S1" s="56" t="str">
        <f>'Capacity By Location'!R1</f>
        <v>2028F</v>
      </c>
      <c r="T1" s="56" t="str">
        <f>'Capacity By Location'!S1</f>
        <v>2029F</v>
      </c>
      <c r="U1" s="56" t="str">
        <f>'Capacity By Location'!T1</f>
        <v>2030F</v>
      </c>
      <c r="V1" s="56" t="s">
        <v>293</v>
      </c>
      <c r="W1" s="56" t="s">
        <v>294</v>
      </c>
    </row>
    <row r="2" spans="1:23" x14ac:dyDescent="0.25">
      <c r="A2" s="22" t="str">
        <f>'Capacity By Location'!D2</f>
        <v>Fairway LLC</v>
      </c>
      <c r="B2" s="22">
        <f>'Capacity By Location'!E2</f>
        <v>1300</v>
      </c>
      <c r="C2" s="22">
        <f>'Capacity By Location'!F2</f>
        <v>1300</v>
      </c>
      <c r="D2" s="22">
        <f>'Capacity By Location'!G2</f>
        <v>1300</v>
      </c>
      <c r="E2" s="22">
        <f>'Capacity By Location'!H2</f>
        <v>1300</v>
      </c>
      <c r="F2" s="22">
        <f>'Capacity By Location'!I2</f>
        <v>1300</v>
      </c>
      <c r="G2" s="22">
        <f>'Capacity By Location'!J2</f>
        <v>1300</v>
      </c>
      <c r="H2" s="22">
        <f>'Capacity By Location'!K2</f>
        <v>1300</v>
      </c>
      <c r="I2" s="114">
        <f>$M2/4</f>
        <v>325</v>
      </c>
      <c r="J2" s="114">
        <f t="shared" ref="J2:L17" si="0">$M2/4</f>
        <v>325</v>
      </c>
      <c r="K2" s="114">
        <f t="shared" si="0"/>
        <v>325</v>
      </c>
      <c r="L2" s="114">
        <f t="shared" si="0"/>
        <v>325</v>
      </c>
      <c r="M2" s="22">
        <f>'Capacity By Location'!L2</f>
        <v>1300</v>
      </c>
      <c r="N2" s="22">
        <f>'Capacity By Location'!M2</f>
        <v>1700</v>
      </c>
      <c r="O2" s="22">
        <f>'Capacity By Location'!N2</f>
        <v>1700</v>
      </c>
      <c r="P2" s="22">
        <f>'Capacity By Location'!O2</f>
        <v>1700</v>
      </c>
      <c r="Q2" s="22">
        <f>'Capacity By Location'!P2</f>
        <v>1700</v>
      </c>
      <c r="R2" s="22">
        <f>'Capacity By Location'!Q2</f>
        <v>1700</v>
      </c>
      <c r="S2" s="22">
        <f>'Capacity By Location'!R2</f>
        <v>1700</v>
      </c>
      <c r="T2" s="22">
        <f>'Capacity By Location'!S2</f>
        <v>1700</v>
      </c>
      <c r="U2" s="22">
        <f>'Capacity By Location'!T2</f>
        <v>1700</v>
      </c>
      <c r="V2" s="22">
        <f>'Capacity By Location'!U2</f>
        <v>1700</v>
      </c>
      <c r="W2" s="22">
        <f>'Capacity By Location'!V2</f>
        <v>1700</v>
      </c>
    </row>
    <row r="3" spans="1:23" x14ac:dyDescent="0.25">
      <c r="A3" s="22" t="str">
        <f>'Capacity By Location'!D3</f>
        <v>US Methanol</v>
      </c>
      <c r="B3" s="22">
        <f>'Capacity By Location'!E3</f>
        <v>0</v>
      </c>
      <c r="C3" s="22">
        <f>'Capacity By Location'!F3</f>
        <v>0</v>
      </c>
      <c r="D3" s="22">
        <f>'Capacity By Location'!G3</f>
        <v>0</v>
      </c>
      <c r="E3" s="22">
        <f>'Capacity By Location'!H3</f>
        <v>0</v>
      </c>
      <c r="F3" s="22">
        <f>'Capacity By Location'!I3</f>
        <v>0</v>
      </c>
      <c r="G3" s="22">
        <f>'Capacity By Location'!J3</f>
        <v>0</v>
      </c>
      <c r="H3" s="22">
        <f>'Capacity By Location'!K3</f>
        <v>0</v>
      </c>
      <c r="I3" s="114">
        <v>0</v>
      </c>
      <c r="J3" s="114">
        <v>0</v>
      </c>
      <c r="K3" s="114">
        <f t="shared" si="0"/>
        <v>50</v>
      </c>
      <c r="L3" s="114">
        <f t="shared" si="0"/>
        <v>50</v>
      </c>
      <c r="M3" s="22">
        <f>'Capacity By Location'!L3</f>
        <v>200</v>
      </c>
      <c r="N3" s="22">
        <f>'Capacity By Location'!M3</f>
        <v>200</v>
      </c>
      <c r="O3" s="22">
        <f>'Capacity By Location'!N3</f>
        <v>200</v>
      </c>
      <c r="P3" s="22">
        <f>'Capacity By Location'!O3</f>
        <v>200</v>
      </c>
      <c r="Q3" s="22">
        <f>'Capacity By Location'!P3</f>
        <v>200</v>
      </c>
      <c r="R3" s="22">
        <f>'Capacity By Location'!Q3</f>
        <v>200</v>
      </c>
      <c r="S3" s="22">
        <f>'Capacity By Location'!R3</f>
        <v>200</v>
      </c>
      <c r="T3" s="22">
        <f>'Capacity By Location'!S3</f>
        <v>200</v>
      </c>
      <c r="U3" s="22">
        <f>'Capacity By Location'!T3</f>
        <v>200</v>
      </c>
      <c r="V3" s="22">
        <f>'Capacity By Location'!U3</f>
        <v>200</v>
      </c>
      <c r="W3" s="22">
        <f>'Capacity By Location'!V3</f>
        <v>200</v>
      </c>
    </row>
    <row r="4" spans="1:23" x14ac:dyDescent="0.25">
      <c r="A4" s="22" t="str">
        <f>'Capacity By Location'!D4</f>
        <v>Methanex Corporation</v>
      </c>
      <c r="B4" s="22">
        <f>'Capacity By Location'!E4+'Capacity By Location'!E9+'Capacity By Location'!E16+'Capacity By Location'!E17+'Capacity By Location'!E18+'Capacity By Location'!E49+'Capacity By Location'!E94</f>
        <v>10400</v>
      </c>
      <c r="C4" s="22">
        <f>'Capacity By Location'!F4+'Capacity By Location'!F9+'Capacity By Location'!F16+'Capacity By Location'!F17+'Capacity By Location'!F18+'Capacity By Location'!F49+'Capacity By Location'!F94</f>
        <v>10400</v>
      </c>
      <c r="D4" s="22">
        <f>'Capacity By Location'!G4+'Capacity By Location'!G9+'Capacity By Location'!G16+'Capacity By Location'!G17+'Capacity By Location'!G18+'Capacity By Location'!G49+'Capacity By Location'!G94</f>
        <v>10400</v>
      </c>
      <c r="E4" s="22">
        <f>'Capacity By Location'!H4+'Capacity By Location'!H9+'Capacity By Location'!H16+'Capacity By Location'!H17+'Capacity By Location'!H18+'Capacity By Location'!H49+'Capacity By Location'!H94</f>
        <v>10400</v>
      </c>
      <c r="F4" s="22">
        <f>'Capacity By Location'!I4+'Capacity By Location'!I9+'Capacity By Location'!I16+'Capacity By Location'!I17+'Capacity By Location'!I18+'Capacity By Location'!I49+'Capacity By Location'!I94</f>
        <v>10400</v>
      </c>
      <c r="G4" s="22">
        <f>'Capacity By Location'!J4+'Capacity By Location'!J9+'Capacity By Location'!J16+'Capacity By Location'!J17+'Capacity By Location'!J18+'Capacity By Location'!J49+'Capacity By Location'!J94</f>
        <v>10400</v>
      </c>
      <c r="H4" s="22">
        <f>'Capacity By Location'!K4+'Capacity By Location'!K9+'Capacity By Location'!K16+'Capacity By Location'!K17+'Capacity By Location'!K18+'Capacity By Location'!K49+'Capacity By Location'!K94</f>
        <v>10640</v>
      </c>
      <c r="I4" s="114">
        <f t="shared" ref="I4:L34" si="1">$M4/4</f>
        <v>2660</v>
      </c>
      <c r="J4" s="114">
        <f t="shared" si="0"/>
        <v>2660</v>
      </c>
      <c r="K4" s="114">
        <f t="shared" si="0"/>
        <v>2660</v>
      </c>
      <c r="L4" s="114">
        <f t="shared" si="0"/>
        <v>2660</v>
      </c>
      <c r="M4" s="22">
        <f>'Capacity By Location'!L4+'Capacity By Location'!L9+'Capacity By Location'!L16+'Capacity By Location'!L17+'Capacity By Location'!L18+'Capacity By Location'!L49+'Capacity By Location'!L94</f>
        <v>10640</v>
      </c>
      <c r="N4" s="22">
        <f>'Capacity By Location'!M4+'Capacity By Location'!M9+'Capacity By Location'!M16+'Capacity By Location'!M17+'Capacity By Location'!M18+'Capacity By Location'!M49+'Capacity By Location'!M94</f>
        <v>12440</v>
      </c>
      <c r="O4" s="22">
        <f>'Capacity By Location'!N4+'Capacity By Location'!N9+'Capacity By Location'!N16+'Capacity By Location'!N17+'Capacity By Location'!N18+'Capacity By Location'!N49+'Capacity By Location'!N94</f>
        <v>12440</v>
      </c>
      <c r="P4" s="22">
        <f>'Capacity By Location'!O4+'Capacity By Location'!O9+'Capacity By Location'!O16+'Capacity By Location'!O17+'Capacity By Location'!O18+'Capacity By Location'!O49+'Capacity By Location'!O94</f>
        <v>12440</v>
      </c>
      <c r="Q4" s="22">
        <f>'Capacity By Location'!P4+'Capacity By Location'!P9+'Capacity By Location'!P16+'Capacity By Location'!P17+'Capacity By Location'!P18+'Capacity By Location'!P49+'Capacity By Location'!P94</f>
        <v>12440</v>
      </c>
      <c r="R4" s="22">
        <f>'Capacity By Location'!Q4+'Capacity By Location'!Q9+'Capacity By Location'!Q16+'Capacity By Location'!Q17+'Capacity By Location'!Q18+'Capacity By Location'!Q49+'Capacity By Location'!Q94</f>
        <v>12440</v>
      </c>
      <c r="S4" s="22">
        <f>'Capacity By Location'!R4+'Capacity By Location'!R9+'Capacity By Location'!R16+'Capacity By Location'!R17+'Capacity By Location'!R18+'Capacity By Location'!R49+'Capacity By Location'!R94</f>
        <v>12440</v>
      </c>
      <c r="T4" s="22">
        <f>'Capacity By Location'!S4+'Capacity By Location'!S9+'Capacity By Location'!S16+'Capacity By Location'!S17+'Capacity By Location'!S18+'Capacity By Location'!S49+'Capacity By Location'!S94</f>
        <v>12440</v>
      </c>
      <c r="U4" s="22">
        <f>'Capacity By Location'!T4+'Capacity By Location'!T9+'Capacity By Location'!T16+'Capacity By Location'!T17+'Capacity By Location'!T18+'Capacity By Location'!T49+'Capacity By Location'!T94</f>
        <v>12440</v>
      </c>
      <c r="V4" s="22">
        <f>'Capacity By Location'!U4+'Capacity By Location'!U9+'Capacity By Location'!U16+'Capacity By Location'!U17+'Capacity By Location'!U18+'Capacity By Location'!U49+'Capacity By Location'!U94</f>
        <v>12440</v>
      </c>
      <c r="W4" s="22">
        <f>'Capacity By Location'!V4+'Capacity By Location'!V9+'Capacity By Location'!V16+'Capacity By Location'!V17+'Capacity By Location'!V18+'Capacity By Location'!V49+'Capacity By Location'!V94</f>
        <v>12440</v>
      </c>
    </row>
    <row r="5" spans="1:23" x14ac:dyDescent="0.25">
      <c r="A5" s="22" t="str">
        <f>'Capacity By Location'!D5</f>
        <v>LyondellBasell Industries BV</v>
      </c>
      <c r="B5" s="22">
        <f>'Capacity By Location'!E5</f>
        <v>780</v>
      </c>
      <c r="C5" s="22">
        <f>'Capacity By Location'!F5</f>
        <v>780</v>
      </c>
      <c r="D5" s="22">
        <f>'Capacity By Location'!G5</f>
        <v>780</v>
      </c>
      <c r="E5" s="22">
        <f>'Capacity By Location'!H5</f>
        <v>780</v>
      </c>
      <c r="F5" s="22">
        <f>'Capacity By Location'!I5</f>
        <v>780</v>
      </c>
      <c r="G5" s="22">
        <f>'Capacity By Location'!J5</f>
        <v>780</v>
      </c>
      <c r="H5" s="22">
        <f>'Capacity By Location'!K5</f>
        <v>780</v>
      </c>
      <c r="I5" s="114">
        <f t="shared" si="1"/>
        <v>195</v>
      </c>
      <c r="J5" s="114">
        <f t="shared" si="0"/>
        <v>195</v>
      </c>
      <c r="K5" s="114">
        <f t="shared" si="0"/>
        <v>195</v>
      </c>
      <c r="L5" s="114">
        <f t="shared" si="0"/>
        <v>195</v>
      </c>
      <c r="M5" s="22">
        <f>'Capacity By Location'!L5</f>
        <v>780</v>
      </c>
      <c r="N5" s="22">
        <f>'Capacity By Location'!M5</f>
        <v>780</v>
      </c>
      <c r="O5" s="22">
        <f>'Capacity By Location'!N5</f>
        <v>780</v>
      </c>
      <c r="P5" s="22">
        <f>'Capacity By Location'!O5</f>
        <v>780</v>
      </c>
      <c r="Q5" s="22">
        <f>'Capacity By Location'!P5</f>
        <v>780</v>
      </c>
      <c r="R5" s="22">
        <f>'Capacity By Location'!Q5</f>
        <v>780</v>
      </c>
      <c r="S5" s="22">
        <f>'Capacity By Location'!R5</f>
        <v>780</v>
      </c>
      <c r="T5" s="22">
        <f>'Capacity By Location'!S5</f>
        <v>780</v>
      </c>
      <c r="U5" s="22">
        <f>'Capacity By Location'!T5</f>
        <v>780</v>
      </c>
      <c r="V5" s="22">
        <f>'Capacity By Location'!U5</f>
        <v>780</v>
      </c>
      <c r="W5" s="22">
        <f>'Capacity By Location'!V5</f>
        <v>780</v>
      </c>
    </row>
    <row r="6" spans="1:23" x14ac:dyDescent="0.25">
      <c r="A6" s="57" t="s">
        <v>295</v>
      </c>
      <c r="B6" s="22">
        <f>'Capacity By Location'!E6+'Capacity By Location'!E41</f>
        <v>1870</v>
      </c>
      <c r="C6" s="22">
        <f>'Capacity By Location'!F6+'Capacity By Location'!F41</f>
        <v>1870</v>
      </c>
      <c r="D6" s="22">
        <f>'Capacity By Location'!G6+'Capacity By Location'!G41</f>
        <v>1870</v>
      </c>
      <c r="E6" s="22">
        <f>'Capacity By Location'!H6+'Capacity By Location'!H41</f>
        <v>1870</v>
      </c>
      <c r="F6" s="22">
        <f>'Capacity By Location'!I6+'Capacity By Location'!I41</f>
        <v>1995</v>
      </c>
      <c r="G6" s="22">
        <f>'Capacity By Location'!J6+'Capacity By Location'!J41</f>
        <v>1995</v>
      </c>
      <c r="H6" s="22">
        <f>'Capacity By Location'!K6+'Capacity By Location'!K41</f>
        <v>1995</v>
      </c>
      <c r="I6" s="114">
        <f t="shared" si="1"/>
        <v>498.75</v>
      </c>
      <c r="J6" s="114">
        <f t="shared" si="0"/>
        <v>498.75</v>
      </c>
      <c r="K6" s="114">
        <f t="shared" si="0"/>
        <v>498.75</v>
      </c>
      <c r="L6" s="114">
        <f t="shared" si="0"/>
        <v>498.75</v>
      </c>
      <c r="M6" s="22">
        <f>'Capacity By Location'!L6+'Capacity By Location'!L41</f>
        <v>1995</v>
      </c>
      <c r="N6" s="22">
        <f>'Capacity By Location'!M6+'Capacity By Location'!M41</f>
        <v>1995</v>
      </c>
      <c r="O6" s="22">
        <f>'Capacity By Location'!N6+'Capacity By Location'!N41</f>
        <v>1995</v>
      </c>
      <c r="P6" s="22">
        <f>'Capacity By Location'!O6+'Capacity By Location'!O41</f>
        <v>1995</v>
      </c>
      <c r="Q6" s="22">
        <f>'Capacity By Location'!P6+'Capacity By Location'!P41</f>
        <v>1995</v>
      </c>
      <c r="R6" s="22">
        <f>'Capacity By Location'!Q6+'Capacity By Location'!Q41</f>
        <v>1995</v>
      </c>
      <c r="S6" s="22">
        <f>'Capacity By Location'!R6+'Capacity By Location'!R41</f>
        <v>1995</v>
      </c>
      <c r="T6" s="22">
        <f>'Capacity By Location'!S6+'Capacity By Location'!S41</f>
        <v>1995</v>
      </c>
      <c r="U6" s="22">
        <f>'Capacity By Location'!T6+'Capacity By Location'!T41</f>
        <v>1995</v>
      </c>
      <c r="V6" s="22">
        <f>'Capacity By Location'!U6+'Capacity By Location'!U41</f>
        <v>1995</v>
      </c>
      <c r="W6" s="22">
        <f>'Capacity By Location'!V6+'Capacity By Location'!V41</f>
        <v>1995</v>
      </c>
    </row>
    <row r="7" spans="1:23" x14ac:dyDescent="0.25">
      <c r="A7" s="22" t="str">
        <f>'Capacity By Location'!D7</f>
        <v>Eastman Chemical</v>
      </c>
      <c r="B7" s="22">
        <f>'Capacity By Location'!E7</f>
        <v>195</v>
      </c>
      <c r="C7" s="22">
        <f>'Capacity By Location'!F7</f>
        <v>195</v>
      </c>
      <c r="D7" s="22">
        <f>'Capacity By Location'!G7</f>
        <v>195</v>
      </c>
      <c r="E7" s="22">
        <f>'Capacity By Location'!H7</f>
        <v>195</v>
      </c>
      <c r="F7" s="22">
        <f>'Capacity By Location'!I7</f>
        <v>195</v>
      </c>
      <c r="G7" s="22">
        <f>'Capacity By Location'!J7</f>
        <v>195</v>
      </c>
      <c r="H7" s="22">
        <f>'Capacity By Location'!K7</f>
        <v>195</v>
      </c>
      <c r="I7" s="114">
        <f t="shared" si="1"/>
        <v>48.75</v>
      </c>
      <c r="J7" s="114">
        <f t="shared" si="0"/>
        <v>48.75</v>
      </c>
      <c r="K7" s="114">
        <f t="shared" si="0"/>
        <v>48.75</v>
      </c>
      <c r="L7" s="114">
        <f t="shared" si="0"/>
        <v>48.75</v>
      </c>
      <c r="M7" s="22">
        <f>'Capacity By Location'!L7</f>
        <v>195</v>
      </c>
      <c r="N7" s="22">
        <f>'Capacity By Location'!M7</f>
        <v>195</v>
      </c>
      <c r="O7" s="22">
        <f>'Capacity By Location'!N7</f>
        <v>195</v>
      </c>
      <c r="P7" s="22">
        <f>'Capacity By Location'!O7</f>
        <v>195</v>
      </c>
      <c r="Q7" s="22">
        <f>'Capacity By Location'!P7</f>
        <v>195</v>
      </c>
      <c r="R7" s="22">
        <f>'Capacity By Location'!Q7</f>
        <v>195</v>
      </c>
      <c r="S7" s="22">
        <f>'Capacity By Location'!R7</f>
        <v>195</v>
      </c>
      <c r="T7" s="22">
        <f>'Capacity By Location'!S7</f>
        <v>195</v>
      </c>
      <c r="U7" s="22">
        <f>'Capacity By Location'!T7</f>
        <v>195</v>
      </c>
      <c r="V7" s="22">
        <f>'Capacity By Location'!U7</f>
        <v>195</v>
      </c>
      <c r="W7" s="22">
        <f>'Capacity By Location'!V7</f>
        <v>195</v>
      </c>
    </row>
    <row r="8" spans="1:23" x14ac:dyDescent="0.25">
      <c r="A8" s="22" t="str">
        <f>'Capacity By Location'!D8</f>
        <v>Yuhuang Chemical Industries Inc.</v>
      </c>
      <c r="B8" s="22">
        <f>'Capacity By Location'!E8</f>
        <v>0</v>
      </c>
      <c r="C8" s="22">
        <f>'Capacity By Location'!F8</f>
        <v>0</v>
      </c>
      <c r="D8" s="22">
        <f>'Capacity By Location'!G8</f>
        <v>0</v>
      </c>
      <c r="E8" s="22">
        <f>'Capacity By Location'!H8</f>
        <v>850</v>
      </c>
      <c r="F8" s="22">
        <f>'Capacity By Location'!I8</f>
        <v>1700</v>
      </c>
      <c r="G8" s="22">
        <f>'Capacity By Location'!J8</f>
        <v>1700</v>
      </c>
      <c r="H8" s="22">
        <f>'Capacity By Location'!K8</f>
        <v>1700</v>
      </c>
      <c r="I8" s="114">
        <f t="shared" si="1"/>
        <v>425</v>
      </c>
      <c r="J8" s="114">
        <f t="shared" si="0"/>
        <v>425</v>
      </c>
      <c r="K8" s="114">
        <f t="shared" si="0"/>
        <v>425</v>
      </c>
      <c r="L8" s="114">
        <f t="shared" si="0"/>
        <v>425</v>
      </c>
      <c r="M8" s="22">
        <f>'Capacity By Location'!L8</f>
        <v>1700</v>
      </c>
      <c r="N8" s="22">
        <f>'Capacity By Location'!M8</f>
        <v>1700</v>
      </c>
      <c r="O8" s="22">
        <f>'Capacity By Location'!N8</f>
        <v>1700</v>
      </c>
      <c r="P8" s="22">
        <f>'Capacity By Location'!O8</f>
        <v>1700</v>
      </c>
      <c r="Q8" s="22">
        <f>'Capacity By Location'!P8</f>
        <v>1700</v>
      </c>
      <c r="R8" s="22">
        <f>'Capacity By Location'!Q8</f>
        <v>1700</v>
      </c>
      <c r="S8" s="22">
        <f>'Capacity By Location'!R8</f>
        <v>1700</v>
      </c>
      <c r="T8" s="22">
        <f>'Capacity By Location'!S8</f>
        <v>1700</v>
      </c>
      <c r="U8" s="22">
        <f>'Capacity By Location'!T8</f>
        <v>1700</v>
      </c>
      <c r="V8" s="22">
        <f>'Capacity By Location'!U8</f>
        <v>1700</v>
      </c>
      <c r="W8" s="22">
        <f>'Capacity By Location'!V8</f>
        <v>1700</v>
      </c>
    </row>
    <row r="9" spans="1:23" x14ac:dyDescent="0.25">
      <c r="A9" s="22" t="str">
        <f>'Capacity By Location'!D10</f>
        <v>Nauticol Energy</v>
      </c>
      <c r="B9" s="22">
        <f>'Capacity By Location'!E10</f>
        <v>0</v>
      </c>
      <c r="C9" s="22">
        <f>'Capacity By Location'!F10</f>
        <v>0</v>
      </c>
      <c r="D9" s="22">
        <f>'Capacity By Location'!G10</f>
        <v>0</v>
      </c>
      <c r="E9" s="22">
        <f>'Capacity By Location'!H10</f>
        <v>0</v>
      </c>
      <c r="F9" s="22">
        <f>'Capacity By Location'!I10</f>
        <v>0</v>
      </c>
      <c r="G9" s="22">
        <f>'Capacity By Location'!J10</f>
        <v>0</v>
      </c>
      <c r="H9" s="22">
        <f>'Capacity By Location'!K10</f>
        <v>0</v>
      </c>
      <c r="I9" s="114">
        <f t="shared" si="1"/>
        <v>0</v>
      </c>
      <c r="J9" s="114">
        <f t="shared" si="0"/>
        <v>0</v>
      </c>
      <c r="K9" s="114">
        <f t="shared" si="0"/>
        <v>0</v>
      </c>
      <c r="L9" s="114">
        <f t="shared" si="0"/>
        <v>0</v>
      </c>
      <c r="M9" s="22">
        <f>'Capacity By Location'!L10</f>
        <v>0</v>
      </c>
      <c r="N9" s="22">
        <f>'Capacity By Location'!M10</f>
        <v>3400</v>
      </c>
      <c r="O9" s="22">
        <f>'Capacity By Location'!N10</f>
        <v>3400</v>
      </c>
      <c r="P9" s="22">
        <f>'Capacity By Location'!O10</f>
        <v>3400</v>
      </c>
      <c r="Q9" s="22">
        <f>'Capacity By Location'!P10</f>
        <v>3400</v>
      </c>
      <c r="R9" s="22">
        <f>'Capacity By Location'!Q10</f>
        <v>3400</v>
      </c>
      <c r="S9" s="22">
        <f>'Capacity By Location'!R10</f>
        <v>3400</v>
      </c>
      <c r="T9" s="22">
        <f>'Capacity By Location'!S10</f>
        <v>3400</v>
      </c>
      <c r="U9" s="22">
        <f>'Capacity By Location'!T10</f>
        <v>3400</v>
      </c>
      <c r="V9" s="22">
        <f>'Capacity By Location'!U10</f>
        <v>3400</v>
      </c>
      <c r="W9" s="22">
        <f>'Capacity By Location'!V10</f>
        <v>3400</v>
      </c>
    </row>
    <row r="10" spans="1:23" x14ac:dyDescent="0.25">
      <c r="A10" s="22" t="str">
        <f>'Capacity By Location'!D11</f>
        <v>Pemex</v>
      </c>
      <c r="B10" s="22">
        <f>'Capacity By Location'!E11</f>
        <v>180</v>
      </c>
      <c r="C10" s="22">
        <f>'Capacity By Location'!F11</f>
        <v>180</v>
      </c>
      <c r="D10" s="22">
        <f>'Capacity By Location'!G11</f>
        <v>180</v>
      </c>
      <c r="E10" s="22">
        <f>'Capacity By Location'!H11</f>
        <v>180</v>
      </c>
      <c r="F10" s="22">
        <f>'Capacity By Location'!I11</f>
        <v>180</v>
      </c>
      <c r="G10" s="22">
        <f>'Capacity By Location'!J11</f>
        <v>180</v>
      </c>
      <c r="H10" s="22">
        <f>'Capacity By Location'!K11</f>
        <v>180</v>
      </c>
      <c r="I10" s="114">
        <f t="shared" si="1"/>
        <v>45</v>
      </c>
      <c r="J10" s="114">
        <f t="shared" si="0"/>
        <v>45</v>
      </c>
      <c r="K10" s="114">
        <f t="shared" si="0"/>
        <v>45</v>
      </c>
      <c r="L10" s="114">
        <f t="shared" si="0"/>
        <v>45</v>
      </c>
      <c r="M10" s="22">
        <f>'Capacity By Location'!L11</f>
        <v>180</v>
      </c>
      <c r="N10" s="22">
        <f>'Capacity By Location'!M11</f>
        <v>180</v>
      </c>
      <c r="O10" s="22">
        <f>'Capacity By Location'!N11</f>
        <v>180</v>
      </c>
      <c r="P10" s="22">
        <f>'Capacity By Location'!O11</f>
        <v>180</v>
      </c>
      <c r="Q10" s="22">
        <f>'Capacity By Location'!P11</f>
        <v>180</v>
      </c>
      <c r="R10" s="22">
        <f>'Capacity By Location'!Q11</f>
        <v>180</v>
      </c>
      <c r="S10" s="22">
        <f>'Capacity By Location'!R11</f>
        <v>180</v>
      </c>
      <c r="T10" s="22">
        <f>'Capacity By Location'!S11</f>
        <v>180</v>
      </c>
      <c r="U10" s="22">
        <f>'Capacity By Location'!T11</f>
        <v>180</v>
      </c>
      <c r="V10" s="22">
        <f>'Capacity By Location'!U11</f>
        <v>180</v>
      </c>
      <c r="W10" s="22">
        <f>'Capacity By Location'!V11</f>
        <v>180</v>
      </c>
    </row>
    <row r="11" spans="1:23" x14ac:dyDescent="0.25">
      <c r="A11" s="57" t="str">
        <f>'Capacity By Location'!D12</f>
        <v>Natgasoline LLC</v>
      </c>
      <c r="B11" s="22">
        <f>'Capacity By Location'!E12</f>
        <v>0</v>
      </c>
      <c r="C11" s="22">
        <f>'Capacity By Location'!F12</f>
        <v>0</v>
      </c>
      <c r="D11" s="22">
        <f>'Capacity By Location'!G12</f>
        <v>0</v>
      </c>
      <c r="E11" s="22">
        <f>'Capacity By Location'!H12</f>
        <v>1807</v>
      </c>
      <c r="F11" s="22">
        <f>'Capacity By Location'!I12</f>
        <v>1807</v>
      </c>
      <c r="G11" s="22">
        <f>'Capacity By Location'!J12</f>
        <v>1807</v>
      </c>
      <c r="H11" s="22">
        <f>'Capacity By Location'!K12</f>
        <v>1807</v>
      </c>
      <c r="I11" s="114">
        <f t="shared" si="1"/>
        <v>451.75</v>
      </c>
      <c r="J11" s="114">
        <f t="shared" si="0"/>
        <v>451.75</v>
      </c>
      <c r="K11" s="114">
        <f t="shared" si="0"/>
        <v>451.75</v>
      </c>
      <c r="L11" s="114">
        <f t="shared" si="0"/>
        <v>451.75</v>
      </c>
      <c r="M11" s="22">
        <f>'Capacity By Location'!L12</f>
        <v>1807</v>
      </c>
      <c r="N11" s="22">
        <f>'Capacity By Location'!M12</f>
        <v>1807</v>
      </c>
      <c r="O11" s="22">
        <f>'Capacity By Location'!N12</f>
        <v>1807</v>
      </c>
      <c r="P11" s="22">
        <f>'Capacity By Location'!O12</f>
        <v>1807</v>
      </c>
      <c r="Q11" s="22">
        <f>'Capacity By Location'!P12</f>
        <v>1807</v>
      </c>
      <c r="R11" s="22">
        <f>'Capacity By Location'!Q12</f>
        <v>1807</v>
      </c>
      <c r="S11" s="22">
        <f>'Capacity By Location'!R12</f>
        <v>1807</v>
      </c>
      <c r="T11" s="22">
        <f>'Capacity By Location'!S12</f>
        <v>1807</v>
      </c>
      <c r="U11" s="22">
        <f>'Capacity By Location'!T12</f>
        <v>1807</v>
      </c>
      <c r="V11" s="22">
        <f>'Capacity By Location'!U12</f>
        <v>1807</v>
      </c>
      <c r="W11" s="22">
        <f>'Capacity By Location'!V12</f>
        <v>1807</v>
      </c>
    </row>
    <row r="12" spans="1:23" x14ac:dyDescent="0.25">
      <c r="A12" s="22" t="str">
        <f>'Capacity By Location'!D13</f>
        <v xml:space="preserve">Pampa Fuels LLC  </v>
      </c>
      <c r="B12" s="22">
        <f>'Capacity By Location'!E13</f>
        <v>40</v>
      </c>
      <c r="C12" s="22">
        <f>'Capacity By Location'!F13</f>
        <v>65</v>
      </c>
      <c r="D12" s="22">
        <f>'Capacity By Location'!G13</f>
        <v>65</v>
      </c>
      <c r="E12" s="22">
        <f>'Capacity By Location'!H13</f>
        <v>65</v>
      </c>
      <c r="F12" s="22">
        <f>'Capacity By Location'!I13</f>
        <v>65</v>
      </c>
      <c r="G12" s="22">
        <f>'Capacity By Location'!J13</f>
        <v>65</v>
      </c>
      <c r="H12" s="22">
        <f>'Capacity By Location'!K13</f>
        <v>65</v>
      </c>
      <c r="I12" s="114">
        <f t="shared" si="1"/>
        <v>16.25</v>
      </c>
      <c r="J12" s="114">
        <f t="shared" si="0"/>
        <v>16.25</v>
      </c>
      <c r="K12" s="114">
        <f t="shared" si="0"/>
        <v>16.25</v>
      </c>
      <c r="L12" s="114">
        <f t="shared" si="0"/>
        <v>16.25</v>
      </c>
      <c r="M12" s="22">
        <f>'Capacity By Location'!L13</f>
        <v>65</v>
      </c>
      <c r="N12" s="22">
        <f>'Capacity By Location'!M13</f>
        <v>65</v>
      </c>
      <c r="O12" s="22">
        <f>'Capacity By Location'!N13</f>
        <v>65</v>
      </c>
      <c r="P12" s="22">
        <f>'Capacity By Location'!O13</f>
        <v>65</v>
      </c>
      <c r="Q12" s="22">
        <f>'Capacity By Location'!P13</f>
        <v>65</v>
      </c>
      <c r="R12" s="22">
        <f>'Capacity By Location'!Q13</f>
        <v>65</v>
      </c>
      <c r="S12" s="22">
        <f>'Capacity By Location'!R13</f>
        <v>65</v>
      </c>
      <c r="T12" s="22">
        <f>'Capacity By Location'!S13</f>
        <v>65</v>
      </c>
      <c r="U12" s="22">
        <f>'Capacity By Location'!T13</f>
        <v>65</v>
      </c>
      <c r="V12" s="22">
        <f>'Capacity By Location'!U13</f>
        <v>65</v>
      </c>
      <c r="W12" s="22">
        <f>'Capacity By Location'!V13</f>
        <v>65</v>
      </c>
    </row>
    <row r="13" spans="1:23" x14ac:dyDescent="0.25">
      <c r="A13" s="22" t="str">
        <f>'Capacity By Location'!D14</f>
        <v>Praxair</v>
      </c>
      <c r="B13" s="22">
        <f>'Capacity By Location'!E14</f>
        <v>45</v>
      </c>
      <c r="C13" s="22">
        <f>'Capacity By Location'!F14</f>
        <v>45</v>
      </c>
      <c r="D13" s="22">
        <f>'Capacity By Location'!G14</f>
        <v>45</v>
      </c>
      <c r="E13" s="22">
        <f>'Capacity By Location'!H14</f>
        <v>45</v>
      </c>
      <c r="F13" s="22">
        <f>'Capacity By Location'!I14</f>
        <v>45</v>
      </c>
      <c r="G13" s="22">
        <f>'Capacity By Location'!J14</f>
        <v>45</v>
      </c>
      <c r="H13" s="22">
        <f>'Capacity By Location'!K14</f>
        <v>45</v>
      </c>
      <c r="I13" s="114">
        <f t="shared" si="1"/>
        <v>11.25</v>
      </c>
      <c r="J13" s="114">
        <f t="shared" si="0"/>
        <v>11.25</v>
      </c>
      <c r="K13" s="114">
        <f t="shared" si="0"/>
        <v>11.25</v>
      </c>
      <c r="L13" s="114">
        <f t="shared" si="0"/>
        <v>11.25</v>
      </c>
      <c r="M13" s="22">
        <f>'Capacity By Location'!L14</f>
        <v>45</v>
      </c>
      <c r="N13" s="22">
        <f>'Capacity By Location'!M14</f>
        <v>45</v>
      </c>
      <c r="O13" s="22">
        <f>'Capacity By Location'!N14</f>
        <v>45</v>
      </c>
      <c r="P13" s="22">
        <f>'Capacity By Location'!O14</f>
        <v>45</v>
      </c>
      <c r="Q13" s="22">
        <f>'Capacity By Location'!P14</f>
        <v>45</v>
      </c>
      <c r="R13" s="22">
        <f>'Capacity By Location'!Q14</f>
        <v>45</v>
      </c>
      <c r="S13" s="22">
        <f>'Capacity By Location'!R14</f>
        <v>45</v>
      </c>
      <c r="T13" s="22">
        <f>'Capacity By Location'!S14</f>
        <v>45</v>
      </c>
      <c r="U13" s="22">
        <f>'Capacity By Location'!T14</f>
        <v>45</v>
      </c>
      <c r="V13" s="22">
        <f>'Capacity By Location'!U14</f>
        <v>45</v>
      </c>
      <c r="W13" s="22">
        <f>'Capacity By Location'!V14</f>
        <v>45</v>
      </c>
    </row>
    <row r="14" spans="1:23" x14ac:dyDescent="0.25">
      <c r="A14" s="22" t="str">
        <f>'Capacity By Location'!D15</f>
        <v>Koch Methanol One</v>
      </c>
      <c r="B14" s="22">
        <f>'Capacity By Location'!E15</f>
        <v>1600</v>
      </c>
      <c r="C14" s="22">
        <f>'Capacity By Location'!F15</f>
        <v>1600</v>
      </c>
      <c r="D14" s="22">
        <f>'Capacity By Location'!G15</f>
        <v>1600</v>
      </c>
      <c r="E14" s="22">
        <f>'Capacity By Location'!H15</f>
        <v>1600</v>
      </c>
      <c r="F14" s="22">
        <f>'Capacity By Location'!I15</f>
        <v>1600</v>
      </c>
      <c r="G14" s="22">
        <f>'Capacity By Location'!J15</f>
        <v>1600</v>
      </c>
      <c r="H14" s="22">
        <f>'Capacity By Location'!K15</f>
        <v>1600</v>
      </c>
      <c r="I14" s="114">
        <f t="shared" si="1"/>
        <v>400</v>
      </c>
      <c r="J14" s="114">
        <f t="shared" si="0"/>
        <v>400</v>
      </c>
      <c r="K14" s="114">
        <f t="shared" si="0"/>
        <v>400</v>
      </c>
      <c r="L14" s="114">
        <f t="shared" si="0"/>
        <v>400</v>
      </c>
      <c r="M14" s="22">
        <f>'Capacity By Location'!L15</f>
        <v>1600</v>
      </c>
      <c r="N14" s="22">
        <f>'Capacity By Location'!M15</f>
        <v>1600</v>
      </c>
      <c r="O14" s="22">
        <f>'Capacity By Location'!N15</f>
        <v>1600</v>
      </c>
      <c r="P14" s="22">
        <f>'Capacity By Location'!O15</f>
        <v>1600</v>
      </c>
      <c r="Q14" s="22">
        <f>'Capacity By Location'!P15</f>
        <v>1600</v>
      </c>
      <c r="R14" s="22">
        <f>'Capacity By Location'!Q15</f>
        <v>1600</v>
      </c>
      <c r="S14" s="22">
        <f>'Capacity By Location'!R15</f>
        <v>1600</v>
      </c>
      <c r="T14" s="22">
        <f>'Capacity By Location'!S15</f>
        <v>1600</v>
      </c>
      <c r="U14" s="22">
        <f>'Capacity By Location'!T15</f>
        <v>1600</v>
      </c>
      <c r="V14" s="22">
        <f>'Capacity By Location'!U15</f>
        <v>1600</v>
      </c>
      <c r="W14" s="22">
        <f>'Capacity By Location'!V15</f>
        <v>1600</v>
      </c>
    </row>
    <row r="15" spans="1:23" x14ac:dyDescent="0.25">
      <c r="A15" s="22" t="str">
        <f>'Capacity By Location'!D19</f>
        <v>Methanol Holdings (Trinidad) Limited (MHTL)</v>
      </c>
      <c r="B15" s="22">
        <f>'Capacity By Location'!E19+'Capacity By Location'!E20+'Capacity By Location'!E21+'Capacity By Location'!E22+'Capacity By Location'!E23</f>
        <v>4000</v>
      </c>
      <c r="C15" s="22">
        <f>'Capacity By Location'!F19+'Capacity By Location'!F20+'Capacity By Location'!F21+'Capacity By Location'!F22+'Capacity By Location'!F23</f>
        <v>4000</v>
      </c>
      <c r="D15" s="22">
        <f>'Capacity By Location'!G19+'Capacity By Location'!G20+'Capacity By Location'!G21+'Capacity By Location'!G22+'Capacity By Location'!G23</f>
        <v>4000</v>
      </c>
      <c r="E15" s="22">
        <f>'Capacity By Location'!H19+'Capacity By Location'!H20+'Capacity By Location'!H21+'Capacity By Location'!H22+'Capacity By Location'!H23</f>
        <v>4000</v>
      </c>
      <c r="F15" s="22">
        <f>'Capacity By Location'!I19+'Capacity By Location'!I20+'Capacity By Location'!I21+'Capacity By Location'!I22+'Capacity By Location'!I23</f>
        <v>4000</v>
      </c>
      <c r="G15" s="22">
        <f>'Capacity By Location'!J19+'Capacity By Location'!J20+'Capacity By Location'!J21+'Capacity By Location'!J22+'Capacity By Location'!J23</f>
        <v>4000</v>
      </c>
      <c r="H15" s="22">
        <f>'Capacity By Location'!K19+'Capacity By Location'!K20+'Capacity By Location'!K21+'Capacity By Location'!K22+'Capacity By Location'!K23</f>
        <v>4000</v>
      </c>
      <c r="I15" s="114">
        <f t="shared" si="1"/>
        <v>1000</v>
      </c>
      <c r="J15" s="114">
        <f t="shared" si="0"/>
        <v>1000</v>
      </c>
      <c r="K15" s="114">
        <f t="shared" si="0"/>
        <v>1000</v>
      </c>
      <c r="L15" s="114">
        <f t="shared" si="0"/>
        <v>1000</v>
      </c>
      <c r="M15" s="22">
        <f>'Capacity By Location'!L19+'Capacity By Location'!L20+'Capacity By Location'!L21+'Capacity By Location'!L22+'Capacity By Location'!L23</f>
        <v>4000</v>
      </c>
      <c r="N15" s="22">
        <f>'Capacity By Location'!M19+'Capacity By Location'!M20+'Capacity By Location'!M21+'Capacity By Location'!M22+'Capacity By Location'!M23</f>
        <v>4000</v>
      </c>
      <c r="O15" s="22">
        <f>'Capacity By Location'!N19+'Capacity By Location'!N20+'Capacity By Location'!N21+'Capacity By Location'!N22+'Capacity By Location'!N23</f>
        <v>4000</v>
      </c>
      <c r="P15" s="22">
        <f>'Capacity By Location'!O19+'Capacity By Location'!O20+'Capacity By Location'!O21+'Capacity By Location'!O22+'Capacity By Location'!O23</f>
        <v>4000</v>
      </c>
      <c r="Q15" s="22">
        <f>'Capacity By Location'!P19+'Capacity By Location'!P20+'Capacity By Location'!P21+'Capacity By Location'!P22+'Capacity By Location'!P23</f>
        <v>4000</v>
      </c>
      <c r="R15" s="22">
        <f>'Capacity By Location'!Q19+'Capacity By Location'!Q20+'Capacity By Location'!Q21+'Capacity By Location'!Q22+'Capacity By Location'!Q23</f>
        <v>4000</v>
      </c>
      <c r="S15" s="22">
        <f>'Capacity By Location'!R19+'Capacity By Location'!R20+'Capacity By Location'!R21+'Capacity By Location'!R22+'Capacity By Location'!R23</f>
        <v>4000</v>
      </c>
      <c r="T15" s="22">
        <f>'Capacity By Location'!S19+'Capacity By Location'!S20+'Capacity By Location'!S21+'Capacity By Location'!S22+'Capacity By Location'!S23</f>
        <v>4000</v>
      </c>
      <c r="U15" s="22">
        <f>'Capacity By Location'!T19+'Capacity By Location'!T20+'Capacity By Location'!T21+'Capacity By Location'!T22+'Capacity By Location'!T23</f>
        <v>4000</v>
      </c>
      <c r="V15" s="22">
        <f>'Capacity By Location'!U19+'Capacity By Location'!U20+'Capacity By Location'!U21+'Capacity By Location'!U22+'Capacity By Location'!U23</f>
        <v>4000</v>
      </c>
      <c r="W15" s="22">
        <f>'Capacity By Location'!V19+'Capacity By Location'!V20+'Capacity By Location'!V21+'Capacity By Location'!V22+'Capacity By Location'!V23</f>
        <v>4000</v>
      </c>
    </row>
    <row r="16" spans="1:23" x14ac:dyDescent="0.25">
      <c r="A16" s="22" t="str">
        <f>'Capacity By Location'!D24</f>
        <v>CGCL/Mitsubishi</v>
      </c>
      <c r="B16" s="22">
        <f>'Capacity By Location'!E24</f>
        <v>1000</v>
      </c>
      <c r="C16" s="22">
        <f>'Capacity By Location'!F24</f>
        <v>1000</v>
      </c>
      <c r="D16" s="22">
        <f>'Capacity By Location'!G24</f>
        <v>1000</v>
      </c>
      <c r="E16" s="22">
        <f>'Capacity By Location'!H24</f>
        <v>1000</v>
      </c>
      <c r="F16" s="22">
        <f>'Capacity By Location'!I24</f>
        <v>1000</v>
      </c>
      <c r="G16" s="22">
        <f>'Capacity By Location'!J24</f>
        <v>1000</v>
      </c>
      <c r="H16" s="22">
        <f>'Capacity By Location'!K24</f>
        <v>1000</v>
      </c>
      <c r="I16" s="114">
        <f t="shared" si="1"/>
        <v>250</v>
      </c>
      <c r="J16" s="114">
        <f t="shared" si="0"/>
        <v>250</v>
      </c>
      <c r="K16" s="114">
        <f t="shared" si="0"/>
        <v>250</v>
      </c>
      <c r="L16" s="114">
        <f t="shared" si="0"/>
        <v>250</v>
      </c>
      <c r="M16" s="22">
        <f>'Capacity By Location'!L24</f>
        <v>1000</v>
      </c>
      <c r="N16" s="22">
        <f>'Capacity By Location'!M24</f>
        <v>1000</v>
      </c>
      <c r="O16" s="22">
        <f>'Capacity By Location'!N24</f>
        <v>1000</v>
      </c>
      <c r="P16" s="22">
        <f>'Capacity By Location'!O24</f>
        <v>1000</v>
      </c>
      <c r="Q16" s="22">
        <f>'Capacity By Location'!P24</f>
        <v>1000</v>
      </c>
      <c r="R16" s="22">
        <f>'Capacity By Location'!Q24</f>
        <v>1000</v>
      </c>
      <c r="S16" s="22">
        <f>'Capacity By Location'!R24</f>
        <v>1000</v>
      </c>
      <c r="T16" s="22">
        <f>'Capacity By Location'!S24</f>
        <v>1000</v>
      </c>
      <c r="U16" s="22">
        <f>'Capacity By Location'!T24</f>
        <v>1000</v>
      </c>
      <c r="V16" s="22">
        <f>'Capacity By Location'!U24</f>
        <v>1000</v>
      </c>
      <c r="W16" s="22">
        <f>'Capacity By Location'!V24</f>
        <v>1000</v>
      </c>
    </row>
    <row r="17" spans="1:23" x14ac:dyDescent="0.25">
      <c r="A17" s="22" t="str">
        <f>'Capacity By Location'!D25</f>
        <v>YPF</v>
      </c>
      <c r="B17" s="22">
        <f>'Capacity By Location'!E25</f>
        <v>420</v>
      </c>
      <c r="C17" s="22">
        <f>'Capacity By Location'!F25</f>
        <v>420</v>
      </c>
      <c r="D17" s="22">
        <f>'Capacity By Location'!G25</f>
        <v>420</v>
      </c>
      <c r="E17" s="22">
        <f>'Capacity By Location'!H25</f>
        <v>420</v>
      </c>
      <c r="F17" s="22">
        <f>'Capacity By Location'!I25</f>
        <v>420</v>
      </c>
      <c r="G17" s="22">
        <f>'Capacity By Location'!J25</f>
        <v>420</v>
      </c>
      <c r="H17" s="22">
        <f>'Capacity By Location'!K25</f>
        <v>420</v>
      </c>
      <c r="I17" s="114">
        <f t="shared" si="1"/>
        <v>105</v>
      </c>
      <c r="J17" s="114">
        <f t="shared" si="0"/>
        <v>105</v>
      </c>
      <c r="K17" s="114">
        <f t="shared" si="0"/>
        <v>105</v>
      </c>
      <c r="L17" s="114">
        <f t="shared" si="0"/>
        <v>105</v>
      </c>
      <c r="M17" s="22">
        <f>'Capacity By Location'!L25</f>
        <v>420</v>
      </c>
      <c r="N17" s="22">
        <f>'Capacity By Location'!M25</f>
        <v>420</v>
      </c>
      <c r="O17" s="22">
        <f>'Capacity By Location'!N25</f>
        <v>420</v>
      </c>
      <c r="P17" s="22">
        <f>'Capacity By Location'!O25</f>
        <v>420</v>
      </c>
      <c r="Q17" s="22">
        <f>'Capacity By Location'!P25</f>
        <v>420</v>
      </c>
      <c r="R17" s="22">
        <f>'Capacity By Location'!Q25</f>
        <v>420</v>
      </c>
      <c r="S17" s="22">
        <f>'Capacity By Location'!R25</f>
        <v>420</v>
      </c>
      <c r="T17" s="22">
        <f>'Capacity By Location'!S25</f>
        <v>420</v>
      </c>
      <c r="U17" s="22">
        <f>'Capacity By Location'!T25</f>
        <v>420</v>
      </c>
      <c r="V17" s="22">
        <f>'Capacity By Location'!U25</f>
        <v>420</v>
      </c>
      <c r="W17" s="22">
        <f>'Capacity By Location'!V25</f>
        <v>420</v>
      </c>
    </row>
    <row r="18" spans="1:23" x14ac:dyDescent="0.25">
      <c r="A18" s="22" t="str">
        <f>'Capacity By Location'!D26</f>
        <v>Metor</v>
      </c>
      <c r="B18" s="22">
        <f>'Capacity By Location'!E26+'Capacity By Location'!E27</f>
        <v>1700</v>
      </c>
      <c r="C18" s="22">
        <f>'Capacity By Location'!F26+'Capacity By Location'!F27</f>
        <v>1700</v>
      </c>
      <c r="D18" s="22">
        <f>'Capacity By Location'!G26+'Capacity By Location'!G27</f>
        <v>1700</v>
      </c>
      <c r="E18" s="22">
        <f>'Capacity By Location'!H26+'Capacity By Location'!H27</f>
        <v>1700</v>
      </c>
      <c r="F18" s="22">
        <f>'Capacity By Location'!I26+'Capacity By Location'!I27</f>
        <v>1700</v>
      </c>
      <c r="G18" s="22">
        <f>'Capacity By Location'!J26+'Capacity By Location'!J27</f>
        <v>1700</v>
      </c>
      <c r="H18" s="22">
        <f>'Capacity By Location'!K26+'Capacity By Location'!K27</f>
        <v>1700</v>
      </c>
      <c r="I18" s="114">
        <f t="shared" si="1"/>
        <v>425</v>
      </c>
      <c r="J18" s="114">
        <f t="shared" si="1"/>
        <v>425</v>
      </c>
      <c r="K18" s="114">
        <f t="shared" si="1"/>
        <v>425</v>
      </c>
      <c r="L18" s="114">
        <f t="shared" si="1"/>
        <v>425</v>
      </c>
      <c r="M18" s="22">
        <f>'Capacity By Location'!L26+'Capacity By Location'!L27</f>
        <v>1700</v>
      </c>
      <c r="N18" s="22">
        <f>'Capacity By Location'!M26+'Capacity By Location'!M27</f>
        <v>1700</v>
      </c>
      <c r="O18" s="22">
        <f>'Capacity By Location'!N26+'Capacity By Location'!N27</f>
        <v>1700</v>
      </c>
      <c r="P18" s="22">
        <f>'Capacity By Location'!O26+'Capacity By Location'!O27</f>
        <v>1700</v>
      </c>
      <c r="Q18" s="22">
        <f>'Capacity By Location'!P26+'Capacity By Location'!P27</f>
        <v>1700</v>
      </c>
      <c r="R18" s="22">
        <f>'Capacity By Location'!Q26+'Capacity By Location'!Q27</f>
        <v>1700</v>
      </c>
      <c r="S18" s="22">
        <f>'Capacity By Location'!R26+'Capacity By Location'!R27</f>
        <v>1700</v>
      </c>
      <c r="T18" s="22">
        <f>'Capacity By Location'!S26+'Capacity By Location'!S27</f>
        <v>1700</v>
      </c>
      <c r="U18" s="22">
        <f>'Capacity By Location'!T26+'Capacity By Location'!T27</f>
        <v>1700</v>
      </c>
      <c r="V18" s="22">
        <f>'Capacity By Location'!U26+'Capacity By Location'!U27</f>
        <v>1700</v>
      </c>
      <c r="W18" s="22">
        <f>'Capacity By Location'!V26+'Capacity By Location'!V27</f>
        <v>1700</v>
      </c>
    </row>
    <row r="19" spans="1:23" x14ac:dyDescent="0.25">
      <c r="A19" s="22" t="str">
        <f>'Capacity By Location'!D28</f>
        <v>Supermetanol</v>
      </c>
      <c r="B19" s="22">
        <f>'Capacity By Location'!E28</f>
        <v>790</v>
      </c>
      <c r="C19" s="22">
        <f>'Capacity By Location'!F28</f>
        <v>790</v>
      </c>
      <c r="D19" s="22">
        <f>'Capacity By Location'!G28</f>
        <v>790</v>
      </c>
      <c r="E19" s="22">
        <f>'Capacity By Location'!H28</f>
        <v>790</v>
      </c>
      <c r="F19" s="22">
        <f>'Capacity By Location'!I28</f>
        <v>790</v>
      </c>
      <c r="G19" s="22">
        <f>'Capacity By Location'!J28</f>
        <v>790</v>
      </c>
      <c r="H19" s="22">
        <f>'Capacity By Location'!K28</f>
        <v>790</v>
      </c>
      <c r="I19" s="114">
        <f t="shared" si="1"/>
        <v>197.5</v>
      </c>
      <c r="J19" s="114">
        <f t="shared" si="1"/>
        <v>197.5</v>
      </c>
      <c r="K19" s="114">
        <f t="shared" si="1"/>
        <v>197.5</v>
      </c>
      <c r="L19" s="114">
        <f t="shared" si="1"/>
        <v>197.5</v>
      </c>
      <c r="M19" s="22">
        <f>'Capacity By Location'!L28</f>
        <v>790</v>
      </c>
      <c r="N19" s="22">
        <f>'Capacity By Location'!M28</f>
        <v>790</v>
      </c>
      <c r="O19" s="22">
        <f>'Capacity By Location'!N28</f>
        <v>790</v>
      </c>
      <c r="P19" s="22">
        <f>'Capacity By Location'!O28</f>
        <v>790</v>
      </c>
      <c r="Q19" s="22">
        <f>'Capacity By Location'!P28</f>
        <v>790</v>
      </c>
      <c r="R19" s="22">
        <f>'Capacity By Location'!Q28</f>
        <v>790</v>
      </c>
      <c r="S19" s="22">
        <f>'Capacity By Location'!R28</f>
        <v>790</v>
      </c>
      <c r="T19" s="22">
        <f>'Capacity By Location'!S28</f>
        <v>790</v>
      </c>
      <c r="U19" s="22">
        <f>'Capacity By Location'!T28</f>
        <v>790</v>
      </c>
      <c r="V19" s="22">
        <f>'Capacity By Location'!U28</f>
        <v>790</v>
      </c>
      <c r="W19" s="22">
        <f>'Capacity By Location'!V28</f>
        <v>790</v>
      </c>
    </row>
    <row r="20" spans="1:23" x14ac:dyDescent="0.25">
      <c r="A20" s="22" t="str">
        <f>'Capacity By Location'!D29</f>
        <v>Mitsubishi Gas Chemical</v>
      </c>
      <c r="B20" s="22">
        <f>'Capacity By Location'!E29+'Capacity By Location'!E46</f>
        <v>6450</v>
      </c>
      <c r="C20" s="22">
        <f>'Capacity By Location'!F29+'Capacity By Location'!F46</f>
        <v>6450</v>
      </c>
      <c r="D20" s="22">
        <f>'Capacity By Location'!G29+'Capacity By Location'!G46</f>
        <v>6450</v>
      </c>
      <c r="E20" s="22">
        <f>'Capacity By Location'!H29+'Capacity By Location'!H46</f>
        <v>6450</v>
      </c>
      <c r="F20" s="22">
        <f>'Capacity By Location'!I29+'Capacity By Location'!I46</f>
        <v>6450</v>
      </c>
      <c r="G20" s="22">
        <f>'Capacity By Location'!J29+'Capacity By Location'!J46</f>
        <v>6450</v>
      </c>
      <c r="H20" s="22">
        <f>'Capacity By Location'!K29+'Capacity By Location'!K46</f>
        <v>6450</v>
      </c>
      <c r="I20" s="114">
        <f t="shared" si="1"/>
        <v>1612.5</v>
      </c>
      <c r="J20" s="114">
        <f t="shared" si="1"/>
        <v>1612.5</v>
      </c>
      <c r="K20" s="114">
        <f t="shared" si="1"/>
        <v>1612.5</v>
      </c>
      <c r="L20" s="114">
        <f t="shared" si="1"/>
        <v>1612.5</v>
      </c>
      <c r="M20" s="22">
        <f>'Capacity By Location'!L29+'Capacity By Location'!L46</f>
        <v>6450</v>
      </c>
      <c r="N20" s="22">
        <f>'Capacity By Location'!M29+'Capacity By Location'!M46</f>
        <v>6450</v>
      </c>
      <c r="O20" s="22">
        <f>'Capacity By Location'!N29+'Capacity By Location'!N46</f>
        <v>6450</v>
      </c>
      <c r="P20" s="22">
        <f>'Capacity By Location'!O29+'Capacity By Location'!O46</f>
        <v>6450</v>
      </c>
      <c r="Q20" s="22">
        <f>'Capacity By Location'!P29+'Capacity By Location'!P46</f>
        <v>6450</v>
      </c>
      <c r="R20" s="22">
        <f>'Capacity By Location'!Q29+'Capacity By Location'!Q46</f>
        <v>6450</v>
      </c>
      <c r="S20" s="22">
        <f>'Capacity By Location'!R29+'Capacity By Location'!R46</f>
        <v>6450</v>
      </c>
      <c r="T20" s="22">
        <f>'Capacity By Location'!S29+'Capacity By Location'!S46</f>
        <v>6450</v>
      </c>
      <c r="U20" s="22">
        <f>'Capacity By Location'!T29+'Capacity By Location'!T46</f>
        <v>6450</v>
      </c>
      <c r="V20" s="22">
        <f>'Capacity By Location'!U29+'Capacity By Location'!U46</f>
        <v>6450</v>
      </c>
      <c r="W20" s="22">
        <f>'Capacity By Location'!V29+'Capacity By Location'!V46</f>
        <v>6450</v>
      </c>
    </row>
    <row r="21" spans="1:23" x14ac:dyDescent="0.25">
      <c r="A21" s="22" t="str">
        <f>'Capacity By Location'!D30</f>
        <v>BASF</v>
      </c>
      <c r="B21" s="22">
        <f>'Capacity By Location'!E30</f>
        <v>0</v>
      </c>
      <c r="C21" s="22">
        <f>'Capacity By Location'!F30</f>
        <v>0</v>
      </c>
      <c r="D21" s="22">
        <f>'Capacity By Location'!G30</f>
        <v>0</v>
      </c>
      <c r="E21" s="22">
        <f>'Capacity By Location'!H30</f>
        <v>480</v>
      </c>
      <c r="F21" s="22">
        <f>'Capacity By Location'!I30</f>
        <v>480</v>
      </c>
      <c r="G21" s="22">
        <f>'Capacity By Location'!J30</f>
        <v>480</v>
      </c>
      <c r="H21" s="22">
        <f>'Capacity By Location'!K30</f>
        <v>480</v>
      </c>
      <c r="I21" s="114">
        <f t="shared" si="1"/>
        <v>120</v>
      </c>
      <c r="J21" s="114">
        <f t="shared" si="1"/>
        <v>120</v>
      </c>
      <c r="K21" s="114">
        <f t="shared" si="1"/>
        <v>120</v>
      </c>
      <c r="L21" s="114">
        <f t="shared" si="1"/>
        <v>120</v>
      </c>
      <c r="M21" s="22">
        <f>'Capacity By Location'!L30</f>
        <v>480</v>
      </c>
      <c r="N21" s="22">
        <f>'Capacity By Location'!M30</f>
        <v>480</v>
      </c>
      <c r="O21" s="22">
        <f>'Capacity By Location'!N30</f>
        <v>480</v>
      </c>
      <c r="P21" s="22">
        <f>'Capacity By Location'!O30</f>
        <v>480</v>
      </c>
      <c r="Q21" s="22">
        <f>'Capacity By Location'!P30</f>
        <v>480</v>
      </c>
      <c r="R21" s="22">
        <f>'Capacity By Location'!Q30</f>
        <v>480</v>
      </c>
      <c r="S21" s="22">
        <f>'Capacity By Location'!R30</f>
        <v>480</v>
      </c>
      <c r="T21" s="22">
        <f>'Capacity By Location'!S30</f>
        <v>480</v>
      </c>
      <c r="U21" s="22">
        <f>'Capacity By Location'!T30</f>
        <v>480</v>
      </c>
      <c r="V21" s="22">
        <f>'Capacity By Location'!U30</f>
        <v>480</v>
      </c>
      <c r="W21" s="22">
        <f>'Capacity By Location'!V30</f>
        <v>480</v>
      </c>
    </row>
    <row r="22" spans="1:23" x14ac:dyDescent="0.25">
      <c r="A22" s="22" t="str">
        <f>'Capacity By Location'!D31</f>
        <v>BP Refining &amp; Petrochemicals</v>
      </c>
      <c r="B22" s="22">
        <f>'Capacity By Location'!E31</f>
        <v>300</v>
      </c>
      <c r="C22" s="22">
        <f>'Capacity By Location'!F31</f>
        <v>300</v>
      </c>
      <c r="D22" s="22">
        <f>'Capacity By Location'!G31</f>
        <v>300</v>
      </c>
      <c r="E22" s="22">
        <f>'Capacity By Location'!H31</f>
        <v>300</v>
      </c>
      <c r="F22" s="22">
        <f>'Capacity By Location'!I31</f>
        <v>300</v>
      </c>
      <c r="G22" s="22">
        <f>'Capacity By Location'!J31</f>
        <v>300</v>
      </c>
      <c r="H22" s="22">
        <f>'Capacity By Location'!K31</f>
        <v>300</v>
      </c>
      <c r="I22" s="114">
        <f t="shared" si="1"/>
        <v>75</v>
      </c>
      <c r="J22" s="114">
        <f t="shared" si="1"/>
        <v>75</v>
      </c>
      <c r="K22" s="114">
        <f t="shared" si="1"/>
        <v>75</v>
      </c>
      <c r="L22" s="114">
        <f t="shared" si="1"/>
        <v>75</v>
      </c>
      <c r="M22" s="22">
        <f>'Capacity By Location'!L31</f>
        <v>300</v>
      </c>
      <c r="N22" s="22">
        <f>'Capacity By Location'!M31</f>
        <v>300</v>
      </c>
      <c r="O22" s="22">
        <f>'Capacity By Location'!N31</f>
        <v>300</v>
      </c>
      <c r="P22" s="22">
        <f>'Capacity By Location'!O31</f>
        <v>300</v>
      </c>
      <c r="Q22" s="22">
        <f>'Capacity By Location'!P31</f>
        <v>300</v>
      </c>
      <c r="R22" s="22">
        <f>'Capacity By Location'!Q31</f>
        <v>300</v>
      </c>
      <c r="S22" s="22">
        <f>'Capacity By Location'!R31</f>
        <v>300</v>
      </c>
      <c r="T22" s="22">
        <f>'Capacity By Location'!S31</f>
        <v>300</v>
      </c>
      <c r="U22" s="22">
        <f>'Capacity By Location'!T31</f>
        <v>300</v>
      </c>
      <c r="V22" s="22">
        <f>'Capacity By Location'!U31</f>
        <v>300</v>
      </c>
      <c r="W22" s="22">
        <f>'Capacity By Location'!V31</f>
        <v>300</v>
      </c>
    </row>
    <row r="23" spans="1:23" x14ac:dyDescent="0.25">
      <c r="A23" s="22" t="str">
        <f>'Capacity By Location'!D32</f>
        <v>MSK</v>
      </c>
      <c r="B23" s="22">
        <f>'Capacity By Location'!E32</f>
        <v>200</v>
      </c>
      <c r="C23" s="22">
        <f>'Capacity By Location'!F32</f>
        <v>200</v>
      </c>
      <c r="D23" s="22">
        <f>'Capacity By Location'!G32</f>
        <v>200</v>
      </c>
      <c r="E23" s="22">
        <f>'Capacity By Location'!H32</f>
        <v>200</v>
      </c>
      <c r="F23" s="22">
        <f>'Capacity By Location'!I32</f>
        <v>200</v>
      </c>
      <c r="G23" s="22">
        <f>'Capacity By Location'!J32</f>
        <v>200</v>
      </c>
      <c r="H23" s="22">
        <f>'Capacity By Location'!K32</f>
        <v>200</v>
      </c>
      <c r="I23" s="114">
        <f t="shared" si="1"/>
        <v>50</v>
      </c>
      <c r="J23" s="114">
        <f t="shared" si="1"/>
        <v>50</v>
      </c>
      <c r="K23" s="114">
        <f t="shared" si="1"/>
        <v>50</v>
      </c>
      <c r="L23" s="114">
        <f t="shared" si="1"/>
        <v>50</v>
      </c>
      <c r="M23" s="22">
        <f>'Capacity By Location'!L32</f>
        <v>200</v>
      </c>
      <c r="N23" s="22">
        <f>'Capacity By Location'!M32</f>
        <v>200</v>
      </c>
      <c r="O23" s="22">
        <f>'Capacity By Location'!N32</f>
        <v>200</v>
      </c>
      <c r="P23" s="22">
        <f>'Capacity By Location'!O32</f>
        <v>200</v>
      </c>
      <c r="Q23" s="22">
        <f>'Capacity By Location'!P32</f>
        <v>200</v>
      </c>
      <c r="R23" s="22">
        <f>'Capacity By Location'!Q32</f>
        <v>200</v>
      </c>
      <c r="S23" s="22">
        <f>'Capacity By Location'!R32</f>
        <v>200</v>
      </c>
      <c r="T23" s="22">
        <f>'Capacity By Location'!S32</f>
        <v>200</v>
      </c>
      <c r="U23" s="22">
        <f>'Capacity By Location'!T32</f>
        <v>200</v>
      </c>
      <c r="V23" s="22">
        <f>'Capacity By Location'!U32</f>
        <v>200</v>
      </c>
      <c r="W23" s="22">
        <f>'Capacity By Location'!V32</f>
        <v>200</v>
      </c>
    </row>
    <row r="24" spans="1:23" x14ac:dyDescent="0.25">
      <c r="A24" s="22" t="str">
        <f>'Capacity By Location'!D33</f>
        <v>UCC Shchekino Azot</v>
      </c>
      <c r="B24" s="22">
        <f>'Capacity By Location'!E33</f>
        <v>500</v>
      </c>
      <c r="C24" s="22">
        <f>'Capacity By Location'!F33</f>
        <v>500</v>
      </c>
      <c r="D24" s="22">
        <f>'Capacity By Location'!G33</f>
        <v>500</v>
      </c>
      <c r="E24" s="22">
        <f>'Capacity By Location'!H33</f>
        <v>950</v>
      </c>
      <c r="F24" s="22">
        <f>'Capacity By Location'!I33</f>
        <v>950</v>
      </c>
      <c r="G24" s="22">
        <f>'Capacity By Location'!J33</f>
        <v>950</v>
      </c>
      <c r="H24" s="22">
        <f>'Capacity By Location'!K33</f>
        <v>1450</v>
      </c>
      <c r="I24" s="114">
        <f t="shared" si="1"/>
        <v>362.5</v>
      </c>
      <c r="J24" s="114">
        <f t="shared" si="1"/>
        <v>362.5</v>
      </c>
      <c r="K24" s="114">
        <f t="shared" si="1"/>
        <v>362.5</v>
      </c>
      <c r="L24" s="114">
        <f t="shared" si="1"/>
        <v>362.5</v>
      </c>
      <c r="M24" s="22">
        <f>'Capacity By Location'!L33</f>
        <v>1450</v>
      </c>
      <c r="N24" s="22">
        <f>'Capacity By Location'!M33</f>
        <v>1450</v>
      </c>
      <c r="O24" s="22">
        <f>'Capacity By Location'!N33</f>
        <v>1450</v>
      </c>
      <c r="P24" s="22">
        <f>'Capacity By Location'!O33</f>
        <v>1450</v>
      </c>
      <c r="Q24" s="22">
        <f>'Capacity By Location'!P33</f>
        <v>1450</v>
      </c>
      <c r="R24" s="22">
        <f>'Capacity By Location'!Q33</f>
        <v>1450</v>
      </c>
      <c r="S24" s="22">
        <f>'Capacity By Location'!R33</f>
        <v>1450</v>
      </c>
      <c r="T24" s="22">
        <f>'Capacity By Location'!S33</f>
        <v>1450</v>
      </c>
      <c r="U24" s="22">
        <f>'Capacity By Location'!T33</f>
        <v>1450</v>
      </c>
      <c r="V24" s="22">
        <f>'Capacity By Location'!U33</f>
        <v>1450</v>
      </c>
      <c r="W24" s="22">
        <f>'Capacity By Location'!V33</f>
        <v>1450</v>
      </c>
    </row>
    <row r="25" spans="1:23" x14ac:dyDescent="0.25">
      <c r="A25" s="22" t="str">
        <f>'Capacity By Location'!D34</f>
        <v>PJSC Metafrax</v>
      </c>
      <c r="B25" s="22">
        <f>'Capacity By Location'!E34</f>
        <v>900</v>
      </c>
      <c r="C25" s="22">
        <f>'Capacity By Location'!F34</f>
        <v>900</v>
      </c>
      <c r="D25" s="22">
        <f>'Capacity By Location'!G34</f>
        <v>1180</v>
      </c>
      <c r="E25" s="22">
        <f>'Capacity By Location'!H34</f>
        <v>1180</v>
      </c>
      <c r="F25" s="22">
        <f>'Capacity By Location'!I34</f>
        <v>1180</v>
      </c>
      <c r="G25" s="22">
        <f>'Capacity By Location'!J34</f>
        <v>1180</v>
      </c>
      <c r="H25" s="22">
        <f>'Capacity By Location'!K34</f>
        <v>1180</v>
      </c>
      <c r="I25" s="114">
        <f t="shared" si="1"/>
        <v>295</v>
      </c>
      <c r="J25" s="114">
        <f t="shared" si="1"/>
        <v>295</v>
      </c>
      <c r="K25" s="114">
        <f t="shared" si="1"/>
        <v>295</v>
      </c>
      <c r="L25" s="114">
        <f t="shared" si="1"/>
        <v>295</v>
      </c>
      <c r="M25" s="22">
        <f>'Capacity By Location'!L34</f>
        <v>1180</v>
      </c>
      <c r="N25" s="22">
        <f>'Capacity By Location'!M34</f>
        <v>1180</v>
      </c>
      <c r="O25" s="22">
        <f>'Capacity By Location'!N34</f>
        <v>1180</v>
      </c>
      <c r="P25" s="22">
        <f>'Capacity By Location'!O34</f>
        <v>1180</v>
      </c>
      <c r="Q25" s="22">
        <f>'Capacity By Location'!P34</f>
        <v>1180</v>
      </c>
      <c r="R25" s="22">
        <f>'Capacity By Location'!Q34</f>
        <v>1180</v>
      </c>
      <c r="S25" s="22">
        <f>'Capacity By Location'!R34</f>
        <v>1180</v>
      </c>
      <c r="T25" s="22">
        <f>'Capacity By Location'!S34</f>
        <v>1180</v>
      </c>
      <c r="U25" s="22">
        <f>'Capacity By Location'!T34</f>
        <v>1180</v>
      </c>
      <c r="V25" s="22">
        <f>'Capacity By Location'!U34</f>
        <v>1180</v>
      </c>
      <c r="W25" s="22">
        <f>'Capacity By Location'!V34</f>
        <v>1180</v>
      </c>
    </row>
    <row r="26" spans="1:23" x14ac:dyDescent="0.25">
      <c r="A26" s="22" t="str">
        <f>'Capacity By Location'!D35</f>
        <v>Mider-Helm Methanol</v>
      </c>
      <c r="B26" s="22">
        <f>'Capacity By Location'!E35</f>
        <v>660</v>
      </c>
      <c r="C26" s="22">
        <f>'Capacity By Location'!F35</f>
        <v>660</v>
      </c>
      <c r="D26" s="22">
        <f>'Capacity By Location'!G35</f>
        <v>660</v>
      </c>
      <c r="E26" s="22">
        <f>'Capacity By Location'!H35</f>
        <v>660</v>
      </c>
      <c r="F26" s="22">
        <f>'Capacity By Location'!I35</f>
        <v>660</v>
      </c>
      <c r="G26" s="22">
        <f>'Capacity By Location'!J35</f>
        <v>660</v>
      </c>
      <c r="H26" s="22">
        <f>'Capacity By Location'!K35</f>
        <v>660</v>
      </c>
      <c r="I26" s="114">
        <f t="shared" si="1"/>
        <v>165</v>
      </c>
      <c r="J26" s="114">
        <f t="shared" si="1"/>
        <v>165</v>
      </c>
      <c r="K26" s="114">
        <f t="shared" si="1"/>
        <v>165</v>
      </c>
      <c r="L26" s="114">
        <f t="shared" si="1"/>
        <v>165</v>
      </c>
      <c r="M26" s="22">
        <f>'Capacity By Location'!L35</f>
        <v>660</v>
      </c>
      <c r="N26" s="22">
        <f>'Capacity By Location'!M35</f>
        <v>660</v>
      </c>
      <c r="O26" s="22">
        <f>'Capacity By Location'!N35</f>
        <v>660</v>
      </c>
      <c r="P26" s="22">
        <f>'Capacity By Location'!O35</f>
        <v>660</v>
      </c>
      <c r="Q26" s="22">
        <f>'Capacity By Location'!P35</f>
        <v>660</v>
      </c>
      <c r="R26" s="22">
        <f>'Capacity By Location'!Q35</f>
        <v>660</v>
      </c>
      <c r="S26" s="22">
        <f>'Capacity By Location'!R35</f>
        <v>660</v>
      </c>
      <c r="T26" s="22">
        <f>'Capacity By Location'!S35</f>
        <v>660</v>
      </c>
      <c r="U26" s="22">
        <f>'Capacity By Location'!T35</f>
        <v>660</v>
      </c>
      <c r="V26" s="22">
        <f>'Capacity By Location'!U35</f>
        <v>660</v>
      </c>
      <c r="W26" s="22">
        <f>'Capacity By Location'!V35</f>
        <v>660</v>
      </c>
    </row>
    <row r="27" spans="1:23" x14ac:dyDescent="0.25">
      <c r="A27" s="22" t="str">
        <f>'Capacity By Location'!D36</f>
        <v>Nevinnomyssk Azot</v>
      </c>
      <c r="B27" s="22">
        <f>'Capacity By Location'!E36</f>
        <v>130</v>
      </c>
      <c r="C27" s="22">
        <f>'Capacity By Location'!F36</f>
        <v>130</v>
      </c>
      <c r="D27" s="22">
        <f>'Capacity By Location'!G36</f>
        <v>130</v>
      </c>
      <c r="E27" s="22">
        <f>'Capacity By Location'!H36</f>
        <v>130</v>
      </c>
      <c r="F27" s="22">
        <f>'Capacity By Location'!I36</f>
        <v>130</v>
      </c>
      <c r="G27" s="22">
        <f>'Capacity By Location'!J36</f>
        <v>130</v>
      </c>
      <c r="H27" s="22">
        <f>'Capacity By Location'!K36</f>
        <v>130</v>
      </c>
      <c r="I27" s="114">
        <f t="shared" si="1"/>
        <v>32.5</v>
      </c>
      <c r="J27" s="114">
        <f t="shared" si="1"/>
        <v>32.5</v>
      </c>
      <c r="K27" s="114">
        <f t="shared" si="1"/>
        <v>32.5</v>
      </c>
      <c r="L27" s="114">
        <f t="shared" si="1"/>
        <v>32.5</v>
      </c>
      <c r="M27" s="22">
        <f>'Capacity By Location'!L36</f>
        <v>130</v>
      </c>
      <c r="N27" s="22">
        <f>'Capacity By Location'!M36</f>
        <v>130</v>
      </c>
      <c r="O27" s="22">
        <f>'Capacity By Location'!N36</f>
        <v>130</v>
      </c>
      <c r="P27" s="22">
        <f>'Capacity By Location'!O36</f>
        <v>130</v>
      </c>
      <c r="Q27" s="22">
        <f>'Capacity By Location'!P36</f>
        <v>130</v>
      </c>
      <c r="R27" s="22">
        <f>'Capacity By Location'!Q36</f>
        <v>130</v>
      </c>
      <c r="S27" s="22">
        <f>'Capacity By Location'!R36</f>
        <v>130</v>
      </c>
      <c r="T27" s="22">
        <f>'Capacity By Location'!S36</f>
        <v>130</v>
      </c>
      <c r="U27" s="22">
        <f>'Capacity By Location'!T36</f>
        <v>130</v>
      </c>
      <c r="V27" s="22">
        <f>'Capacity By Location'!U36</f>
        <v>130</v>
      </c>
      <c r="W27" s="22">
        <f>'Capacity By Location'!V36</f>
        <v>130</v>
      </c>
    </row>
    <row r="28" spans="1:23" x14ac:dyDescent="0.25">
      <c r="A28" s="22" t="str">
        <f>'Capacity By Location'!D37</f>
        <v>Shell &amp; DEA Oil</v>
      </c>
      <c r="B28" s="22">
        <f>'Capacity By Location'!E37</f>
        <v>400</v>
      </c>
      <c r="C28" s="22">
        <f>'Capacity By Location'!F37</f>
        <v>400</v>
      </c>
      <c r="D28" s="22">
        <f>'Capacity By Location'!G37</f>
        <v>400</v>
      </c>
      <c r="E28" s="22">
        <f>'Capacity By Location'!H37</f>
        <v>400</v>
      </c>
      <c r="F28" s="22">
        <f>'Capacity By Location'!I37</f>
        <v>400</v>
      </c>
      <c r="G28" s="22">
        <f>'Capacity By Location'!J37</f>
        <v>400</v>
      </c>
      <c r="H28" s="22">
        <f>'Capacity By Location'!K37</f>
        <v>400</v>
      </c>
      <c r="I28" s="114">
        <f t="shared" si="1"/>
        <v>100</v>
      </c>
      <c r="J28" s="114">
        <f t="shared" si="1"/>
        <v>100</v>
      </c>
      <c r="K28" s="114">
        <f t="shared" si="1"/>
        <v>100</v>
      </c>
      <c r="L28" s="114">
        <f t="shared" si="1"/>
        <v>100</v>
      </c>
      <c r="M28" s="22">
        <f>'Capacity By Location'!L37</f>
        <v>400</v>
      </c>
      <c r="N28" s="22">
        <f>'Capacity By Location'!M37</f>
        <v>400</v>
      </c>
      <c r="O28" s="22">
        <f>'Capacity By Location'!N37</f>
        <v>400</v>
      </c>
      <c r="P28" s="22">
        <f>'Capacity By Location'!O37</f>
        <v>400</v>
      </c>
      <c r="Q28" s="22">
        <f>'Capacity By Location'!P37</f>
        <v>400</v>
      </c>
      <c r="R28" s="22">
        <f>'Capacity By Location'!Q37</f>
        <v>400</v>
      </c>
      <c r="S28" s="22">
        <f>'Capacity By Location'!R37</f>
        <v>400</v>
      </c>
      <c r="T28" s="22">
        <f>'Capacity By Location'!S37</f>
        <v>400</v>
      </c>
      <c r="U28" s="22">
        <f>'Capacity By Location'!T37</f>
        <v>400</v>
      </c>
      <c r="V28" s="22">
        <f>'Capacity By Location'!U37</f>
        <v>400</v>
      </c>
      <c r="W28" s="22">
        <f>'Capacity By Location'!V37</f>
        <v>400</v>
      </c>
    </row>
    <row r="29" spans="1:23" x14ac:dyDescent="0.25">
      <c r="A29" s="22" t="str">
        <f>'Capacity By Location'!D38</f>
        <v>Togliatti Azot</v>
      </c>
      <c r="B29" s="22">
        <f>'Capacity By Location'!E38</f>
        <v>900</v>
      </c>
      <c r="C29" s="22">
        <f>'Capacity By Location'!F38</f>
        <v>900</v>
      </c>
      <c r="D29" s="22">
        <f>'Capacity By Location'!G38</f>
        <v>900</v>
      </c>
      <c r="E29" s="22">
        <f>'Capacity By Location'!H38</f>
        <v>900</v>
      </c>
      <c r="F29" s="22">
        <f>'Capacity By Location'!I38</f>
        <v>900</v>
      </c>
      <c r="G29" s="22">
        <f>'Capacity By Location'!J38</f>
        <v>900</v>
      </c>
      <c r="H29" s="22">
        <f>'Capacity By Location'!K38</f>
        <v>900</v>
      </c>
      <c r="I29" s="114">
        <f t="shared" si="1"/>
        <v>225</v>
      </c>
      <c r="J29" s="114">
        <f t="shared" si="1"/>
        <v>225</v>
      </c>
      <c r="K29" s="114">
        <f t="shared" si="1"/>
        <v>225</v>
      </c>
      <c r="L29" s="114">
        <f t="shared" si="1"/>
        <v>225</v>
      </c>
      <c r="M29" s="22">
        <f>'Capacity By Location'!L38</f>
        <v>900</v>
      </c>
      <c r="N29" s="22">
        <f>'Capacity By Location'!M38</f>
        <v>900</v>
      </c>
      <c r="O29" s="22">
        <f>'Capacity By Location'!N38</f>
        <v>900</v>
      </c>
      <c r="P29" s="22">
        <f>'Capacity By Location'!O38</f>
        <v>900</v>
      </c>
      <c r="Q29" s="22">
        <f>'Capacity By Location'!P38</f>
        <v>900</v>
      </c>
      <c r="R29" s="22">
        <f>'Capacity By Location'!Q38</f>
        <v>900</v>
      </c>
      <c r="S29" s="22">
        <f>'Capacity By Location'!R38</f>
        <v>900</v>
      </c>
      <c r="T29" s="22">
        <f>'Capacity By Location'!S38</f>
        <v>900</v>
      </c>
      <c r="U29" s="22">
        <f>'Capacity By Location'!T38</f>
        <v>900</v>
      </c>
      <c r="V29" s="22">
        <f>'Capacity By Location'!U38</f>
        <v>900</v>
      </c>
      <c r="W29" s="22">
        <f>'Capacity By Location'!V38</f>
        <v>900</v>
      </c>
    </row>
    <row r="30" spans="1:23" x14ac:dyDescent="0.25">
      <c r="A30" s="22" t="str">
        <f>'Capacity By Location'!D39</f>
        <v>Tomskneftekhim</v>
      </c>
      <c r="B30" s="22">
        <f>'Capacity By Location'!E39</f>
        <v>750</v>
      </c>
      <c r="C30" s="22">
        <f>'Capacity By Location'!F39</f>
        <v>750</v>
      </c>
      <c r="D30" s="22">
        <f>'Capacity By Location'!G39</f>
        <v>750</v>
      </c>
      <c r="E30" s="22">
        <f>'Capacity By Location'!H39</f>
        <v>750</v>
      </c>
      <c r="F30" s="22">
        <f>'Capacity By Location'!I39</f>
        <v>750</v>
      </c>
      <c r="G30" s="22">
        <f>'Capacity By Location'!J39</f>
        <v>750</v>
      </c>
      <c r="H30" s="22">
        <f>'Capacity By Location'!K39</f>
        <v>750</v>
      </c>
      <c r="I30" s="114">
        <f t="shared" si="1"/>
        <v>187.5</v>
      </c>
      <c r="J30" s="114">
        <f t="shared" si="1"/>
        <v>187.5</v>
      </c>
      <c r="K30" s="114">
        <f t="shared" si="1"/>
        <v>187.5</v>
      </c>
      <c r="L30" s="114">
        <f t="shared" si="1"/>
        <v>187.5</v>
      </c>
      <c r="M30" s="22">
        <f>'Capacity By Location'!L39</f>
        <v>750</v>
      </c>
      <c r="N30" s="22">
        <f>'Capacity By Location'!M39</f>
        <v>750</v>
      </c>
      <c r="O30" s="22">
        <f>'Capacity By Location'!N39</f>
        <v>750</v>
      </c>
      <c r="P30" s="22">
        <f>'Capacity By Location'!O39</f>
        <v>750</v>
      </c>
      <c r="Q30" s="22">
        <f>'Capacity By Location'!P39</f>
        <v>750</v>
      </c>
      <c r="R30" s="22">
        <f>'Capacity By Location'!Q39</f>
        <v>750</v>
      </c>
      <c r="S30" s="22">
        <f>'Capacity By Location'!R39</f>
        <v>750</v>
      </c>
      <c r="T30" s="22">
        <f>'Capacity By Location'!S39</f>
        <v>750</v>
      </c>
      <c r="U30" s="22">
        <f>'Capacity By Location'!T39</f>
        <v>750</v>
      </c>
      <c r="V30" s="22">
        <f>'Capacity By Location'!U39</f>
        <v>750</v>
      </c>
      <c r="W30" s="22">
        <f>'Capacity By Location'!V39</f>
        <v>750</v>
      </c>
    </row>
    <row r="31" spans="1:23" x14ac:dyDescent="0.25">
      <c r="A31" s="22" t="str">
        <f>'Capacity By Location'!D40</f>
        <v>Repsol YPF</v>
      </c>
      <c r="B31" s="22">
        <f>'Capacity By Location'!E40</f>
        <v>411</v>
      </c>
      <c r="C31" s="22">
        <f>'Capacity By Location'!F40</f>
        <v>411</v>
      </c>
      <c r="D31" s="22">
        <f>'Capacity By Location'!G40</f>
        <v>411</v>
      </c>
      <c r="E31" s="22">
        <f>'Capacity By Location'!H40</f>
        <v>411</v>
      </c>
      <c r="F31" s="22">
        <f>'Capacity By Location'!I40</f>
        <v>411</v>
      </c>
      <c r="G31" s="22">
        <f>'Capacity By Location'!J40</f>
        <v>411</v>
      </c>
      <c r="H31" s="22">
        <f>'Capacity By Location'!K40</f>
        <v>411</v>
      </c>
      <c r="I31" s="114">
        <f t="shared" si="1"/>
        <v>102.75</v>
      </c>
      <c r="J31" s="114">
        <f t="shared" si="1"/>
        <v>102.75</v>
      </c>
      <c r="K31" s="114">
        <f t="shared" si="1"/>
        <v>102.75</v>
      </c>
      <c r="L31" s="114">
        <f t="shared" si="1"/>
        <v>102.75</v>
      </c>
      <c r="M31" s="22">
        <f>'Capacity By Location'!L40</f>
        <v>411</v>
      </c>
      <c r="N31" s="22">
        <f>'Capacity By Location'!M40</f>
        <v>411</v>
      </c>
      <c r="O31" s="22">
        <f>'Capacity By Location'!N40</f>
        <v>411</v>
      </c>
      <c r="P31" s="22">
        <f>'Capacity By Location'!O40</f>
        <v>411</v>
      </c>
      <c r="Q31" s="22">
        <f>'Capacity By Location'!P40</f>
        <v>411</v>
      </c>
      <c r="R31" s="22">
        <f>'Capacity By Location'!Q40</f>
        <v>411</v>
      </c>
      <c r="S31" s="22">
        <f>'Capacity By Location'!R40</f>
        <v>411</v>
      </c>
      <c r="T31" s="22">
        <f>'Capacity By Location'!S40</f>
        <v>411</v>
      </c>
      <c r="U31" s="22">
        <f>'Capacity By Location'!T40</f>
        <v>411</v>
      </c>
      <c r="V31" s="22">
        <f>'Capacity By Location'!U40</f>
        <v>411</v>
      </c>
      <c r="W31" s="22">
        <f>'Capacity By Location'!V40</f>
        <v>411</v>
      </c>
    </row>
    <row r="32" spans="1:23" x14ac:dyDescent="0.25">
      <c r="A32" s="22" t="str">
        <f>'Capacity By Location'!D42</f>
        <v>Equinor</v>
      </c>
      <c r="B32" s="22">
        <f>'Capacity By Location'!E42</f>
        <v>900</v>
      </c>
      <c r="C32" s="22">
        <f>'Capacity By Location'!F42</f>
        <v>900</v>
      </c>
      <c r="D32" s="22">
        <f>'Capacity By Location'!G42</f>
        <v>900</v>
      </c>
      <c r="E32" s="22">
        <f>'Capacity By Location'!H42</f>
        <v>900</v>
      </c>
      <c r="F32" s="22">
        <f>'Capacity By Location'!I42</f>
        <v>900</v>
      </c>
      <c r="G32" s="22">
        <f>'Capacity By Location'!J42</f>
        <v>900</v>
      </c>
      <c r="H32" s="22">
        <f>'Capacity By Location'!K42</f>
        <v>900</v>
      </c>
      <c r="I32" s="114">
        <f t="shared" si="1"/>
        <v>225</v>
      </c>
      <c r="J32" s="114">
        <f t="shared" si="1"/>
        <v>225</v>
      </c>
      <c r="K32" s="114">
        <f t="shared" si="1"/>
        <v>225</v>
      </c>
      <c r="L32" s="114">
        <f t="shared" si="1"/>
        <v>225</v>
      </c>
      <c r="M32" s="22">
        <f>'Capacity By Location'!L42</f>
        <v>900</v>
      </c>
      <c r="N32" s="22">
        <f>'Capacity By Location'!M42</f>
        <v>900</v>
      </c>
      <c r="O32" s="22">
        <f>'Capacity By Location'!N42</f>
        <v>900</v>
      </c>
      <c r="P32" s="22">
        <f>'Capacity By Location'!O42</f>
        <v>900</v>
      </c>
      <c r="Q32" s="22">
        <f>'Capacity By Location'!P42</f>
        <v>900</v>
      </c>
      <c r="R32" s="22">
        <f>'Capacity By Location'!Q42</f>
        <v>900</v>
      </c>
      <c r="S32" s="22">
        <f>'Capacity By Location'!R42</f>
        <v>900</v>
      </c>
      <c r="T32" s="22">
        <f>'Capacity By Location'!S42</f>
        <v>900</v>
      </c>
      <c r="U32" s="22">
        <f>'Capacity By Location'!T42</f>
        <v>900</v>
      </c>
      <c r="V32" s="22">
        <f>'Capacity By Location'!U42</f>
        <v>900</v>
      </c>
      <c r="W32" s="22">
        <f>'Capacity By Location'!V42</f>
        <v>900</v>
      </c>
    </row>
    <row r="33" spans="1:23" x14ac:dyDescent="0.25">
      <c r="A33" s="22" t="str">
        <f>'Capacity By Location'!D43</f>
        <v>SOCAR</v>
      </c>
      <c r="B33" s="22">
        <f>'Capacity By Location'!E43</f>
        <v>720</v>
      </c>
      <c r="C33" s="22">
        <f>'Capacity By Location'!F43</f>
        <v>720</v>
      </c>
      <c r="D33" s="22">
        <f>'Capacity By Location'!G43</f>
        <v>720</v>
      </c>
      <c r="E33" s="22">
        <f>'Capacity By Location'!H43</f>
        <v>720</v>
      </c>
      <c r="F33" s="22">
        <f>'Capacity By Location'!I43</f>
        <v>720</v>
      </c>
      <c r="G33" s="22">
        <f>'Capacity By Location'!J43</f>
        <v>720</v>
      </c>
      <c r="H33" s="22">
        <f>'Capacity By Location'!K43</f>
        <v>720</v>
      </c>
      <c r="I33" s="114">
        <f t="shared" si="1"/>
        <v>180</v>
      </c>
      <c r="J33" s="114">
        <f t="shared" si="1"/>
        <v>180</v>
      </c>
      <c r="K33" s="114">
        <f t="shared" si="1"/>
        <v>180</v>
      </c>
      <c r="L33" s="114">
        <f t="shared" si="1"/>
        <v>180</v>
      </c>
      <c r="M33" s="22">
        <f>'Capacity By Location'!L43</f>
        <v>720</v>
      </c>
      <c r="N33" s="22">
        <f>'Capacity By Location'!M43</f>
        <v>720</v>
      </c>
      <c r="O33" s="22">
        <f>'Capacity By Location'!N43</f>
        <v>720</v>
      </c>
      <c r="P33" s="22">
        <f>'Capacity By Location'!O43</f>
        <v>720</v>
      </c>
      <c r="Q33" s="22">
        <f>'Capacity By Location'!P43</f>
        <v>720</v>
      </c>
      <c r="R33" s="22">
        <f>'Capacity By Location'!Q43</f>
        <v>720</v>
      </c>
      <c r="S33" s="22">
        <f>'Capacity By Location'!R43</f>
        <v>720</v>
      </c>
      <c r="T33" s="22">
        <f>'Capacity By Location'!S43</f>
        <v>720</v>
      </c>
      <c r="U33" s="22">
        <f>'Capacity By Location'!T43</f>
        <v>720</v>
      </c>
      <c r="V33" s="22">
        <f>'Capacity By Location'!U43</f>
        <v>720</v>
      </c>
      <c r="W33" s="22">
        <f>'Capacity By Location'!V43</f>
        <v>720</v>
      </c>
    </row>
    <row r="34" spans="1:23" x14ac:dyDescent="0.25">
      <c r="A34" s="22" t="str">
        <f>'Capacity By Location'!D44</f>
        <v>Saudi Arabia Basic Industries Corporation (SABIC)</v>
      </c>
      <c r="B34" s="22">
        <f>'Capacity By Location'!E44</f>
        <v>4900</v>
      </c>
      <c r="C34" s="22">
        <f>'Capacity By Location'!F44</f>
        <v>4900</v>
      </c>
      <c r="D34" s="22">
        <f>'Capacity By Location'!G44</f>
        <v>4900</v>
      </c>
      <c r="E34" s="22">
        <f>'Capacity By Location'!H44</f>
        <v>4900</v>
      </c>
      <c r="F34" s="22">
        <f>'Capacity By Location'!I44</f>
        <v>4900</v>
      </c>
      <c r="G34" s="22">
        <f>'Capacity By Location'!J44</f>
        <v>4900</v>
      </c>
      <c r="H34" s="22">
        <f>'Capacity By Location'!K44</f>
        <v>4900</v>
      </c>
      <c r="I34" s="114">
        <f t="shared" si="1"/>
        <v>1225</v>
      </c>
      <c r="J34" s="114">
        <f t="shared" si="1"/>
        <v>1225</v>
      </c>
      <c r="K34" s="114">
        <f t="shared" si="1"/>
        <v>1225</v>
      </c>
      <c r="L34" s="114">
        <f t="shared" si="1"/>
        <v>1225</v>
      </c>
      <c r="M34" s="22">
        <f>'Capacity By Location'!L44</f>
        <v>4900</v>
      </c>
      <c r="N34" s="22">
        <f>'Capacity By Location'!M44</f>
        <v>5300</v>
      </c>
      <c r="O34" s="22">
        <f>'Capacity By Location'!N44</f>
        <v>5300</v>
      </c>
      <c r="P34" s="22">
        <f>'Capacity By Location'!O44</f>
        <v>5300</v>
      </c>
      <c r="Q34" s="22">
        <f>'Capacity By Location'!P44</f>
        <v>5300</v>
      </c>
      <c r="R34" s="22">
        <f>'Capacity By Location'!Q44</f>
        <v>5300</v>
      </c>
      <c r="S34" s="22">
        <f>'Capacity By Location'!R44</f>
        <v>5300</v>
      </c>
      <c r="T34" s="22">
        <f>'Capacity By Location'!S44</f>
        <v>5300</v>
      </c>
      <c r="U34" s="22">
        <f>'Capacity By Location'!T44</f>
        <v>5300</v>
      </c>
      <c r="V34" s="22">
        <f>'Capacity By Location'!U44</f>
        <v>5300</v>
      </c>
      <c r="W34" s="22">
        <f>'Capacity By Location'!V44</f>
        <v>5300</v>
      </c>
    </row>
    <row r="35" spans="1:23" x14ac:dyDescent="0.25">
      <c r="A35" s="22" t="str">
        <f>'Capacity By Location'!D45</f>
        <v>Sipchem</v>
      </c>
      <c r="B35" s="22">
        <f>'Capacity By Location'!E45</f>
        <v>967</v>
      </c>
      <c r="C35" s="22">
        <f>'Capacity By Location'!F45</f>
        <v>967</v>
      </c>
      <c r="D35" s="22">
        <f>'Capacity By Location'!G45</f>
        <v>967</v>
      </c>
      <c r="E35" s="22">
        <f>'Capacity By Location'!H45</f>
        <v>967</v>
      </c>
      <c r="F35" s="22">
        <f>'Capacity By Location'!I45</f>
        <v>967</v>
      </c>
      <c r="G35" s="22">
        <f>'Capacity By Location'!J45</f>
        <v>967</v>
      </c>
      <c r="H35" s="22">
        <f>'Capacity By Location'!K45</f>
        <v>967</v>
      </c>
      <c r="I35" s="114">
        <f t="shared" ref="I35:L83" si="2">$M35/4</f>
        <v>241.75</v>
      </c>
      <c r="J35" s="114">
        <f t="shared" si="2"/>
        <v>241.75</v>
      </c>
      <c r="K35" s="114">
        <f t="shared" si="2"/>
        <v>241.75</v>
      </c>
      <c r="L35" s="114">
        <f t="shared" si="2"/>
        <v>241.75</v>
      </c>
      <c r="M35" s="22">
        <f>'Capacity By Location'!L45</f>
        <v>967</v>
      </c>
      <c r="N35" s="22">
        <f>'Capacity By Location'!M45</f>
        <v>967</v>
      </c>
      <c r="O35" s="22">
        <f>'Capacity By Location'!N45</f>
        <v>967</v>
      </c>
      <c r="P35" s="22">
        <f>'Capacity By Location'!O45</f>
        <v>967</v>
      </c>
      <c r="Q35" s="22">
        <f>'Capacity By Location'!P45</f>
        <v>967</v>
      </c>
      <c r="R35" s="22">
        <f>'Capacity By Location'!Q45</f>
        <v>967</v>
      </c>
      <c r="S35" s="22">
        <f>'Capacity By Location'!R45</f>
        <v>967</v>
      </c>
      <c r="T35" s="22">
        <f>'Capacity By Location'!S45</f>
        <v>967</v>
      </c>
      <c r="U35" s="22">
        <f>'Capacity By Location'!T45</f>
        <v>967</v>
      </c>
      <c r="V35" s="22">
        <f>'Capacity By Location'!U45</f>
        <v>967</v>
      </c>
      <c r="W35" s="22">
        <f>'Capacity By Location'!V45</f>
        <v>967</v>
      </c>
    </row>
    <row r="36" spans="1:23" x14ac:dyDescent="0.25">
      <c r="A36" s="22" t="str">
        <f>'Capacity By Location'!D47</f>
        <v>Gulf Petrochemical Industries Company</v>
      </c>
      <c r="B36" s="22">
        <f>'Capacity By Location'!E47</f>
        <v>425</v>
      </c>
      <c r="C36" s="22">
        <f>'Capacity By Location'!F47</f>
        <v>425</v>
      </c>
      <c r="D36" s="22">
        <f>'Capacity By Location'!G47</f>
        <v>425</v>
      </c>
      <c r="E36" s="22">
        <f>'Capacity By Location'!H47</f>
        <v>425</v>
      </c>
      <c r="F36" s="22">
        <f>'Capacity By Location'!I47</f>
        <v>425</v>
      </c>
      <c r="G36" s="22">
        <f>'Capacity By Location'!J47</f>
        <v>425</v>
      </c>
      <c r="H36" s="22">
        <f>'Capacity By Location'!K47</f>
        <v>425</v>
      </c>
      <c r="I36" s="114">
        <f t="shared" si="2"/>
        <v>106.25</v>
      </c>
      <c r="J36" s="114">
        <f t="shared" si="2"/>
        <v>106.25</v>
      </c>
      <c r="K36" s="114">
        <f t="shared" si="2"/>
        <v>106.25</v>
      </c>
      <c r="L36" s="114">
        <f t="shared" si="2"/>
        <v>106.25</v>
      </c>
      <c r="M36" s="22">
        <f>'Capacity By Location'!L47</f>
        <v>425</v>
      </c>
      <c r="N36" s="22">
        <f>'Capacity By Location'!M47</f>
        <v>425</v>
      </c>
      <c r="O36" s="22">
        <f>'Capacity By Location'!N47</f>
        <v>425</v>
      </c>
      <c r="P36" s="22">
        <f>'Capacity By Location'!O47</f>
        <v>425</v>
      </c>
      <c r="Q36" s="22">
        <f>'Capacity By Location'!P47</f>
        <v>425</v>
      </c>
      <c r="R36" s="22">
        <f>'Capacity By Location'!Q47</f>
        <v>425</v>
      </c>
      <c r="S36" s="22">
        <f>'Capacity By Location'!R47</f>
        <v>425</v>
      </c>
      <c r="T36" s="22">
        <f>'Capacity By Location'!S47</f>
        <v>425</v>
      </c>
      <c r="U36" s="22">
        <f>'Capacity By Location'!T47</f>
        <v>425</v>
      </c>
      <c r="V36" s="22">
        <f>'Capacity By Location'!U47</f>
        <v>425</v>
      </c>
      <c r="W36" s="22">
        <f>'Capacity By Location'!V47</f>
        <v>425</v>
      </c>
    </row>
    <row r="37" spans="1:23" x14ac:dyDescent="0.25">
      <c r="A37" s="22" t="str">
        <f>'Capacity By Location'!D48</f>
        <v>Atlantic Methanol</v>
      </c>
      <c r="B37" s="22">
        <f>'Capacity By Location'!E48</f>
        <v>1000</v>
      </c>
      <c r="C37" s="22">
        <f>'Capacity By Location'!F48</f>
        <v>1000</v>
      </c>
      <c r="D37" s="22">
        <f>'Capacity By Location'!G48</f>
        <v>1000</v>
      </c>
      <c r="E37" s="22">
        <f>'Capacity By Location'!H48</f>
        <v>1000</v>
      </c>
      <c r="F37" s="22">
        <f>'Capacity By Location'!I48</f>
        <v>1000</v>
      </c>
      <c r="G37" s="22">
        <f>'Capacity By Location'!J48</f>
        <v>1000</v>
      </c>
      <c r="H37" s="22">
        <f>'Capacity By Location'!K48</f>
        <v>1000</v>
      </c>
      <c r="I37" s="114">
        <f t="shared" si="2"/>
        <v>250</v>
      </c>
      <c r="J37" s="114">
        <f t="shared" si="2"/>
        <v>250</v>
      </c>
      <c r="K37" s="114">
        <f t="shared" si="2"/>
        <v>250</v>
      </c>
      <c r="L37" s="114">
        <f t="shared" si="2"/>
        <v>250</v>
      </c>
      <c r="M37" s="22">
        <f>'Capacity By Location'!L48</f>
        <v>1000</v>
      </c>
      <c r="N37" s="22">
        <f>'Capacity By Location'!M48</f>
        <v>1000</v>
      </c>
      <c r="O37" s="22">
        <f>'Capacity By Location'!N48</f>
        <v>1000</v>
      </c>
      <c r="P37" s="22">
        <f>'Capacity By Location'!O48</f>
        <v>1000</v>
      </c>
      <c r="Q37" s="22">
        <f>'Capacity By Location'!P48</f>
        <v>1000</v>
      </c>
      <c r="R37" s="22">
        <f>'Capacity By Location'!Q48</f>
        <v>1000</v>
      </c>
      <c r="S37" s="22">
        <f>'Capacity By Location'!R48</f>
        <v>1000</v>
      </c>
      <c r="T37" s="22">
        <f>'Capacity By Location'!S48</f>
        <v>1000</v>
      </c>
      <c r="U37" s="22">
        <f>'Capacity By Location'!T48</f>
        <v>1000</v>
      </c>
      <c r="V37" s="22">
        <f>'Capacity By Location'!U48</f>
        <v>1000</v>
      </c>
      <c r="W37" s="22">
        <f>'Capacity By Location'!V48</f>
        <v>1000</v>
      </c>
    </row>
    <row r="38" spans="1:23" x14ac:dyDescent="0.25">
      <c r="A38" s="22" t="str">
        <f>'Capacity By Location'!D50</f>
        <v>Kaveh Methanol Petrochemical</v>
      </c>
      <c r="B38" s="22">
        <f>'Capacity By Location'!E50</f>
        <v>2300</v>
      </c>
      <c r="C38" s="22">
        <f>'Capacity By Location'!F50</f>
        <v>2300</v>
      </c>
      <c r="D38" s="22">
        <f>'Capacity By Location'!G50</f>
        <v>2300</v>
      </c>
      <c r="E38" s="22">
        <f>'Capacity By Location'!H50</f>
        <v>2300</v>
      </c>
      <c r="F38" s="22">
        <f>'Capacity By Location'!I50</f>
        <v>2300</v>
      </c>
      <c r="G38" s="22">
        <f>'Capacity By Location'!J50</f>
        <v>2300</v>
      </c>
      <c r="H38" s="22">
        <f>'Capacity By Location'!K50</f>
        <v>2300</v>
      </c>
      <c r="I38" s="114">
        <f t="shared" si="2"/>
        <v>575</v>
      </c>
      <c r="J38" s="114">
        <f t="shared" si="2"/>
        <v>575</v>
      </c>
      <c r="K38" s="114">
        <f t="shared" si="2"/>
        <v>575</v>
      </c>
      <c r="L38" s="114">
        <f t="shared" si="2"/>
        <v>575</v>
      </c>
      <c r="M38" s="22">
        <f>'Capacity By Location'!L50</f>
        <v>2300</v>
      </c>
      <c r="N38" s="22">
        <f>'Capacity By Location'!M50</f>
        <v>2300</v>
      </c>
      <c r="O38" s="22">
        <f>'Capacity By Location'!N50</f>
        <v>2300</v>
      </c>
      <c r="P38" s="22">
        <f>'Capacity By Location'!O50</f>
        <v>2300</v>
      </c>
      <c r="Q38" s="22">
        <f>'Capacity By Location'!P50</f>
        <v>2300</v>
      </c>
      <c r="R38" s="22">
        <f>'Capacity By Location'!Q50</f>
        <v>2300</v>
      </c>
      <c r="S38" s="22">
        <f>'Capacity By Location'!R50</f>
        <v>2300</v>
      </c>
      <c r="T38" s="22">
        <f>'Capacity By Location'!S50</f>
        <v>2300</v>
      </c>
      <c r="U38" s="22">
        <f>'Capacity By Location'!T50</f>
        <v>2300</v>
      </c>
      <c r="V38" s="22">
        <f>'Capacity By Location'!U50</f>
        <v>2300</v>
      </c>
      <c r="W38" s="22">
        <f>'Capacity By Location'!V50</f>
        <v>2300</v>
      </c>
    </row>
    <row r="39" spans="1:23" x14ac:dyDescent="0.25">
      <c r="A39" s="22" t="str">
        <f>'Capacity By Location'!D51</f>
        <v>NPC-Kharg Island</v>
      </c>
      <c r="B39" s="22">
        <f>'Capacity By Location'!E51</f>
        <v>660</v>
      </c>
      <c r="C39" s="22">
        <f>'Capacity By Location'!F51</f>
        <v>660</v>
      </c>
      <c r="D39" s="22">
        <f>'Capacity By Location'!G51</f>
        <v>660</v>
      </c>
      <c r="E39" s="22">
        <f>'Capacity By Location'!H51</f>
        <v>660</v>
      </c>
      <c r="F39" s="22">
        <f>'Capacity By Location'!I51</f>
        <v>660</v>
      </c>
      <c r="G39" s="22">
        <f>'Capacity By Location'!J51</f>
        <v>660</v>
      </c>
      <c r="H39" s="22">
        <f>'Capacity By Location'!K51</f>
        <v>660</v>
      </c>
      <c r="I39" s="114">
        <f t="shared" si="2"/>
        <v>165</v>
      </c>
      <c r="J39" s="114">
        <f t="shared" si="2"/>
        <v>165</v>
      </c>
      <c r="K39" s="114">
        <f t="shared" si="2"/>
        <v>165</v>
      </c>
      <c r="L39" s="114">
        <f t="shared" si="2"/>
        <v>165</v>
      </c>
      <c r="M39" s="22">
        <f>'Capacity By Location'!L51</f>
        <v>660</v>
      </c>
      <c r="N39" s="22">
        <f>'Capacity By Location'!M51</f>
        <v>660</v>
      </c>
      <c r="O39" s="22">
        <f>'Capacity By Location'!N51</f>
        <v>660</v>
      </c>
      <c r="P39" s="22">
        <f>'Capacity By Location'!O51</f>
        <v>660</v>
      </c>
      <c r="Q39" s="22">
        <f>'Capacity By Location'!P51</f>
        <v>660</v>
      </c>
      <c r="R39" s="22">
        <f>'Capacity By Location'!Q51</f>
        <v>660</v>
      </c>
      <c r="S39" s="22">
        <f>'Capacity By Location'!R51</f>
        <v>660</v>
      </c>
      <c r="T39" s="22">
        <f>'Capacity By Location'!S51</f>
        <v>660</v>
      </c>
      <c r="U39" s="22">
        <f>'Capacity By Location'!T51</f>
        <v>660</v>
      </c>
      <c r="V39" s="22">
        <f>'Capacity By Location'!U51</f>
        <v>660</v>
      </c>
      <c r="W39" s="22">
        <f>'Capacity By Location'!V51</f>
        <v>660</v>
      </c>
    </row>
    <row r="40" spans="1:23" x14ac:dyDescent="0.25">
      <c r="A40" s="22" t="str">
        <f>'Capacity By Location'!D52</f>
        <v>NPC-Fanavaran</v>
      </c>
      <c r="B40" s="22">
        <f>'Capacity By Location'!E52</f>
        <v>1000</v>
      </c>
      <c r="C40" s="22">
        <f>'Capacity By Location'!F52</f>
        <v>1000</v>
      </c>
      <c r="D40" s="22">
        <f>'Capacity By Location'!G52</f>
        <v>1000</v>
      </c>
      <c r="E40" s="22">
        <f>'Capacity By Location'!H52</f>
        <v>1000</v>
      </c>
      <c r="F40" s="22">
        <f>'Capacity By Location'!I52</f>
        <v>1000</v>
      </c>
      <c r="G40" s="22">
        <f>'Capacity By Location'!J52</f>
        <v>1000</v>
      </c>
      <c r="H40" s="22">
        <f>'Capacity By Location'!K52</f>
        <v>1000</v>
      </c>
      <c r="I40" s="114">
        <f t="shared" si="2"/>
        <v>250</v>
      </c>
      <c r="J40" s="114">
        <f t="shared" si="2"/>
        <v>250</v>
      </c>
      <c r="K40" s="114">
        <f t="shared" si="2"/>
        <v>250</v>
      </c>
      <c r="L40" s="114">
        <f t="shared" si="2"/>
        <v>250</v>
      </c>
      <c r="M40" s="22">
        <f>'Capacity By Location'!L52</f>
        <v>1000</v>
      </c>
      <c r="N40" s="22">
        <f>'Capacity By Location'!M52</f>
        <v>1000</v>
      </c>
      <c r="O40" s="22">
        <f>'Capacity By Location'!N52</f>
        <v>1000</v>
      </c>
      <c r="P40" s="22">
        <f>'Capacity By Location'!O52</f>
        <v>1000</v>
      </c>
      <c r="Q40" s="22">
        <f>'Capacity By Location'!P52</f>
        <v>1000</v>
      </c>
      <c r="R40" s="22">
        <f>'Capacity By Location'!Q52</f>
        <v>1000</v>
      </c>
      <c r="S40" s="22">
        <f>'Capacity By Location'!R52</f>
        <v>1000</v>
      </c>
      <c r="T40" s="22">
        <f>'Capacity By Location'!S52</f>
        <v>1000</v>
      </c>
      <c r="U40" s="22">
        <f>'Capacity By Location'!T52</f>
        <v>1000</v>
      </c>
      <c r="V40" s="22">
        <f>'Capacity By Location'!U52</f>
        <v>1000</v>
      </c>
      <c r="W40" s="22">
        <f>'Capacity By Location'!V52</f>
        <v>1000</v>
      </c>
    </row>
    <row r="41" spans="1:23" x14ac:dyDescent="0.25">
      <c r="A41" s="22" t="str">
        <f>'Capacity By Location'!D53</f>
        <v xml:space="preserve">NPC-Zagros </v>
      </c>
      <c r="B41" s="22">
        <f>'Capacity By Location'!E53</f>
        <v>3300</v>
      </c>
      <c r="C41" s="22">
        <f>'Capacity By Location'!F53</f>
        <v>3300</v>
      </c>
      <c r="D41" s="22">
        <f>'Capacity By Location'!G53</f>
        <v>3300</v>
      </c>
      <c r="E41" s="22">
        <f>'Capacity By Location'!H53</f>
        <v>3300</v>
      </c>
      <c r="F41" s="22">
        <f>'Capacity By Location'!I53</f>
        <v>3300</v>
      </c>
      <c r="G41" s="22">
        <f>'Capacity By Location'!J53</f>
        <v>3300</v>
      </c>
      <c r="H41" s="22">
        <f>'Capacity By Location'!K53</f>
        <v>3300</v>
      </c>
      <c r="I41" s="114">
        <f t="shared" si="2"/>
        <v>825</v>
      </c>
      <c r="J41" s="114">
        <f t="shared" si="2"/>
        <v>825</v>
      </c>
      <c r="K41" s="114">
        <f t="shared" si="2"/>
        <v>825</v>
      </c>
      <c r="L41" s="114">
        <f t="shared" si="2"/>
        <v>825</v>
      </c>
      <c r="M41" s="22">
        <f>'Capacity By Location'!L53</f>
        <v>3300</v>
      </c>
      <c r="N41" s="22">
        <f>'Capacity By Location'!M53</f>
        <v>3300</v>
      </c>
      <c r="O41" s="22">
        <f>'Capacity By Location'!N53</f>
        <v>3300</v>
      </c>
      <c r="P41" s="22">
        <f>'Capacity By Location'!O53</f>
        <v>3300</v>
      </c>
      <c r="Q41" s="22">
        <f>'Capacity By Location'!P53</f>
        <v>3300</v>
      </c>
      <c r="R41" s="22">
        <f>'Capacity By Location'!Q53</f>
        <v>3300</v>
      </c>
      <c r="S41" s="22">
        <f>'Capacity By Location'!R53</f>
        <v>3300</v>
      </c>
      <c r="T41" s="22">
        <f>'Capacity By Location'!S53</f>
        <v>3300</v>
      </c>
      <c r="U41" s="22">
        <f>'Capacity By Location'!T53</f>
        <v>3300</v>
      </c>
      <c r="V41" s="22">
        <f>'Capacity By Location'!U53</f>
        <v>3300</v>
      </c>
      <c r="W41" s="22">
        <f>'Capacity By Location'!V53</f>
        <v>3300</v>
      </c>
    </row>
    <row r="42" spans="1:23" x14ac:dyDescent="0.25">
      <c r="A42" s="22" t="str">
        <f>'Capacity By Location'!D54</f>
        <v>Marjan Petrochemical Company</v>
      </c>
      <c r="B42" s="22">
        <f>'Capacity By Location'!E54</f>
        <v>1650</v>
      </c>
      <c r="C42" s="22">
        <f>'Capacity By Location'!F54</f>
        <v>1650</v>
      </c>
      <c r="D42" s="22">
        <f>'Capacity By Location'!G54</f>
        <v>1650</v>
      </c>
      <c r="E42" s="22">
        <f>'Capacity By Location'!H54</f>
        <v>1650</v>
      </c>
      <c r="F42" s="22">
        <f>'Capacity By Location'!I54</f>
        <v>1650</v>
      </c>
      <c r="G42" s="22">
        <f>'Capacity By Location'!J54</f>
        <v>1650</v>
      </c>
      <c r="H42" s="22">
        <f>'Capacity By Location'!K54</f>
        <v>1650</v>
      </c>
      <c r="I42" s="114">
        <f t="shared" si="2"/>
        <v>412.5</v>
      </c>
      <c r="J42" s="114">
        <f t="shared" si="2"/>
        <v>412.5</v>
      </c>
      <c r="K42" s="114">
        <f t="shared" si="2"/>
        <v>412.5</v>
      </c>
      <c r="L42" s="114">
        <f t="shared" si="2"/>
        <v>412.5</v>
      </c>
      <c r="M42" s="22">
        <f>'Capacity By Location'!L54</f>
        <v>1650</v>
      </c>
      <c r="N42" s="22">
        <f>'Capacity By Location'!M54</f>
        <v>1650</v>
      </c>
      <c r="O42" s="22">
        <f>'Capacity By Location'!N54</f>
        <v>1650</v>
      </c>
      <c r="P42" s="22">
        <f>'Capacity By Location'!O54</f>
        <v>1650</v>
      </c>
      <c r="Q42" s="22">
        <f>'Capacity By Location'!P54</f>
        <v>1650</v>
      </c>
      <c r="R42" s="22">
        <f>'Capacity By Location'!Q54</f>
        <v>1650</v>
      </c>
      <c r="S42" s="22">
        <f>'Capacity By Location'!R54</f>
        <v>1650</v>
      </c>
      <c r="T42" s="22">
        <f>'Capacity By Location'!S54</f>
        <v>1650</v>
      </c>
      <c r="U42" s="22">
        <f>'Capacity By Location'!T54</f>
        <v>1650</v>
      </c>
      <c r="V42" s="22">
        <f>'Capacity By Location'!U54</f>
        <v>1650</v>
      </c>
      <c r="W42" s="22">
        <f>'Capacity By Location'!V54</f>
        <v>1650</v>
      </c>
    </row>
    <row r="43" spans="1:23" x14ac:dyDescent="0.25">
      <c r="A43" s="22" t="str">
        <f>'Capacity By Location'!D55</f>
        <v>Sabalan Petrochemical Company</v>
      </c>
      <c r="B43" s="22">
        <f>'Capacity By Location'!E55</f>
        <v>1650</v>
      </c>
      <c r="C43" s="22">
        <f>'Capacity By Location'!F55</f>
        <v>1650</v>
      </c>
      <c r="D43" s="22">
        <f>'Capacity By Location'!G55</f>
        <v>1650</v>
      </c>
      <c r="E43" s="22">
        <f>'Capacity By Location'!H55</f>
        <v>1650</v>
      </c>
      <c r="F43" s="22">
        <f>'Capacity By Location'!I55</f>
        <v>1650</v>
      </c>
      <c r="G43" s="22">
        <f>'Capacity By Location'!J55</f>
        <v>1650</v>
      </c>
      <c r="H43" s="22">
        <f>'Capacity By Location'!K55</f>
        <v>1650</v>
      </c>
      <c r="I43" s="114">
        <f t="shared" si="2"/>
        <v>412.5</v>
      </c>
      <c r="J43" s="114">
        <f t="shared" si="2"/>
        <v>412.5</v>
      </c>
      <c r="K43" s="114">
        <f t="shared" si="2"/>
        <v>412.5</v>
      </c>
      <c r="L43" s="114">
        <f t="shared" si="2"/>
        <v>412.5</v>
      </c>
      <c r="M43" s="22">
        <f>'Capacity By Location'!L55</f>
        <v>1650</v>
      </c>
      <c r="N43" s="22">
        <f>'Capacity By Location'!M55</f>
        <v>1650</v>
      </c>
      <c r="O43" s="22">
        <f>'Capacity By Location'!N55</f>
        <v>1650</v>
      </c>
      <c r="P43" s="22">
        <f>'Capacity By Location'!O55</f>
        <v>1650</v>
      </c>
      <c r="Q43" s="22">
        <f>'Capacity By Location'!P55</f>
        <v>1650</v>
      </c>
      <c r="R43" s="22">
        <f>'Capacity By Location'!Q55</f>
        <v>1650</v>
      </c>
      <c r="S43" s="22">
        <f>'Capacity By Location'!R55</f>
        <v>1650</v>
      </c>
      <c r="T43" s="22">
        <f>'Capacity By Location'!S55</f>
        <v>1650</v>
      </c>
      <c r="U43" s="22">
        <f>'Capacity By Location'!T55</f>
        <v>1650</v>
      </c>
      <c r="V43" s="22">
        <f>'Capacity By Location'!U55</f>
        <v>1650</v>
      </c>
      <c r="W43" s="22">
        <f>'Capacity By Location'!V55</f>
        <v>1650</v>
      </c>
    </row>
    <row r="44" spans="1:23" x14ac:dyDescent="0.25">
      <c r="A44" s="22" t="str">
        <f>'Capacity By Location'!D56</f>
        <v>Bushehr Petrochemical Complex</v>
      </c>
      <c r="B44" s="22">
        <f>'Capacity By Location'!E56</f>
        <v>1650</v>
      </c>
      <c r="C44" s="22">
        <f>'Capacity By Location'!F56</f>
        <v>1650</v>
      </c>
      <c r="D44" s="22">
        <f>'Capacity By Location'!G56</f>
        <v>1650</v>
      </c>
      <c r="E44" s="22">
        <f>'Capacity By Location'!H56</f>
        <v>1650</v>
      </c>
      <c r="F44" s="22">
        <f>'Capacity By Location'!I56</f>
        <v>1650</v>
      </c>
      <c r="G44" s="22">
        <f>'Capacity By Location'!J56</f>
        <v>1650</v>
      </c>
      <c r="H44" s="22">
        <f>'Capacity By Location'!K56</f>
        <v>1650</v>
      </c>
      <c r="I44" s="114">
        <f t="shared" si="2"/>
        <v>412.5</v>
      </c>
      <c r="J44" s="114">
        <f t="shared" si="2"/>
        <v>412.5</v>
      </c>
      <c r="K44" s="114">
        <f t="shared" si="2"/>
        <v>412.5</v>
      </c>
      <c r="L44" s="114">
        <f t="shared" si="2"/>
        <v>412.5</v>
      </c>
      <c r="M44" s="22">
        <f>'Capacity By Location'!L56</f>
        <v>1650</v>
      </c>
      <c r="N44" s="22">
        <f>'Capacity By Location'!M56</f>
        <v>1650</v>
      </c>
      <c r="O44" s="22">
        <f>'Capacity By Location'!N56</f>
        <v>1650</v>
      </c>
      <c r="P44" s="22">
        <f>'Capacity By Location'!O56</f>
        <v>1650</v>
      </c>
      <c r="Q44" s="22">
        <f>'Capacity By Location'!P56</f>
        <v>1650</v>
      </c>
      <c r="R44" s="22">
        <f>'Capacity By Location'!Q56</f>
        <v>1650</v>
      </c>
      <c r="S44" s="22">
        <f>'Capacity By Location'!R56</f>
        <v>1650</v>
      </c>
      <c r="T44" s="22">
        <f>'Capacity By Location'!S56</f>
        <v>1650</v>
      </c>
      <c r="U44" s="22">
        <f>'Capacity By Location'!T56</f>
        <v>1650</v>
      </c>
      <c r="V44" s="22">
        <f>'Capacity By Location'!U56</f>
        <v>1650</v>
      </c>
      <c r="W44" s="22">
        <f>'Capacity By Location'!V56</f>
        <v>1650</v>
      </c>
    </row>
    <row r="45" spans="1:23" x14ac:dyDescent="0.25">
      <c r="A45" s="22" t="str">
        <f>'Capacity By Location'!D57</f>
        <v>Shiraz Petrochemical Complex</v>
      </c>
      <c r="B45" s="22">
        <f>'Capacity By Location'!E57</f>
        <v>84</v>
      </c>
      <c r="C45" s="22">
        <f>'Capacity By Location'!F57</f>
        <v>84</v>
      </c>
      <c r="D45" s="22">
        <f>'Capacity By Location'!G57</f>
        <v>84</v>
      </c>
      <c r="E45" s="22">
        <f>'Capacity By Location'!H57</f>
        <v>84</v>
      </c>
      <c r="F45" s="22">
        <f>'Capacity By Location'!I57</f>
        <v>84</v>
      </c>
      <c r="G45" s="22">
        <f>'Capacity By Location'!J57</f>
        <v>84</v>
      </c>
      <c r="H45" s="22">
        <f>'Capacity By Location'!K57</f>
        <v>84</v>
      </c>
      <c r="I45" s="114">
        <f t="shared" si="2"/>
        <v>21</v>
      </c>
      <c r="J45" s="114">
        <f t="shared" si="2"/>
        <v>21</v>
      </c>
      <c r="K45" s="114">
        <f t="shared" si="2"/>
        <v>21</v>
      </c>
      <c r="L45" s="114">
        <f t="shared" si="2"/>
        <v>21</v>
      </c>
      <c r="M45" s="22">
        <f>'Capacity By Location'!L57</f>
        <v>84</v>
      </c>
      <c r="N45" s="22">
        <f>'Capacity By Location'!M57</f>
        <v>84</v>
      </c>
      <c r="O45" s="22">
        <f>'Capacity By Location'!N57</f>
        <v>84</v>
      </c>
      <c r="P45" s="22">
        <f>'Capacity By Location'!O57</f>
        <v>84</v>
      </c>
      <c r="Q45" s="22">
        <f>'Capacity By Location'!P57</f>
        <v>84</v>
      </c>
      <c r="R45" s="22">
        <f>'Capacity By Location'!Q57</f>
        <v>84</v>
      </c>
      <c r="S45" s="22">
        <f>'Capacity By Location'!R57</f>
        <v>84</v>
      </c>
      <c r="T45" s="22">
        <f>'Capacity By Location'!S57</f>
        <v>84</v>
      </c>
      <c r="U45" s="22">
        <f>'Capacity By Location'!T57</f>
        <v>84</v>
      </c>
      <c r="V45" s="22">
        <f>'Capacity By Location'!U57</f>
        <v>84</v>
      </c>
      <c r="W45" s="22">
        <f>'Capacity By Location'!V57</f>
        <v>84</v>
      </c>
    </row>
    <row r="46" spans="1:23" x14ac:dyDescent="0.25">
      <c r="A46" s="22" t="str">
        <f>'Capacity By Location'!D58</f>
        <v>Kimia Pars Middle East Company</v>
      </c>
      <c r="B46" s="22">
        <f>'Capacity By Location'!E58</f>
        <v>1650</v>
      </c>
      <c r="C46" s="22">
        <f>'Capacity By Location'!F58</f>
        <v>1650</v>
      </c>
      <c r="D46" s="22">
        <f>'Capacity By Location'!G58</f>
        <v>1650</v>
      </c>
      <c r="E46" s="22">
        <f>'Capacity By Location'!H58</f>
        <v>1650</v>
      </c>
      <c r="F46" s="22">
        <f>'Capacity By Location'!I58</f>
        <v>1650</v>
      </c>
      <c r="G46" s="22">
        <f>'Capacity By Location'!J58</f>
        <v>1650</v>
      </c>
      <c r="H46" s="22">
        <f>'Capacity By Location'!K58</f>
        <v>1650</v>
      </c>
      <c r="I46" s="114">
        <f t="shared" si="2"/>
        <v>412.5</v>
      </c>
      <c r="J46" s="114">
        <f t="shared" si="2"/>
        <v>412.5</v>
      </c>
      <c r="K46" s="114">
        <f t="shared" si="2"/>
        <v>412.5</v>
      </c>
      <c r="L46" s="114">
        <f t="shared" si="2"/>
        <v>412.5</v>
      </c>
      <c r="M46" s="22">
        <f>'Capacity By Location'!L58</f>
        <v>1650</v>
      </c>
      <c r="N46" s="22">
        <f>'Capacity By Location'!M58</f>
        <v>1650</v>
      </c>
      <c r="O46" s="22">
        <f>'Capacity By Location'!N58</f>
        <v>1650</v>
      </c>
      <c r="P46" s="22">
        <f>'Capacity By Location'!O58</f>
        <v>1650</v>
      </c>
      <c r="Q46" s="22">
        <f>'Capacity By Location'!P58</f>
        <v>1650</v>
      </c>
      <c r="R46" s="22">
        <f>'Capacity By Location'!Q58</f>
        <v>1650</v>
      </c>
      <c r="S46" s="22">
        <f>'Capacity By Location'!R58</f>
        <v>1650</v>
      </c>
      <c r="T46" s="22">
        <f>'Capacity By Location'!S58</f>
        <v>1650</v>
      </c>
      <c r="U46" s="22">
        <f>'Capacity By Location'!T58</f>
        <v>1650</v>
      </c>
      <c r="V46" s="22">
        <f>'Capacity By Location'!U58</f>
        <v>1650</v>
      </c>
      <c r="W46" s="22">
        <f>'Capacity By Location'!V58</f>
        <v>1650</v>
      </c>
    </row>
    <row r="47" spans="1:23" x14ac:dyDescent="0.25">
      <c r="A47" s="22" t="str">
        <f>'Capacity By Location'!D59</f>
        <v>Apadana Petrochemical Persian Gulf</v>
      </c>
      <c r="B47" s="22">
        <f>'Capacity By Location'!E59</f>
        <v>1650</v>
      </c>
      <c r="C47" s="22">
        <f>'Capacity By Location'!F59</f>
        <v>1650</v>
      </c>
      <c r="D47" s="22">
        <f>'Capacity By Location'!G59</f>
        <v>1650</v>
      </c>
      <c r="E47" s="22">
        <f>'Capacity By Location'!H59</f>
        <v>1650</v>
      </c>
      <c r="F47" s="22">
        <f>'Capacity By Location'!I59</f>
        <v>1650</v>
      </c>
      <c r="G47" s="22">
        <f>'Capacity By Location'!J59</f>
        <v>1650</v>
      </c>
      <c r="H47" s="22">
        <f>'Capacity By Location'!K59</f>
        <v>1650</v>
      </c>
      <c r="I47" s="114">
        <f t="shared" si="2"/>
        <v>412.5</v>
      </c>
      <c r="J47" s="114">
        <f t="shared" si="2"/>
        <v>412.5</v>
      </c>
      <c r="K47" s="114">
        <f t="shared" si="2"/>
        <v>412.5</v>
      </c>
      <c r="L47" s="114">
        <f t="shared" si="2"/>
        <v>412.5</v>
      </c>
      <c r="M47" s="22">
        <f>'Capacity By Location'!L59</f>
        <v>1650</v>
      </c>
      <c r="N47" s="22">
        <f>'Capacity By Location'!M59</f>
        <v>1650</v>
      </c>
      <c r="O47" s="22">
        <f>'Capacity By Location'!N59</f>
        <v>1650</v>
      </c>
      <c r="P47" s="22">
        <f>'Capacity By Location'!O59</f>
        <v>1650</v>
      </c>
      <c r="Q47" s="22">
        <f>'Capacity By Location'!P59</f>
        <v>1650</v>
      </c>
      <c r="R47" s="22">
        <f>'Capacity By Location'!Q59</f>
        <v>1650</v>
      </c>
      <c r="S47" s="22">
        <f>'Capacity By Location'!R59</f>
        <v>1650</v>
      </c>
      <c r="T47" s="22">
        <f>'Capacity By Location'!S59</f>
        <v>1650</v>
      </c>
      <c r="U47" s="22">
        <f>'Capacity By Location'!T59</f>
        <v>1650</v>
      </c>
      <c r="V47" s="22">
        <f>'Capacity By Location'!U59</f>
        <v>1650</v>
      </c>
      <c r="W47" s="22">
        <f>'Capacity By Location'!V59</f>
        <v>1650</v>
      </c>
    </row>
    <row r="48" spans="1:23" x14ac:dyDescent="0.25">
      <c r="A48" s="22" t="str">
        <f>'Capacity By Location'!D60</f>
        <v>QAFAC</v>
      </c>
      <c r="B48" s="22">
        <f>'Capacity By Location'!E60</f>
        <v>982</v>
      </c>
      <c r="C48" s="22">
        <f>'Capacity By Location'!F60</f>
        <v>982</v>
      </c>
      <c r="D48" s="22">
        <f>'Capacity By Location'!G60</f>
        <v>982</v>
      </c>
      <c r="E48" s="22">
        <f>'Capacity By Location'!H60</f>
        <v>982</v>
      </c>
      <c r="F48" s="22">
        <f>'Capacity By Location'!I60</f>
        <v>982</v>
      </c>
      <c r="G48" s="22">
        <f>'Capacity By Location'!J60</f>
        <v>982</v>
      </c>
      <c r="H48" s="22">
        <f>'Capacity By Location'!K60</f>
        <v>982</v>
      </c>
      <c r="I48" s="114">
        <f t="shared" si="2"/>
        <v>245.5</v>
      </c>
      <c r="J48" s="114">
        <f t="shared" si="2"/>
        <v>245.5</v>
      </c>
      <c r="K48" s="114">
        <f t="shared" si="2"/>
        <v>245.5</v>
      </c>
      <c r="L48" s="114">
        <f t="shared" si="2"/>
        <v>245.5</v>
      </c>
      <c r="M48" s="22">
        <f>'Capacity By Location'!L60</f>
        <v>982</v>
      </c>
      <c r="N48" s="22">
        <f>'Capacity By Location'!M60</f>
        <v>982</v>
      </c>
      <c r="O48" s="22">
        <f>'Capacity By Location'!N60</f>
        <v>982</v>
      </c>
      <c r="P48" s="22">
        <f>'Capacity By Location'!O60</f>
        <v>982</v>
      </c>
      <c r="Q48" s="22">
        <f>'Capacity By Location'!P60</f>
        <v>982</v>
      </c>
      <c r="R48" s="22">
        <f>'Capacity By Location'!Q60</f>
        <v>982</v>
      </c>
      <c r="S48" s="22">
        <f>'Capacity By Location'!R60</f>
        <v>982</v>
      </c>
      <c r="T48" s="22">
        <f>'Capacity By Location'!S60</f>
        <v>982</v>
      </c>
      <c r="U48" s="22">
        <f>'Capacity By Location'!T60</f>
        <v>982</v>
      </c>
      <c r="V48" s="22">
        <f>'Capacity By Location'!U60</f>
        <v>982</v>
      </c>
      <c r="W48" s="22">
        <f>'Capacity By Location'!V60</f>
        <v>982</v>
      </c>
    </row>
    <row r="49" spans="1:23" x14ac:dyDescent="0.25">
      <c r="A49" s="22" t="str">
        <f>'Capacity By Location'!D61</f>
        <v>Chemanol</v>
      </c>
      <c r="B49" s="22">
        <f>'Capacity By Location'!E61</f>
        <v>230</v>
      </c>
      <c r="C49" s="22">
        <f>'Capacity By Location'!F61</f>
        <v>230</v>
      </c>
      <c r="D49" s="22">
        <f>'Capacity By Location'!G61</f>
        <v>230</v>
      </c>
      <c r="E49" s="22">
        <f>'Capacity By Location'!H61</f>
        <v>230</v>
      </c>
      <c r="F49" s="22">
        <f>'Capacity By Location'!I61</f>
        <v>230</v>
      </c>
      <c r="G49" s="22">
        <f>'Capacity By Location'!J61</f>
        <v>230</v>
      </c>
      <c r="H49" s="22">
        <f>'Capacity By Location'!K61</f>
        <v>230</v>
      </c>
      <c r="I49" s="114">
        <f t="shared" si="2"/>
        <v>57.5</v>
      </c>
      <c r="J49" s="114">
        <f t="shared" si="2"/>
        <v>57.5</v>
      </c>
      <c r="K49" s="114">
        <f t="shared" si="2"/>
        <v>57.5</v>
      </c>
      <c r="L49" s="114">
        <f t="shared" si="2"/>
        <v>57.5</v>
      </c>
      <c r="M49" s="22">
        <f>'Capacity By Location'!L61</f>
        <v>230</v>
      </c>
      <c r="N49" s="22">
        <f>'Capacity By Location'!M61</f>
        <v>230</v>
      </c>
      <c r="O49" s="22">
        <f>'Capacity By Location'!N61</f>
        <v>230</v>
      </c>
      <c r="P49" s="22">
        <f>'Capacity By Location'!O61</f>
        <v>230</v>
      </c>
      <c r="Q49" s="22">
        <f>'Capacity By Location'!P61</f>
        <v>230</v>
      </c>
      <c r="R49" s="22">
        <f>'Capacity By Location'!Q61</f>
        <v>230</v>
      </c>
      <c r="S49" s="22">
        <f>'Capacity By Location'!R61</f>
        <v>230</v>
      </c>
      <c r="T49" s="22">
        <f>'Capacity By Location'!S61</f>
        <v>230</v>
      </c>
      <c r="U49" s="22">
        <f>'Capacity By Location'!T61</f>
        <v>230</v>
      </c>
      <c r="V49" s="22">
        <f>'Capacity By Location'!U61</f>
        <v>230</v>
      </c>
      <c r="W49" s="22">
        <f>'Capacity By Location'!V61</f>
        <v>230</v>
      </c>
    </row>
    <row r="50" spans="1:23" x14ac:dyDescent="0.25">
      <c r="A50" s="22" t="str">
        <f>'Capacity By Location'!D62</f>
        <v>Oman Methanol Company</v>
      </c>
      <c r="B50" s="22">
        <f>'Capacity By Location'!E62</f>
        <v>1150</v>
      </c>
      <c r="C50" s="22">
        <f>'Capacity By Location'!F62</f>
        <v>1150</v>
      </c>
      <c r="D50" s="22">
        <f>'Capacity By Location'!G62</f>
        <v>1150</v>
      </c>
      <c r="E50" s="22">
        <f>'Capacity By Location'!H62</f>
        <v>1150</v>
      </c>
      <c r="F50" s="22">
        <f>'Capacity By Location'!I62</f>
        <v>1150</v>
      </c>
      <c r="G50" s="22">
        <f>'Capacity By Location'!J62</f>
        <v>1150</v>
      </c>
      <c r="H50" s="22">
        <f>'Capacity By Location'!K62</f>
        <v>1150</v>
      </c>
      <c r="I50" s="114">
        <f t="shared" si="2"/>
        <v>287.5</v>
      </c>
      <c r="J50" s="114">
        <f t="shared" si="2"/>
        <v>287.5</v>
      </c>
      <c r="K50" s="114">
        <f t="shared" si="2"/>
        <v>287.5</v>
      </c>
      <c r="L50" s="114">
        <f t="shared" si="2"/>
        <v>287.5</v>
      </c>
      <c r="M50" s="22">
        <f>'Capacity By Location'!L62</f>
        <v>1150</v>
      </c>
      <c r="N50" s="22">
        <f>'Capacity By Location'!M62</f>
        <v>1150</v>
      </c>
      <c r="O50" s="22">
        <f>'Capacity By Location'!N62</f>
        <v>1150</v>
      </c>
      <c r="P50" s="22">
        <f>'Capacity By Location'!O62</f>
        <v>1150</v>
      </c>
      <c r="Q50" s="22">
        <f>'Capacity By Location'!P62</f>
        <v>1150</v>
      </c>
      <c r="R50" s="22">
        <f>'Capacity By Location'!Q62</f>
        <v>1150</v>
      </c>
      <c r="S50" s="22">
        <f>'Capacity By Location'!R62</f>
        <v>1150</v>
      </c>
      <c r="T50" s="22">
        <f>'Capacity By Location'!S62</f>
        <v>1150</v>
      </c>
      <c r="U50" s="22">
        <f>'Capacity By Location'!T62</f>
        <v>1150</v>
      </c>
      <c r="V50" s="22">
        <f>'Capacity By Location'!U62</f>
        <v>1150</v>
      </c>
      <c r="W50" s="22">
        <f>'Capacity By Location'!V62</f>
        <v>1150</v>
      </c>
    </row>
    <row r="51" spans="1:23" x14ac:dyDescent="0.25">
      <c r="A51" s="22" t="str">
        <f>'Capacity By Location'!D63</f>
        <v xml:space="preserve">Salalah Methanol  </v>
      </c>
      <c r="B51" s="22">
        <f>'Capacity By Location'!E63</f>
        <v>1300</v>
      </c>
      <c r="C51" s="22">
        <f>'Capacity By Location'!F63</f>
        <v>1300</v>
      </c>
      <c r="D51" s="22">
        <f>'Capacity By Location'!G63</f>
        <v>1300</v>
      </c>
      <c r="E51" s="22">
        <f>'Capacity By Location'!H63</f>
        <v>1300</v>
      </c>
      <c r="F51" s="22">
        <f>'Capacity By Location'!I63</f>
        <v>1300</v>
      </c>
      <c r="G51" s="22">
        <f>'Capacity By Location'!J63</f>
        <v>1300</v>
      </c>
      <c r="H51" s="22">
        <f>'Capacity By Location'!K63</f>
        <v>1300</v>
      </c>
      <c r="I51" s="114">
        <f t="shared" si="2"/>
        <v>325</v>
      </c>
      <c r="J51" s="114">
        <f t="shared" si="2"/>
        <v>325</v>
      </c>
      <c r="K51" s="114">
        <f t="shared" si="2"/>
        <v>325</v>
      </c>
      <c r="L51" s="114">
        <f t="shared" si="2"/>
        <v>325</v>
      </c>
      <c r="M51" s="22">
        <f>'Capacity By Location'!L63</f>
        <v>1300</v>
      </c>
      <c r="N51" s="22">
        <f>'Capacity By Location'!M63</f>
        <v>1300</v>
      </c>
      <c r="O51" s="22">
        <f>'Capacity By Location'!N63</f>
        <v>1300</v>
      </c>
      <c r="P51" s="22">
        <f>'Capacity By Location'!O63</f>
        <v>1300</v>
      </c>
      <c r="Q51" s="22">
        <f>'Capacity By Location'!P63</f>
        <v>1300</v>
      </c>
      <c r="R51" s="22">
        <f>'Capacity By Location'!Q63</f>
        <v>1300</v>
      </c>
      <c r="S51" s="22">
        <f>'Capacity By Location'!R63</f>
        <v>1300</v>
      </c>
      <c r="T51" s="22">
        <f>'Capacity By Location'!S63</f>
        <v>1300</v>
      </c>
      <c r="U51" s="22">
        <f>'Capacity By Location'!T63</f>
        <v>1300</v>
      </c>
      <c r="V51" s="22">
        <f>'Capacity By Location'!U63</f>
        <v>1300</v>
      </c>
      <c r="W51" s="22">
        <f>'Capacity By Location'!V63</f>
        <v>1300</v>
      </c>
    </row>
    <row r="52" spans="1:23" x14ac:dyDescent="0.25">
      <c r="A52" s="22" t="str">
        <f>'Capacity By Location'!D64</f>
        <v>Khark Petrochemical (Shakhark)</v>
      </c>
      <c r="B52" s="22">
        <f>'Capacity By Location'!E64</f>
        <v>660</v>
      </c>
      <c r="C52" s="22">
        <f>'Capacity By Location'!F64</f>
        <v>660</v>
      </c>
      <c r="D52" s="22">
        <f>'Capacity By Location'!G64</f>
        <v>660</v>
      </c>
      <c r="E52" s="22">
        <f>'Capacity By Location'!H64</f>
        <v>660</v>
      </c>
      <c r="F52" s="22">
        <f>'Capacity By Location'!I64</f>
        <v>660</v>
      </c>
      <c r="G52" s="22">
        <f>'Capacity By Location'!J64</f>
        <v>660</v>
      </c>
      <c r="H52" s="22">
        <f>'Capacity By Location'!K64</f>
        <v>660</v>
      </c>
      <c r="I52" s="114">
        <f t="shared" si="2"/>
        <v>165</v>
      </c>
      <c r="J52" s="114">
        <f t="shared" si="2"/>
        <v>165</v>
      </c>
      <c r="K52" s="114">
        <f t="shared" si="2"/>
        <v>165</v>
      </c>
      <c r="L52" s="114">
        <f t="shared" si="2"/>
        <v>165</v>
      </c>
      <c r="M52" s="22">
        <f>'Capacity By Location'!L64</f>
        <v>660</v>
      </c>
      <c r="N52" s="22">
        <f>'Capacity By Location'!M64</f>
        <v>660</v>
      </c>
      <c r="O52" s="22">
        <f>'Capacity By Location'!N64</f>
        <v>660</v>
      </c>
      <c r="P52" s="22">
        <f>'Capacity By Location'!O64</f>
        <v>660</v>
      </c>
      <c r="Q52" s="22">
        <f>'Capacity By Location'!P64</f>
        <v>660</v>
      </c>
      <c r="R52" s="22">
        <f>'Capacity By Location'!Q64</f>
        <v>660</v>
      </c>
      <c r="S52" s="22">
        <f>'Capacity By Location'!R64</f>
        <v>660</v>
      </c>
      <c r="T52" s="22">
        <f>'Capacity By Location'!S64</f>
        <v>660</v>
      </c>
      <c r="U52" s="22">
        <f>'Capacity By Location'!T64</f>
        <v>660</v>
      </c>
      <c r="V52" s="22">
        <f>'Capacity By Location'!U64</f>
        <v>660</v>
      </c>
      <c r="W52" s="22">
        <f>'Capacity By Location'!V64</f>
        <v>660</v>
      </c>
    </row>
    <row r="53" spans="1:23" x14ac:dyDescent="0.25">
      <c r="A53" s="22" t="str">
        <f>'Capacity By Location'!D65</f>
        <v>Abu Dhabi National Oil Company (ADNOC)</v>
      </c>
      <c r="B53" s="22">
        <f>'Capacity By Location'!E65</f>
        <v>0</v>
      </c>
      <c r="C53" s="22">
        <f>'Capacity By Location'!F65</f>
        <v>0</v>
      </c>
      <c r="D53" s="22">
        <f>'Capacity By Location'!G65</f>
        <v>0</v>
      </c>
      <c r="E53" s="22">
        <f>'Capacity By Location'!H65</f>
        <v>0</v>
      </c>
      <c r="F53" s="22">
        <f>'Capacity By Location'!I65</f>
        <v>0</v>
      </c>
      <c r="G53" s="22">
        <f>'Capacity By Location'!J65</f>
        <v>0</v>
      </c>
      <c r="H53" s="22">
        <f>'Capacity By Location'!K65</f>
        <v>0</v>
      </c>
      <c r="I53" s="114">
        <f t="shared" si="2"/>
        <v>0</v>
      </c>
      <c r="J53" s="114">
        <f t="shared" si="2"/>
        <v>0</v>
      </c>
      <c r="K53" s="114">
        <f t="shared" si="2"/>
        <v>0</v>
      </c>
      <c r="L53" s="114">
        <f t="shared" si="2"/>
        <v>0</v>
      </c>
      <c r="M53" s="22">
        <f>'Capacity By Location'!L65</f>
        <v>0</v>
      </c>
      <c r="N53" s="22">
        <f>'Capacity By Location'!M65</f>
        <v>0</v>
      </c>
      <c r="O53" s="22">
        <f>'Capacity By Location'!N65</f>
        <v>0</v>
      </c>
      <c r="P53" s="22">
        <f>'Capacity By Location'!O65</f>
        <v>0</v>
      </c>
      <c r="Q53" s="22">
        <f>'Capacity By Location'!P65</f>
        <v>1800</v>
      </c>
      <c r="R53" s="22">
        <f>'Capacity By Location'!Q65</f>
        <v>1800</v>
      </c>
      <c r="S53" s="22">
        <f>'Capacity By Location'!R65</f>
        <v>1800</v>
      </c>
      <c r="T53" s="22">
        <f>'Capacity By Location'!S65</f>
        <v>1800</v>
      </c>
      <c r="U53" s="22">
        <f>'Capacity By Location'!T65</f>
        <v>1800</v>
      </c>
      <c r="V53" s="22">
        <f>'Capacity By Location'!U65</f>
        <v>1800</v>
      </c>
      <c r="W53" s="22">
        <f>'Capacity By Location'!V65</f>
        <v>1800</v>
      </c>
    </row>
    <row r="54" spans="1:23" x14ac:dyDescent="0.25">
      <c r="A54" s="22" t="str">
        <f>'Capacity By Location'!D66</f>
        <v>Assam Petro-Chemicals Ltd</v>
      </c>
      <c r="B54" s="22">
        <f>'Capacity By Location'!E66</f>
        <v>33</v>
      </c>
      <c r="C54" s="22">
        <f>'Capacity By Location'!F66</f>
        <v>33</v>
      </c>
      <c r="D54" s="22">
        <f>'Capacity By Location'!G66</f>
        <v>33</v>
      </c>
      <c r="E54" s="22">
        <f>'Capacity By Location'!H66</f>
        <v>33</v>
      </c>
      <c r="F54" s="22">
        <f>'Capacity By Location'!I66</f>
        <v>33</v>
      </c>
      <c r="G54" s="22">
        <f>'Capacity By Location'!J66</f>
        <v>33</v>
      </c>
      <c r="H54" s="22">
        <f>'Capacity By Location'!K66</f>
        <v>33</v>
      </c>
      <c r="I54" s="114">
        <f t="shared" si="2"/>
        <v>8.25</v>
      </c>
      <c r="J54" s="114">
        <f t="shared" si="2"/>
        <v>8.25</v>
      </c>
      <c r="K54" s="114">
        <f t="shared" si="2"/>
        <v>8.25</v>
      </c>
      <c r="L54" s="114">
        <f t="shared" si="2"/>
        <v>8.25</v>
      </c>
      <c r="M54" s="22">
        <f>'Capacity By Location'!L66</f>
        <v>33</v>
      </c>
      <c r="N54" s="22">
        <f>'Capacity By Location'!M66</f>
        <v>198</v>
      </c>
      <c r="O54" s="22">
        <f>'Capacity By Location'!N66</f>
        <v>198</v>
      </c>
      <c r="P54" s="22">
        <f>'Capacity By Location'!O66</f>
        <v>198</v>
      </c>
      <c r="Q54" s="22">
        <f>'Capacity By Location'!P66</f>
        <v>198</v>
      </c>
      <c r="R54" s="22">
        <f>'Capacity By Location'!Q66</f>
        <v>198</v>
      </c>
      <c r="S54" s="22">
        <f>'Capacity By Location'!R66</f>
        <v>198</v>
      </c>
      <c r="T54" s="22">
        <f>'Capacity By Location'!S66</f>
        <v>198</v>
      </c>
      <c r="U54" s="22">
        <f>'Capacity By Location'!T66</f>
        <v>198</v>
      </c>
      <c r="V54" s="22">
        <f>'Capacity By Location'!U66</f>
        <v>198</v>
      </c>
      <c r="W54" s="22">
        <f>'Capacity By Location'!V66</f>
        <v>198</v>
      </c>
    </row>
    <row r="55" spans="1:23" x14ac:dyDescent="0.25">
      <c r="A55" s="22" t="str">
        <f>'Capacity By Location'!D67</f>
        <v xml:space="preserve">Gujarat Narmada Valley Fertilizers and Chemicals Ltd </v>
      </c>
      <c r="B55" s="22">
        <f>'Capacity By Location'!E67</f>
        <v>269</v>
      </c>
      <c r="C55" s="22">
        <f>'Capacity By Location'!F67</f>
        <v>269</v>
      </c>
      <c r="D55" s="22">
        <f>'Capacity By Location'!G67</f>
        <v>269</v>
      </c>
      <c r="E55" s="22">
        <f>'Capacity By Location'!H67</f>
        <v>269</v>
      </c>
      <c r="F55" s="22">
        <f>'Capacity By Location'!I67</f>
        <v>269</v>
      </c>
      <c r="G55" s="22">
        <f>'Capacity By Location'!J67</f>
        <v>269</v>
      </c>
      <c r="H55" s="22">
        <f>'Capacity By Location'!K67</f>
        <v>269</v>
      </c>
      <c r="I55" s="114">
        <f t="shared" si="2"/>
        <v>67.25</v>
      </c>
      <c r="J55" s="114">
        <f t="shared" si="2"/>
        <v>67.25</v>
      </c>
      <c r="K55" s="114">
        <f t="shared" si="2"/>
        <v>67.25</v>
      </c>
      <c r="L55" s="114">
        <f t="shared" si="2"/>
        <v>67.25</v>
      </c>
      <c r="M55" s="22">
        <f>'Capacity By Location'!L67</f>
        <v>269</v>
      </c>
      <c r="N55" s="22">
        <f>'Capacity By Location'!M67</f>
        <v>269</v>
      </c>
      <c r="O55" s="22">
        <f>'Capacity By Location'!N67</f>
        <v>269</v>
      </c>
      <c r="P55" s="22">
        <f>'Capacity By Location'!O67</f>
        <v>269</v>
      </c>
      <c r="Q55" s="22">
        <f>'Capacity By Location'!P67</f>
        <v>269</v>
      </c>
      <c r="R55" s="22">
        <f>'Capacity By Location'!Q67</f>
        <v>269</v>
      </c>
      <c r="S55" s="22">
        <f>'Capacity By Location'!R67</f>
        <v>269</v>
      </c>
      <c r="T55" s="22">
        <f>'Capacity By Location'!S67</f>
        <v>269</v>
      </c>
      <c r="U55" s="22">
        <f>'Capacity By Location'!T67</f>
        <v>269</v>
      </c>
      <c r="V55" s="22">
        <f>'Capacity By Location'!U67</f>
        <v>269</v>
      </c>
      <c r="W55" s="22">
        <f>'Capacity By Location'!V67</f>
        <v>269</v>
      </c>
    </row>
    <row r="56" spans="1:23" x14ac:dyDescent="0.25">
      <c r="A56" s="22" t="str">
        <f>'Capacity By Location'!D68</f>
        <v xml:space="preserve">Rashtriya Chemicals &amp; Fertilizers  </v>
      </c>
      <c r="B56" s="22">
        <f>'Capacity By Location'!E68</f>
        <v>0</v>
      </c>
      <c r="C56" s="22">
        <f>'Capacity By Location'!F68</f>
        <v>0</v>
      </c>
      <c r="D56" s="22">
        <f>'Capacity By Location'!G68</f>
        <v>0</v>
      </c>
      <c r="E56" s="22">
        <f>'Capacity By Location'!H68</f>
        <v>0</v>
      </c>
      <c r="F56" s="22">
        <f>'Capacity By Location'!I68</f>
        <v>0</v>
      </c>
      <c r="G56" s="22">
        <f>'Capacity By Location'!J68</f>
        <v>80</v>
      </c>
      <c r="H56" s="22">
        <f>'Capacity By Location'!K68</f>
        <v>80</v>
      </c>
      <c r="I56" s="114">
        <f t="shared" si="2"/>
        <v>20</v>
      </c>
      <c r="J56" s="114">
        <f t="shared" si="2"/>
        <v>20</v>
      </c>
      <c r="K56" s="114">
        <f t="shared" si="2"/>
        <v>20</v>
      </c>
      <c r="L56" s="114">
        <f t="shared" si="2"/>
        <v>20</v>
      </c>
      <c r="M56" s="22">
        <f>'Capacity By Location'!L68</f>
        <v>80</v>
      </c>
      <c r="N56" s="22">
        <f>'Capacity By Location'!M68</f>
        <v>80</v>
      </c>
      <c r="O56" s="22">
        <f>'Capacity By Location'!N68</f>
        <v>80</v>
      </c>
      <c r="P56" s="22">
        <f>'Capacity By Location'!O68</f>
        <v>80</v>
      </c>
      <c r="Q56" s="22">
        <f>'Capacity By Location'!P68</f>
        <v>80</v>
      </c>
      <c r="R56" s="22">
        <f>'Capacity By Location'!Q68</f>
        <v>80</v>
      </c>
      <c r="S56" s="22">
        <f>'Capacity By Location'!R68</f>
        <v>80</v>
      </c>
      <c r="T56" s="22">
        <f>'Capacity By Location'!S68</f>
        <v>80</v>
      </c>
      <c r="U56" s="22">
        <f>'Capacity By Location'!T68</f>
        <v>80</v>
      </c>
      <c r="V56" s="22">
        <f>'Capacity By Location'!U68</f>
        <v>80</v>
      </c>
      <c r="W56" s="22">
        <f>'Capacity By Location'!V68</f>
        <v>80</v>
      </c>
    </row>
    <row r="57" spans="1:23" x14ac:dyDescent="0.25">
      <c r="A57" s="22" t="str">
        <f>'Capacity By Location'!D69</f>
        <v>Deepak Fertilizer &amp; Chemicals Ltd</v>
      </c>
      <c r="B57" s="22">
        <f>'Capacity By Location'!E69</f>
        <v>100</v>
      </c>
      <c r="C57" s="22">
        <f>'Capacity By Location'!F69</f>
        <v>100</v>
      </c>
      <c r="D57" s="22">
        <f>'Capacity By Location'!G69</f>
        <v>100</v>
      </c>
      <c r="E57" s="22">
        <f>'Capacity By Location'!H69</f>
        <v>100</v>
      </c>
      <c r="F57" s="22">
        <f>'Capacity By Location'!I69</f>
        <v>100</v>
      </c>
      <c r="G57" s="22">
        <f>'Capacity By Location'!J69</f>
        <v>100</v>
      </c>
      <c r="H57" s="22">
        <f>'Capacity By Location'!K69</f>
        <v>100</v>
      </c>
      <c r="I57" s="114">
        <f t="shared" si="2"/>
        <v>25</v>
      </c>
      <c r="J57" s="114">
        <f t="shared" si="2"/>
        <v>25</v>
      </c>
      <c r="K57" s="114">
        <f t="shared" si="2"/>
        <v>25</v>
      </c>
      <c r="L57" s="114">
        <f t="shared" si="2"/>
        <v>25</v>
      </c>
      <c r="M57" s="22">
        <f>'Capacity By Location'!L69</f>
        <v>100</v>
      </c>
      <c r="N57" s="22">
        <f>'Capacity By Location'!M69</f>
        <v>100</v>
      </c>
      <c r="O57" s="22">
        <f>'Capacity By Location'!N69</f>
        <v>100</v>
      </c>
      <c r="P57" s="22">
        <f>'Capacity By Location'!O69</f>
        <v>100</v>
      </c>
      <c r="Q57" s="22">
        <f>'Capacity By Location'!P69</f>
        <v>100</v>
      </c>
      <c r="R57" s="22">
        <f>'Capacity By Location'!Q69</f>
        <v>100</v>
      </c>
      <c r="S57" s="22">
        <f>'Capacity By Location'!R69</f>
        <v>100</v>
      </c>
      <c r="T57" s="22">
        <f>'Capacity By Location'!S69</f>
        <v>100</v>
      </c>
      <c r="U57" s="22">
        <f>'Capacity By Location'!T69</f>
        <v>100</v>
      </c>
      <c r="V57" s="22">
        <f>'Capacity By Location'!U69</f>
        <v>100</v>
      </c>
      <c r="W57" s="22">
        <f>'Capacity By Location'!V69</f>
        <v>100</v>
      </c>
    </row>
    <row r="58" spans="1:23" x14ac:dyDescent="0.25">
      <c r="A58" s="22" t="str">
        <f>'Capacity By Location'!D70</f>
        <v>Gujarat State Fertilizers &amp; Chemicals Ltd</v>
      </c>
      <c r="B58" s="22">
        <f>'Capacity By Location'!E70</f>
        <v>0</v>
      </c>
      <c r="C58" s="22">
        <f>'Capacity By Location'!F70</f>
        <v>0</v>
      </c>
      <c r="D58" s="22">
        <f>'Capacity By Location'!G70</f>
        <v>0</v>
      </c>
      <c r="E58" s="22">
        <f>'Capacity By Location'!H70</f>
        <v>0</v>
      </c>
      <c r="F58" s="22">
        <f>'Capacity By Location'!I70</f>
        <v>0</v>
      </c>
      <c r="G58" s="22">
        <f>'Capacity By Location'!J70</f>
        <v>173</v>
      </c>
      <c r="H58" s="22">
        <f>'Capacity By Location'!K70</f>
        <v>173</v>
      </c>
      <c r="I58" s="114">
        <f t="shared" si="2"/>
        <v>43.25</v>
      </c>
      <c r="J58" s="114">
        <f t="shared" si="2"/>
        <v>43.25</v>
      </c>
      <c r="K58" s="114">
        <f t="shared" si="2"/>
        <v>43.25</v>
      </c>
      <c r="L58" s="114">
        <f t="shared" si="2"/>
        <v>43.25</v>
      </c>
      <c r="M58" s="22">
        <f>'Capacity By Location'!L70</f>
        <v>173</v>
      </c>
      <c r="N58" s="22">
        <f>'Capacity By Location'!M70</f>
        <v>173</v>
      </c>
      <c r="O58" s="22">
        <f>'Capacity By Location'!N70</f>
        <v>173</v>
      </c>
      <c r="P58" s="22">
        <f>'Capacity By Location'!O70</f>
        <v>173</v>
      </c>
      <c r="Q58" s="22">
        <f>'Capacity By Location'!P70</f>
        <v>173</v>
      </c>
      <c r="R58" s="22">
        <f>'Capacity By Location'!Q70</f>
        <v>173</v>
      </c>
      <c r="S58" s="22">
        <f>'Capacity By Location'!R70</f>
        <v>173</v>
      </c>
      <c r="T58" s="22">
        <f>'Capacity By Location'!S70</f>
        <v>173</v>
      </c>
      <c r="U58" s="22">
        <f>'Capacity By Location'!T70</f>
        <v>173</v>
      </c>
      <c r="V58" s="22">
        <f>'Capacity By Location'!U70</f>
        <v>173</v>
      </c>
      <c r="W58" s="22">
        <f>'Capacity By Location'!V70</f>
        <v>173</v>
      </c>
    </row>
    <row r="59" spans="1:23" x14ac:dyDescent="0.25">
      <c r="A59" s="22" t="str">
        <f>'Capacity By Location'!D71</f>
        <v>Shenhua Ningxia Coal Industry Company</v>
      </c>
      <c r="B59" s="22">
        <f>'Capacity By Location'!E71</f>
        <v>250</v>
      </c>
      <c r="C59" s="22">
        <f>'Capacity By Location'!F71</f>
        <v>250</v>
      </c>
      <c r="D59" s="22">
        <f>'Capacity By Location'!G71</f>
        <v>250</v>
      </c>
      <c r="E59" s="22">
        <f>'Capacity By Location'!H71</f>
        <v>250</v>
      </c>
      <c r="F59" s="22">
        <f>'Capacity By Location'!I71</f>
        <v>250</v>
      </c>
      <c r="G59" s="22">
        <f>'Capacity By Location'!J71</f>
        <v>250</v>
      </c>
      <c r="H59" s="22">
        <f>'Capacity By Location'!K71</f>
        <v>250</v>
      </c>
      <c r="I59" s="114">
        <f t="shared" si="2"/>
        <v>62.5</v>
      </c>
      <c r="J59" s="114">
        <f t="shared" si="2"/>
        <v>62.5</v>
      </c>
      <c r="K59" s="114">
        <f t="shared" si="2"/>
        <v>62.5</v>
      </c>
      <c r="L59" s="114">
        <f t="shared" si="2"/>
        <v>62.5</v>
      </c>
      <c r="M59" s="22">
        <f>'Capacity By Location'!L71</f>
        <v>250</v>
      </c>
      <c r="N59" s="22">
        <f>'Capacity By Location'!M71</f>
        <v>250</v>
      </c>
      <c r="O59" s="22">
        <f>'Capacity By Location'!N71</f>
        <v>250</v>
      </c>
      <c r="P59" s="22">
        <f>'Capacity By Location'!O71</f>
        <v>250</v>
      </c>
      <c r="Q59" s="22">
        <f>'Capacity By Location'!P71</f>
        <v>250</v>
      </c>
      <c r="R59" s="22">
        <f>'Capacity By Location'!Q71</f>
        <v>250</v>
      </c>
      <c r="S59" s="22">
        <f>'Capacity By Location'!R71</f>
        <v>250</v>
      </c>
      <c r="T59" s="22">
        <f>'Capacity By Location'!S71</f>
        <v>250</v>
      </c>
      <c r="U59" s="22">
        <f>'Capacity By Location'!T71</f>
        <v>250</v>
      </c>
      <c r="V59" s="22">
        <f>'Capacity By Location'!U71</f>
        <v>250</v>
      </c>
      <c r="W59" s="22">
        <f>'Capacity By Location'!V71</f>
        <v>250</v>
      </c>
    </row>
    <row r="60" spans="1:23" x14ac:dyDescent="0.25">
      <c r="A60" s="22" t="str">
        <f>'Capacity By Location'!D72</f>
        <v>Hami Hengyou Energy Chemical Tech Co Ltd</v>
      </c>
      <c r="B60" s="22">
        <f>'Capacity By Location'!E72</f>
        <v>700</v>
      </c>
      <c r="C60" s="22">
        <f>'Capacity By Location'!F72</f>
        <v>700</v>
      </c>
      <c r="D60" s="22">
        <f>'Capacity By Location'!G72</f>
        <v>700</v>
      </c>
      <c r="E60" s="22">
        <f>'Capacity By Location'!H72</f>
        <v>700</v>
      </c>
      <c r="F60" s="22">
        <f>'Capacity By Location'!I72</f>
        <v>700</v>
      </c>
      <c r="G60" s="22">
        <f>'Capacity By Location'!J72</f>
        <v>700</v>
      </c>
      <c r="H60" s="22">
        <f>'Capacity By Location'!K72</f>
        <v>700</v>
      </c>
      <c r="I60" s="114">
        <f t="shared" si="2"/>
        <v>175</v>
      </c>
      <c r="J60" s="114">
        <f t="shared" si="2"/>
        <v>175</v>
      </c>
      <c r="K60" s="114">
        <f t="shared" si="2"/>
        <v>175</v>
      </c>
      <c r="L60" s="114">
        <f t="shared" si="2"/>
        <v>175</v>
      </c>
      <c r="M60" s="22">
        <f>'Capacity By Location'!L72</f>
        <v>700</v>
      </c>
      <c r="N60" s="22">
        <f>'Capacity By Location'!M72</f>
        <v>700</v>
      </c>
      <c r="O60" s="22">
        <f>'Capacity By Location'!N72</f>
        <v>700</v>
      </c>
      <c r="P60" s="22">
        <f>'Capacity By Location'!O72</f>
        <v>700</v>
      </c>
      <c r="Q60" s="22">
        <f>'Capacity By Location'!P72</f>
        <v>700</v>
      </c>
      <c r="R60" s="22">
        <f>'Capacity By Location'!Q72</f>
        <v>700</v>
      </c>
      <c r="S60" s="22">
        <f>'Capacity By Location'!R72</f>
        <v>700</v>
      </c>
      <c r="T60" s="22">
        <f>'Capacity By Location'!S72</f>
        <v>700</v>
      </c>
      <c r="U60" s="22">
        <f>'Capacity By Location'!T72</f>
        <v>700</v>
      </c>
      <c r="V60" s="22">
        <f>'Capacity By Location'!U72</f>
        <v>700</v>
      </c>
      <c r="W60" s="22">
        <f>'Capacity By Location'!V72</f>
        <v>700</v>
      </c>
    </row>
    <row r="61" spans="1:23" x14ac:dyDescent="0.25">
      <c r="A61" s="22" t="str">
        <f>'Capacity By Location'!D73</f>
        <v>Shanxi Coking Coal Group</v>
      </c>
      <c r="B61" s="22">
        <f>'Capacity By Location'!E73</f>
        <v>300</v>
      </c>
      <c r="C61" s="22">
        <f>'Capacity By Location'!F73</f>
        <v>300</v>
      </c>
      <c r="D61" s="22">
        <f>'Capacity By Location'!G73</f>
        <v>300</v>
      </c>
      <c r="E61" s="22">
        <f>'Capacity By Location'!H73</f>
        <v>300</v>
      </c>
      <c r="F61" s="22">
        <f>'Capacity By Location'!I73</f>
        <v>300</v>
      </c>
      <c r="G61" s="22">
        <f>'Capacity By Location'!J73</f>
        <v>300</v>
      </c>
      <c r="H61" s="22">
        <f>'Capacity By Location'!K73</f>
        <v>900</v>
      </c>
      <c r="I61" s="114">
        <f t="shared" si="2"/>
        <v>225</v>
      </c>
      <c r="J61" s="114">
        <f t="shared" si="2"/>
        <v>225</v>
      </c>
      <c r="K61" s="114">
        <f t="shared" si="2"/>
        <v>225</v>
      </c>
      <c r="L61" s="114">
        <f t="shared" si="2"/>
        <v>225</v>
      </c>
      <c r="M61" s="22">
        <f>'Capacity By Location'!L73</f>
        <v>900</v>
      </c>
      <c r="N61" s="22">
        <f>'Capacity By Location'!M73</f>
        <v>900</v>
      </c>
      <c r="O61" s="22">
        <f>'Capacity By Location'!N73</f>
        <v>900</v>
      </c>
      <c r="P61" s="22">
        <f>'Capacity By Location'!O73</f>
        <v>900</v>
      </c>
      <c r="Q61" s="22">
        <f>'Capacity By Location'!P73</f>
        <v>900</v>
      </c>
      <c r="R61" s="22">
        <f>'Capacity By Location'!Q73</f>
        <v>900</v>
      </c>
      <c r="S61" s="22">
        <f>'Capacity By Location'!R73</f>
        <v>900</v>
      </c>
      <c r="T61" s="22">
        <f>'Capacity By Location'!S73</f>
        <v>900</v>
      </c>
      <c r="U61" s="22">
        <f>'Capacity By Location'!T73</f>
        <v>900</v>
      </c>
      <c r="V61" s="22">
        <f>'Capacity By Location'!U73</f>
        <v>900</v>
      </c>
      <c r="W61" s="22">
        <f>'Capacity By Location'!V73</f>
        <v>900</v>
      </c>
    </row>
    <row r="62" spans="1:23" x14ac:dyDescent="0.25">
      <c r="A62" s="22" t="str">
        <f>'Capacity By Location'!D74</f>
        <v>China Coal Ordos</v>
      </c>
      <c r="B62" s="22">
        <f>'Capacity By Location'!E74</f>
        <v>1000</v>
      </c>
      <c r="C62" s="22">
        <f>'Capacity By Location'!F74</f>
        <v>1000</v>
      </c>
      <c r="D62" s="22">
        <f>'Capacity By Location'!G74</f>
        <v>1000</v>
      </c>
      <c r="E62" s="22">
        <f>'Capacity By Location'!H74</f>
        <v>1000</v>
      </c>
      <c r="F62" s="22">
        <f>'Capacity By Location'!I74</f>
        <v>1000</v>
      </c>
      <c r="G62" s="22">
        <f>'Capacity By Location'!J74</f>
        <v>1000</v>
      </c>
      <c r="H62" s="22">
        <f>'Capacity By Location'!K74</f>
        <v>1000</v>
      </c>
      <c r="I62" s="114">
        <f t="shared" si="2"/>
        <v>250</v>
      </c>
      <c r="J62" s="114">
        <f t="shared" si="2"/>
        <v>250</v>
      </c>
      <c r="K62" s="114">
        <f t="shared" si="2"/>
        <v>250</v>
      </c>
      <c r="L62" s="114">
        <f t="shared" si="2"/>
        <v>250</v>
      </c>
      <c r="M62" s="22">
        <f>'Capacity By Location'!L74</f>
        <v>1000</v>
      </c>
      <c r="N62" s="22">
        <f>'Capacity By Location'!M74</f>
        <v>1000</v>
      </c>
      <c r="O62" s="22">
        <f>'Capacity By Location'!N74</f>
        <v>1000</v>
      </c>
      <c r="P62" s="22">
        <f>'Capacity By Location'!O74</f>
        <v>1000</v>
      </c>
      <c r="Q62" s="22">
        <f>'Capacity By Location'!P74</f>
        <v>1000</v>
      </c>
      <c r="R62" s="22">
        <f>'Capacity By Location'!Q74</f>
        <v>1000</v>
      </c>
      <c r="S62" s="22">
        <f>'Capacity By Location'!R74</f>
        <v>1000</v>
      </c>
      <c r="T62" s="22">
        <f>'Capacity By Location'!S74</f>
        <v>1000</v>
      </c>
      <c r="U62" s="22">
        <f>'Capacity By Location'!T74</f>
        <v>1000</v>
      </c>
      <c r="V62" s="22">
        <f>'Capacity By Location'!U74</f>
        <v>1000</v>
      </c>
      <c r="W62" s="22">
        <f>'Capacity By Location'!V74</f>
        <v>1000</v>
      </c>
    </row>
    <row r="63" spans="1:23" x14ac:dyDescent="0.25">
      <c r="A63" s="22" t="str">
        <f>'Capacity By Location'!D75</f>
        <v>Jiutai Energy Inner Mongolia Co., Ltd.</v>
      </c>
      <c r="B63" s="22">
        <f>'Capacity By Location'!E75</f>
        <v>1000</v>
      </c>
      <c r="C63" s="22">
        <f>'Capacity By Location'!F75</f>
        <v>1000</v>
      </c>
      <c r="D63" s="22">
        <f>'Capacity By Location'!G75</f>
        <v>1000</v>
      </c>
      <c r="E63" s="22">
        <f>'Capacity By Location'!H75</f>
        <v>1000</v>
      </c>
      <c r="F63" s="22">
        <f>'Capacity By Location'!I75</f>
        <v>1000</v>
      </c>
      <c r="G63" s="22">
        <f>'Capacity By Location'!J75</f>
        <v>1000</v>
      </c>
      <c r="H63" s="22">
        <f>'Capacity By Location'!K75</f>
        <v>1000</v>
      </c>
      <c r="I63" s="114">
        <f t="shared" si="2"/>
        <v>250</v>
      </c>
      <c r="J63" s="114">
        <f t="shared" si="2"/>
        <v>250</v>
      </c>
      <c r="K63" s="114">
        <f t="shared" si="2"/>
        <v>250</v>
      </c>
      <c r="L63" s="114">
        <f t="shared" si="2"/>
        <v>250</v>
      </c>
      <c r="M63" s="22">
        <f>'Capacity By Location'!L75</f>
        <v>1000</v>
      </c>
      <c r="N63" s="22">
        <f>'Capacity By Location'!M75</f>
        <v>1000</v>
      </c>
      <c r="O63" s="22">
        <f>'Capacity By Location'!N75</f>
        <v>1000</v>
      </c>
      <c r="P63" s="22">
        <f>'Capacity By Location'!O75</f>
        <v>1000</v>
      </c>
      <c r="Q63" s="22">
        <f>'Capacity By Location'!P75</f>
        <v>1000</v>
      </c>
      <c r="R63" s="22">
        <f>'Capacity By Location'!Q75</f>
        <v>1000</v>
      </c>
      <c r="S63" s="22">
        <f>'Capacity By Location'!R75</f>
        <v>1000</v>
      </c>
      <c r="T63" s="22">
        <f>'Capacity By Location'!S75</f>
        <v>1000</v>
      </c>
      <c r="U63" s="22">
        <f>'Capacity By Location'!T75</f>
        <v>1000</v>
      </c>
      <c r="V63" s="22">
        <f>'Capacity By Location'!U75</f>
        <v>1000</v>
      </c>
      <c r="W63" s="22">
        <f>'Capacity By Location'!V75</f>
        <v>1000</v>
      </c>
    </row>
    <row r="64" spans="1:23" x14ac:dyDescent="0.25">
      <c r="A64" s="22" t="str">
        <f>'Capacity By Location'!D76</f>
        <v>Yankuang Group Company Limited</v>
      </c>
      <c r="B64" s="22">
        <f>'Capacity By Location'!E76</f>
        <v>1640</v>
      </c>
      <c r="C64" s="22">
        <f>'Capacity By Location'!F76</f>
        <v>1640</v>
      </c>
      <c r="D64" s="22">
        <f>'Capacity By Location'!G76</f>
        <v>1640</v>
      </c>
      <c r="E64" s="22">
        <f>'Capacity By Location'!H76</f>
        <v>1640</v>
      </c>
      <c r="F64" s="22">
        <f>'Capacity By Location'!I76</f>
        <v>1640</v>
      </c>
      <c r="G64" s="22">
        <f>'Capacity By Location'!J76</f>
        <v>1640</v>
      </c>
      <c r="H64" s="22">
        <f>'Capacity By Location'!K76</f>
        <v>1640</v>
      </c>
      <c r="I64" s="114">
        <f t="shared" si="2"/>
        <v>410</v>
      </c>
      <c r="J64" s="114">
        <f t="shared" si="2"/>
        <v>410</v>
      </c>
      <c r="K64" s="114">
        <f t="shared" si="2"/>
        <v>410</v>
      </c>
      <c r="L64" s="114">
        <f t="shared" si="2"/>
        <v>410</v>
      </c>
      <c r="M64" s="22">
        <f>'Capacity By Location'!L76</f>
        <v>1640</v>
      </c>
      <c r="N64" s="22">
        <f>'Capacity By Location'!M76</f>
        <v>1640</v>
      </c>
      <c r="O64" s="22">
        <f>'Capacity By Location'!N76</f>
        <v>1640</v>
      </c>
      <c r="P64" s="22">
        <f>'Capacity By Location'!O76</f>
        <v>1640</v>
      </c>
      <c r="Q64" s="22">
        <f>'Capacity By Location'!P76</f>
        <v>1640</v>
      </c>
      <c r="R64" s="22">
        <f>'Capacity By Location'!Q76</f>
        <v>1640</v>
      </c>
      <c r="S64" s="22">
        <f>'Capacity By Location'!R76</f>
        <v>1640</v>
      </c>
      <c r="T64" s="22">
        <f>'Capacity By Location'!S76</f>
        <v>1640</v>
      </c>
      <c r="U64" s="22">
        <f>'Capacity By Location'!T76</f>
        <v>1640</v>
      </c>
      <c r="V64" s="22">
        <f>'Capacity By Location'!U76</f>
        <v>1640</v>
      </c>
      <c r="W64" s="22">
        <f>'Capacity By Location'!V76</f>
        <v>1640</v>
      </c>
    </row>
    <row r="65" spans="1:23" x14ac:dyDescent="0.25">
      <c r="A65" s="22" t="str">
        <f>'Capacity By Location'!D77</f>
        <v>China BlueChemical Ltd.</v>
      </c>
      <c r="B65" s="22">
        <f>'Capacity By Location'!E77</f>
        <v>800</v>
      </c>
      <c r="C65" s="22">
        <f>'Capacity By Location'!F77</f>
        <v>800</v>
      </c>
      <c r="D65" s="22">
        <f>'Capacity By Location'!G77</f>
        <v>800</v>
      </c>
      <c r="E65" s="22">
        <f>'Capacity By Location'!H77</f>
        <v>1600</v>
      </c>
      <c r="F65" s="22">
        <f>'Capacity By Location'!I77</f>
        <v>1600</v>
      </c>
      <c r="G65" s="22">
        <f>'Capacity By Location'!J77</f>
        <v>1600</v>
      </c>
      <c r="H65" s="22">
        <f>'Capacity By Location'!K77</f>
        <v>1600</v>
      </c>
      <c r="I65" s="114">
        <f t="shared" si="2"/>
        <v>400</v>
      </c>
      <c r="J65" s="114">
        <f t="shared" si="2"/>
        <v>400</v>
      </c>
      <c r="K65" s="114">
        <f t="shared" si="2"/>
        <v>400</v>
      </c>
      <c r="L65" s="114">
        <f t="shared" si="2"/>
        <v>400</v>
      </c>
      <c r="M65" s="22">
        <f>'Capacity By Location'!L77</f>
        <v>1600</v>
      </c>
      <c r="N65" s="22">
        <f>'Capacity By Location'!M77</f>
        <v>1600</v>
      </c>
      <c r="O65" s="22">
        <f>'Capacity By Location'!N77</f>
        <v>1600</v>
      </c>
      <c r="P65" s="22">
        <f>'Capacity By Location'!O77</f>
        <v>1600</v>
      </c>
      <c r="Q65" s="22">
        <f>'Capacity By Location'!P77</f>
        <v>1600</v>
      </c>
      <c r="R65" s="22">
        <f>'Capacity By Location'!Q77</f>
        <v>1600</v>
      </c>
      <c r="S65" s="22">
        <f>'Capacity By Location'!R77</f>
        <v>1600</v>
      </c>
      <c r="T65" s="22">
        <f>'Capacity By Location'!S77</f>
        <v>1600</v>
      </c>
      <c r="U65" s="22">
        <f>'Capacity By Location'!T77</f>
        <v>1600</v>
      </c>
      <c r="V65" s="22">
        <f>'Capacity By Location'!U77</f>
        <v>1600</v>
      </c>
      <c r="W65" s="22">
        <f>'Capacity By Location'!V77</f>
        <v>1600</v>
      </c>
    </row>
    <row r="66" spans="1:23" x14ac:dyDescent="0.25">
      <c r="A66" s="22" t="str">
        <f>'Capacity By Location'!D78</f>
        <v>State Power Investment Corporation</v>
      </c>
      <c r="B66" s="22">
        <f>'Capacity By Location'!E78</f>
        <v>0</v>
      </c>
      <c r="C66" s="22">
        <f>'Capacity By Location'!F78</f>
        <v>0</v>
      </c>
      <c r="D66" s="22">
        <f>'Capacity By Location'!G78</f>
        <v>0</v>
      </c>
      <c r="E66" s="22">
        <f>'Capacity By Location'!H78</f>
        <v>0</v>
      </c>
      <c r="F66" s="22">
        <f>'Capacity By Location'!I78</f>
        <v>0</v>
      </c>
      <c r="G66" s="22">
        <f>'Capacity By Location'!J78</f>
        <v>0</v>
      </c>
      <c r="H66" s="22">
        <f>'Capacity By Location'!K78</f>
        <v>0</v>
      </c>
      <c r="I66" s="114">
        <f t="shared" si="2"/>
        <v>0</v>
      </c>
      <c r="J66" s="114">
        <f t="shared" si="2"/>
        <v>0</v>
      </c>
      <c r="K66" s="114">
        <f t="shared" si="2"/>
        <v>0</v>
      </c>
      <c r="L66" s="114">
        <f t="shared" si="2"/>
        <v>0</v>
      </c>
      <c r="M66" s="22">
        <f>'Capacity By Location'!L78</f>
        <v>0</v>
      </c>
      <c r="N66" s="22">
        <f>'Capacity By Location'!M78</f>
        <v>1800</v>
      </c>
      <c r="O66" s="22">
        <f>'Capacity By Location'!N78</f>
        <v>1800</v>
      </c>
      <c r="P66" s="22">
        <f>'Capacity By Location'!O78</f>
        <v>1800</v>
      </c>
      <c r="Q66" s="22">
        <f>'Capacity By Location'!P78</f>
        <v>1800</v>
      </c>
      <c r="R66" s="22">
        <f>'Capacity By Location'!Q78</f>
        <v>1800</v>
      </c>
      <c r="S66" s="22">
        <f>'Capacity By Location'!R78</f>
        <v>1800</v>
      </c>
      <c r="T66" s="22">
        <f>'Capacity By Location'!S78</f>
        <v>1800</v>
      </c>
      <c r="U66" s="22">
        <f>'Capacity By Location'!T78</f>
        <v>1800</v>
      </c>
      <c r="V66" s="22">
        <f>'Capacity By Location'!U78</f>
        <v>1800</v>
      </c>
      <c r="W66" s="22">
        <f>'Capacity By Location'!V78</f>
        <v>1800</v>
      </c>
    </row>
    <row r="67" spans="1:23" x14ac:dyDescent="0.25">
      <c r="A67" s="22" t="str">
        <f>'Capacity By Location'!D79</f>
        <v>Ordos Jinchengtai Chemical Co., Ltd.</v>
      </c>
      <c r="B67" s="22">
        <f>'Capacity By Location'!E79</f>
        <v>300</v>
      </c>
      <c r="C67" s="22">
        <f>'Capacity By Location'!F79</f>
        <v>300</v>
      </c>
      <c r="D67" s="22">
        <f>'Capacity By Location'!G79</f>
        <v>300</v>
      </c>
      <c r="E67" s="22">
        <f>'Capacity By Location'!H79</f>
        <v>300</v>
      </c>
      <c r="F67" s="22">
        <f>'Capacity By Location'!I79</f>
        <v>300</v>
      </c>
      <c r="G67" s="22">
        <f>'Capacity By Location'!J79</f>
        <v>300</v>
      </c>
      <c r="H67" s="22">
        <f>'Capacity By Location'!K79</f>
        <v>300</v>
      </c>
      <c r="I67" s="114">
        <f t="shared" si="2"/>
        <v>75</v>
      </c>
      <c r="J67" s="114">
        <f t="shared" si="2"/>
        <v>75</v>
      </c>
      <c r="K67" s="114">
        <f t="shared" si="2"/>
        <v>75</v>
      </c>
      <c r="L67" s="114">
        <f t="shared" si="2"/>
        <v>75</v>
      </c>
      <c r="M67" s="22">
        <f>'Capacity By Location'!L79</f>
        <v>300</v>
      </c>
      <c r="N67" s="22">
        <f>'Capacity By Location'!M79</f>
        <v>300</v>
      </c>
      <c r="O67" s="22">
        <f>'Capacity By Location'!N79</f>
        <v>300</v>
      </c>
      <c r="P67" s="22">
        <f>'Capacity By Location'!O79</f>
        <v>300</v>
      </c>
      <c r="Q67" s="22">
        <f>'Capacity By Location'!P79</f>
        <v>300</v>
      </c>
      <c r="R67" s="22">
        <f>'Capacity By Location'!Q79</f>
        <v>300</v>
      </c>
      <c r="S67" s="22">
        <f>'Capacity By Location'!R79</f>
        <v>300</v>
      </c>
      <c r="T67" s="22">
        <f>'Capacity By Location'!S79</f>
        <v>300</v>
      </c>
      <c r="U67" s="22">
        <f>'Capacity By Location'!T79</f>
        <v>300</v>
      </c>
      <c r="V67" s="22">
        <f>'Capacity By Location'!U79</f>
        <v>300</v>
      </c>
      <c r="W67" s="22">
        <f>'Capacity By Location'!V79</f>
        <v>300</v>
      </c>
    </row>
    <row r="68" spans="1:23" x14ac:dyDescent="0.25">
      <c r="A68" s="22" t="str">
        <f>'Capacity By Location'!D80</f>
        <v>Datang International Kttengtengqi Coal To Natural Gas Co., Ltd</v>
      </c>
      <c r="B68" s="22">
        <f>'Capacity By Location'!E80</f>
        <v>0</v>
      </c>
      <c r="C68" s="22">
        <f>'Capacity By Location'!F80</f>
        <v>0</v>
      </c>
      <c r="D68" s="22">
        <f>'Capacity By Location'!G80</f>
        <v>0</v>
      </c>
      <c r="E68" s="22">
        <f>'Capacity By Location'!H80</f>
        <v>0</v>
      </c>
      <c r="F68" s="22">
        <f>'Capacity By Location'!I80</f>
        <v>0</v>
      </c>
      <c r="G68" s="22">
        <f>'Capacity By Location'!J80</f>
        <v>800</v>
      </c>
      <c r="H68" s="22">
        <f>'Capacity By Location'!K80</f>
        <v>800</v>
      </c>
      <c r="I68" s="114">
        <f t="shared" si="2"/>
        <v>200</v>
      </c>
      <c r="J68" s="114">
        <f t="shared" si="2"/>
        <v>200</v>
      </c>
      <c r="K68" s="114">
        <f t="shared" si="2"/>
        <v>200</v>
      </c>
      <c r="L68" s="114">
        <f t="shared" si="2"/>
        <v>200</v>
      </c>
      <c r="M68" s="22">
        <f>'Capacity By Location'!L80</f>
        <v>800</v>
      </c>
      <c r="N68" s="22">
        <f>'Capacity By Location'!M80</f>
        <v>800</v>
      </c>
      <c r="O68" s="22">
        <f>'Capacity By Location'!N80</f>
        <v>800</v>
      </c>
      <c r="P68" s="22">
        <f>'Capacity By Location'!O80</f>
        <v>800</v>
      </c>
      <c r="Q68" s="22">
        <f>'Capacity By Location'!P80</f>
        <v>800</v>
      </c>
      <c r="R68" s="22">
        <f>'Capacity By Location'!Q80</f>
        <v>800</v>
      </c>
      <c r="S68" s="22">
        <f>'Capacity By Location'!R80</f>
        <v>800</v>
      </c>
      <c r="T68" s="22">
        <f>'Capacity By Location'!S80</f>
        <v>800</v>
      </c>
      <c r="U68" s="22">
        <f>'Capacity By Location'!T80</f>
        <v>800</v>
      </c>
      <c r="V68" s="22">
        <f>'Capacity By Location'!U80</f>
        <v>800</v>
      </c>
      <c r="W68" s="22">
        <f>'Capacity By Location'!V80</f>
        <v>800</v>
      </c>
    </row>
    <row r="69" spans="1:23" x14ac:dyDescent="0.25">
      <c r="A69" s="22" t="str">
        <f>'Capacity By Location'!D81</f>
        <v>Anhui Haoyuan Chemical Group Co., Ltd</v>
      </c>
      <c r="B69" s="22">
        <f>'Capacity By Location'!E81</f>
        <v>1400</v>
      </c>
      <c r="C69" s="22">
        <f>'Capacity By Location'!F81</f>
        <v>1400</v>
      </c>
      <c r="D69" s="22">
        <f>'Capacity By Location'!G81</f>
        <v>1400</v>
      </c>
      <c r="E69" s="22">
        <f>'Capacity By Location'!H81</f>
        <v>1400</v>
      </c>
      <c r="F69" s="22">
        <f>'Capacity By Location'!I81</f>
        <v>1400</v>
      </c>
      <c r="G69" s="22">
        <f>'Capacity By Location'!J81</f>
        <v>1400</v>
      </c>
      <c r="H69" s="22">
        <f>'Capacity By Location'!K81</f>
        <v>1400</v>
      </c>
      <c r="I69" s="114">
        <f t="shared" si="2"/>
        <v>350</v>
      </c>
      <c r="J69" s="114">
        <f t="shared" si="2"/>
        <v>350</v>
      </c>
      <c r="K69" s="114">
        <f t="shared" si="2"/>
        <v>350</v>
      </c>
      <c r="L69" s="114">
        <f t="shared" si="2"/>
        <v>350</v>
      </c>
      <c r="M69" s="22">
        <f>'Capacity By Location'!L81</f>
        <v>1400</v>
      </c>
      <c r="N69" s="22">
        <f>'Capacity By Location'!M81</f>
        <v>1400</v>
      </c>
      <c r="O69" s="22">
        <f>'Capacity By Location'!N81</f>
        <v>1400</v>
      </c>
      <c r="P69" s="22">
        <f>'Capacity By Location'!O81</f>
        <v>1400</v>
      </c>
      <c r="Q69" s="22">
        <f>'Capacity By Location'!P81</f>
        <v>1400</v>
      </c>
      <c r="R69" s="22">
        <f>'Capacity By Location'!Q81</f>
        <v>1400</v>
      </c>
      <c r="S69" s="22">
        <f>'Capacity By Location'!R81</f>
        <v>1400</v>
      </c>
      <c r="T69" s="22">
        <f>'Capacity By Location'!S81</f>
        <v>1400</v>
      </c>
      <c r="U69" s="22">
        <f>'Capacity By Location'!T81</f>
        <v>1400</v>
      </c>
      <c r="V69" s="22">
        <f>'Capacity By Location'!U81</f>
        <v>1400</v>
      </c>
      <c r="W69" s="22">
        <f>'Capacity By Location'!V81</f>
        <v>1400</v>
      </c>
    </row>
    <row r="70" spans="1:23" x14ac:dyDescent="0.25">
      <c r="A70" s="22" t="str">
        <f>'Capacity By Location'!D82</f>
        <v>Ningxia Baofeng Energy Group</v>
      </c>
      <c r="B70" s="22">
        <f>'Capacity By Location'!E82</f>
        <v>1400</v>
      </c>
      <c r="C70" s="22">
        <f>'Capacity By Location'!F82</f>
        <v>1400</v>
      </c>
      <c r="D70" s="22">
        <f>'Capacity By Location'!G82</f>
        <v>1400</v>
      </c>
      <c r="E70" s="22">
        <f>'Capacity By Location'!H82</f>
        <v>1400</v>
      </c>
      <c r="F70" s="22">
        <f>'Capacity By Location'!I82</f>
        <v>1400</v>
      </c>
      <c r="G70" s="22">
        <f>'Capacity By Location'!J82</f>
        <v>4000</v>
      </c>
      <c r="H70" s="22">
        <f>'Capacity By Location'!K82</f>
        <v>4000</v>
      </c>
      <c r="I70" s="114">
        <f t="shared" si="2"/>
        <v>1000</v>
      </c>
      <c r="J70" s="114">
        <f t="shared" si="2"/>
        <v>1000</v>
      </c>
      <c r="K70" s="114">
        <f t="shared" si="2"/>
        <v>1000</v>
      </c>
      <c r="L70" s="114">
        <f t="shared" si="2"/>
        <v>1000</v>
      </c>
      <c r="M70" s="22">
        <f>'Capacity By Location'!L82</f>
        <v>4000</v>
      </c>
      <c r="N70" s="22">
        <f>'Capacity By Location'!M82</f>
        <v>4000</v>
      </c>
      <c r="O70" s="22">
        <f>'Capacity By Location'!N82</f>
        <v>4000</v>
      </c>
      <c r="P70" s="22">
        <f>'Capacity By Location'!O82</f>
        <v>4000</v>
      </c>
      <c r="Q70" s="22">
        <f>'Capacity By Location'!P82</f>
        <v>4000</v>
      </c>
      <c r="R70" s="22">
        <f>'Capacity By Location'!Q82</f>
        <v>4000</v>
      </c>
      <c r="S70" s="22">
        <f>'Capacity By Location'!R82</f>
        <v>4000</v>
      </c>
      <c r="T70" s="22">
        <f>'Capacity By Location'!S82</f>
        <v>4000</v>
      </c>
      <c r="U70" s="22">
        <f>'Capacity By Location'!T82</f>
        <v>4000</v>
      </c>
      <c r="V70" s="22">
        <f>'Capacity By Location'!U82</f>
        <v>4000</v>
      </c>
      <c r="W70" s="22">
        <f>'Capacity By Location'!V82</f>
        <v>4000</v>
      </c>
    </row>
    <row r="71" spans="1:23" x14ac:dyDescent="0.25">
      <c r="A71" s="22" t="str">
        <f>'Capacity By Location'!D83</f>
        <v>Shaanxi Shenmu Chemical Industry Co. Ltd</v>
      </c>
      <c r="B71" s="22">
        <f>'Capacity By Location'!E83</f>
        <v>200</v>
      </c>
      <c r="C71" s="22">
        <f>'Capacity By Location'!F83</f>
        <v>200</v>
      </c>
      <c r="D71" s="22">
        <f>'Capacity By Location'!G83</f>
        <v>200</v>
      </c>
      <c r="E71" s="22">
        <f>'Capacity By Location'!H83</f>
        <v>200</v>
      </c>
      <c r="F71" s="22">
        <f>'Capacity By Location'!I83</f>
        <v>200</v>
      </c>
      <c r="G71" s="22">
        <f>'Capacity By Location'!J83</f>
        <v>200</v>
      </c>
      <c r="H71" s="22">
        <f>'Capacity By Location'!K83</f>
        <v>200</v>
      </c>
      <c r="I71" s="114">
        <f t="shared" si="2"/>
        <v>50</v>
      </c>
      <c r="J71" s="114">
        <f t="shared" si="2"/>
        <v>50</v>
      </c>
      <c r="K71" s="114">
        <f t="shared" si="2"/>
        <v>50</v>
      </c>
      <c r="L71" s="114">
        <f t="shared" si="2"/>
        <v>50</v>
      </c>
      <c r="M71" s="22">
        <f>'Capacity By Location'!L83</f>
        <v>200</v>
      </c>
      <c r="N71" s="22">
        <f>'Capacity By Location'!M83</f>
        <v>200</v>
      </c>
      <c r="O71" s="22">
        <f>'Capacity By Location'!N83</f>
        <v>200</v>
      </c>
      <c r="P71" s="22">
        <f>'Capacity By Location'!O83</f>
        <v>200</v>
      </c>
      <c r="Q71" s="22">
        <f>'Capacity By Location'!P83</f>
        <v>200</v>
      </c>
      <c r="R71" s="22">
        <f>'Capacity By Location'!Q83</f>
        <v>200</v>
      </c>
      <c r="S71" s="22">
        <f>'Capacity By Location'!R83</f>
        <v>200</v>
      </c>
      <c r="T71" s="22">
        <f>'Capacity By Location'!S83</f>
        <v>200</v>
      </c>
      <c r="U71" s="22">
        <f>'Capacity By Location'!T83</f>
        <v>200</v>
      </c>
      <c r="V71" s="22">
        <f>'Capacity By Location'!U83</f>
        <v>200</v>
      </c>
      <c r="W71" s="22">
        <f>'Capacity By Location'!V83</f>
        <v>200</v>
      </c>
    </row>
    <row r="72" spans="1:23" x14ac:dyDescent="0.25">
      <c r="A72" s="22" t="str">
        <f>'Capacity By Location'!D84</f>
        <v>Shangdong Hualu Hengsheng Group Co., Ltd</v>
      </c>
      <c r="B72" s="22">
        <f>'Capacity By Location'!E84</f>
        <v>200</v>
      </c>
      <c r="C72" s="22">
        <f>'Capacity By Location'!F84</f>
        <v>200</v>
      </c>
      <c r="D72" s="22">
        <f>'Capacity By Location'!G84</f>
        <v>200</v>
      </c>
      <c r="E72" s="22">
        <f>'Capacity By Location'!H84</f>
        <v>200</v>
      </c>
      <c r="F72" s="22">
        <f>'Capacity By Location'!I84</f>
        <v>200</v>
      </c>
      <c r="G72" s="22">
        <f>'Capacity By Location'!J84</f>
        <v>200</v>
      </c>
      <c r="H72" s="22">
        <f>'Capacity By Location'!K84</f>
        <v>200</v>
      </c>
      <c r="I72" s="114">
        <f t="shared" si="2"/>
        <v>50</v>
      </c>
      <c r="J72" s="114">
        <f t="shared" si="2"/>
        <v>50</v>
      </c>
      <c r="K72" s="114">
        <f t="shared" si="2"/>
        <v>50</v>
      </c>
      <c r="L72" s="114">
        <f t="shared" si="2"/>
        <v>50</v>
      </c>
      <c r="M72" s="22">
        <f>'Capacity By Location'!L84</f>
        <v>200</v>
      </c>
      <c r="N72" s="22">
        <f>'Capacity By Location'!M84</f>
        <v>200</v>
      </c>
      <c r="O72" s="22">
        <f>'Capacity By Location'!N84</f>
        <v>200</v>
      </c>
      <c r="P72" s="22">
        <f>'Capacity By Location'!O84</f>
        <v>200</v>
      </c>
      <c r="Q72" s="22">
        <f>'Capacity By Location'!P84</f>
        <v>200</v>
      </c>
      <c r="R72" s="22">
        <f>'Capacity By Location'!Q84</f>
        <v>200</v>
      </c>
      <c r="S72" s="22">
        <f>'Capacity By Location'!R84</f>
        <v>200</v>
      </c>
      <c r="T72" s="22">
        <f>'Capacity By Location'!S84</f>
        <v>200</v>
      </c>
      <c r="U72" s="22">
        <f>'Capacity By Location'!T84</f>
        <v>200</v>
      </c>
      <c r="V72" s="22">
        <f>'Capacity By Location'!U84</f>
        <v>200</v>
      </c>
      <c r="W72" s="22">
        <f>'Capacity By Location'!V84</f>
        <v>200</v>
      </c>
    </row>
    <row r="73" spans="1:23" x14ac:dyDescent="0.25">
      <c r="A73" s="22" t="str">
        <f>'Capacity By Location'!D85</f>
        <v>Zhongyuan Fertilizer Group Corp.</v>
      </c>
      <c r="B73" s="22">
        <f>'Capacity By Location'!E85</f>
        <v>300</v>
      </c>
      <c r="C73" s="22">
        <f>'Capacity By Location'!F85</f>
        <v>300</v>
      </c>
      <c r="D73" s="22">
        <f>'Capacity By Location'!G85</f>
        <v>300</v>
      </c>
      <c r="E73" s="22">
        <f>'Capacity By Location'!H85</f>
        <v>300</v>
      </c>
      <c r="F73" s="22">
        <f>'Capacity By Location'!I85</f>
        <v>300</v>
      </c>
      <c r="G73" s="22">
        <f>'Capacity By Location'!J85</f>
        <v>300</v>
      </c>
      <c r="H73" s="22">
        <f>'Capacity By Location'!K85</f>
        <v>300</v>
      </c>
      <c r="I73" s="114">
        <f t="shared" si="2"/>
        <v>75</v>
      </c>
      <c r="J73" s="114">
        <f t="shared" si="2"/>
        <v>75</v>
      </c>
      <c r="K73" s="114">
        <f t="shared" si="2"/>
        <v>75</v>
      </c>
      <c r="L73" s="114">
        <f t="shared" si="2"/>
        <v>75</v>
      </c>
      <c r="M73" s="22">
        <f>'Capacity By Location'!L85</f>
        <v>300</v>
      </c>
      <c r="N73" s="22">
        <f>'Capacity By Location'!M85</f>
        <v>300</v>
      </c>
      <c r="O73" s="22">
        <f>'Capacity By Location'!N85</f>
        <v>300</v>
      </c>
      <c r="P73" s="22">
        <f>'Capacity By Location'!O85</f>
        <v>300</v>
      </c>
      <c r="Q73" s="22">
        <f>'Capacity By Location'!P85</f>
        <v>300</v>
      </c>
      <c r="R73" s="22">
        <f>'Capacity By Location'!Q85</f>
        <v>300</v>
      </c>
      <c r="S73" s="22">
        <f>'Capacity By Location'!R85</f>
        <v>300</v>
      </c>
      <c r="T73" s="22">
        <f>'Capacity By Location'!S85</f>
        <v>300</v>
      </c>
      <c r="U73" s="22">
        <f>'Capacity By Location'!T85</f>
        <v>300</v>
      </c>
      <c r="V73" s="22">
        <f>'Capacity By Location'!U85</f>
        <v>300</v>
      </c>
      <c r="W73" s="22">
        <f>'Capacity By Location'!V85</f>
        <v>300</v>
      </c>
    </row>
    <row r="74" spans="1:23" x14ac:dyDescent="0.25">
      <c r="A74" s="22" t="str">
        <f>'Capacity By Location'!D86</f>
        <v>Yongcheng Coal - electricity Group</v>
      </c>
      <c r="B74" s="22">
        <f>'Capacity By Location'!E86</f>
        <v>800</v>
      </c>
      <c r="C74" s="22">
        <f>'Capacity By Location'!F86</f>
        <v>800</v>
      </c>
      <c r="D74" s="22">
        <f>'Capacity By Location'!G86</f>
        <v>800</v>
      </c>
      <c r="E74" s="22">
        <f>'Capacity By Location'!H86</f>
        <v>800</v>
      </c>
      <c r="F74" s="22">
        <f>'Capacity By Location'!I86</f>
        <v>800</v>
      </c>
      <c r="G74" s="22">
        <f>'Capacity By Location'!J86</f>
        <v>800</v>
      </c>
      <c r="H74" s="22">
        <f>'Capacity By Location'!K86</f>
        <v>800</v>
      </c>
      <c r="I74" s="114">
        <f t="shared" si="2"/>
        <v>200</v>
      </c>
      <c r="J74" s="114">
        <f t="shared" si="2"/>
        <v>200</v>
      </c>
      <c r="K74" s="114">
        <f t="shared" si="2"/>
        <v>200</v>
      </c>
      <c r="L74" s="114">
        <f t="shared" si="2"/>
        <v>200</v>
      </c>
      <c r="M74" s="22">
        <f>'Capacity By Location'!L86</f>
        <v>800</v>
      </c>
      <c r="N74" s="22">
        <f>'Capacity By Location'!M86</f>
        <v>800</v>
      </c>
      <c r="O74" s="22">
        <f>'Capacity By Location'!N86</f>
        <v>800</v>
      </c>
      <c r="P74" s="22">
        <f>'Capacity By Location'!O86</f>
        <v>800</v>
      </c>
      <c r="Q74" s="22">
        <f>'Capacity By Location'!P86</f>
        <v>800</v>
      </c>
      <c r="R74" s="22">
        <f>'Capacity By Location'!Q86</f>
        <v>800</v>
      </c>
      <c r="S74" s="22">
        <f>'Capacity By Location'!R86</f>
        <v>800</v>
      </c>
      <c r="T74" s="22">
        <f>'Capacity By Location'!S86</f>
        <v>800</v>
      </c>
      <c r="U74" s="22">
        <f>'Capacity By Location'!T86</f>
        <v>800</v>
      </c>
      <c r="V74" s="22">
        <f>'Capacity By Location'!U86</f>
        <v>800</v>
      </c>
      <c r="W74" s="22">
        <f>'Capacity By Location'!V86</f>
        <v>800</v>
      </c>
    </row>
    <row r="75" spans="1:23" x14ac:dyDescent="0.25">
      <c r="A75" s="22" t="str">
        <f>'Capacity By Location'!D87</f>
        <v>Henan Kaixiang Electric Power Industry Co., Ltd.</v>
      </c>
      <c r="B75" s="22">
        <f>'Capacity By Location'!E87</f>
        <v>500</v>
      </c>
      <c r="C75" s="22">
        <f>'Capacity By Location'!F87</f>
        <v>500</v>
      </c>
      <c r="D75" s="22">
        <f>'Capacity By Location'!G87</f>
        <v>500</v>
      </c>
      <c r="E75" s="22">
        <f>'Capacity By Location'!H87</f>
        <v>500</v>
      </c>
      <c r="F75" s="22">
        <f>'Capacity By Location'!I87</f>
        <v>500</v>
      </c>
      <c r="G75" s="22">
        <f>'Capacity By Location'!J87</f>
        <v>500</v>
      </c>
      <c r="H75" s="22">
        <f>'Capacity By Location'!K87</f>
        <v>500</v>
      </c>
      <c r="I75" s="114">
        <f t="shared" si="2"/>
        <v>125</v>
      </c>
      <c r="J75" s="114">
        <f t="shared" si="2"/>
        <v>125</v>
      </c>
      <c r="K75" s="114">
        <f t="shared" si="2"/>
        <v>125</v>
      </c>
      <c r="L75" s="114">
        <f t="shared" si="2"/>
        <v>125</v>
      </c>
      <c r="M75" s="22">
        <f>'Capacity By Location'!L87</f>
        <v>500</v>
      </c>
      <c r="N75" s="22">
        <f>'Capacity By Location'!M87</f>
        <v>500</v>
      </c>
      <c r="O75" s="22">
        <f>'Capacity By Location'!N87</f>
        <v>500</v>
      </c>
      <c r="P75" s="22">
        <f>'Capacity By Location'!O87</f>
        <v>500</v>
      </c>
      <c r="Q75" s="22">
        <f>'Capacity By Location'!P87</f>
        <v>500</v>
      </c>
      <c r="R75" s="22">
        <f>'Capacity By Location'!Q87</f>
        <v>500</v>
      </c>
      <c r="S75" s="22">
        <f>'Capacity By Location'!R87</f>
        <v>500</v>
      </c>
      <c r="T75" s="22">
        <f>'Capacity By Location'!S87</f>
        <v>500</v>
      </c>
      <c r="U75" s="22">
        <f>'Capacity By Location'!T87</f>
        <v>500</v>
      </c>
      <c r="V75" s="22">
        <f>'Capacity By Location'!U87</f>
        <v>500</v>
      </c>
      <c r="W75" s="22">
        <f>'Capacity By Location'!V87</f>
        <v>500</v>
      </c>
    </row>
    <row r="76" spans="1:23" x14ac:dyDescent="0.25">
      <c r="A76" s="22" t="str">
        <f>'Capacity By Location'!D88</f>
        <v>Shenhua Group</v>
      </c>
      <c r="B76" s="22">
        <f>'Capacity By Location'!E88</f>
        <v>1800</v>
      </c>
      <c r="C76" s="22">
        <f>'Capacity By Location'!F88</f>
        <v>1800</v>
      </c>
      <c r="D76" s="22">
        <f>'Capacity By Location'!G88</f>
        <v>1800</v>
      </c>
      <c r="E76" s="22">
        <f>'Capacity By Location'!H88</f>
        <v>1800</v>
      </c>
      <c r="F76" s="22">
        <f>'Capacity By Location'!I88</f>
        <v>1800</v>
      </c>
      <c r="G76" s="22">
        <f>'Capacity By Location'!J88</f>
        <v>1800</v>
      </c>
      <c r="H76" s="22">
        <f>'Capacity By Location'!K88</f>
        <v>1800</v>
      </c>
      <c r="I76" s="114">
        <f t="shared" si="2"/>
        <v>450</v>
      </c>
      <c r="J76" s="114">
        <f t="shared" si="2"/>
        <v>450</v>
      </c>
      <c r="K76" s="114">
        <f t="shared" si="2"/>
        <v>450</v>
      </c>
      <c r="L76" s="114">
        <f t="shared" si="2"/>
        <v>450</v>
      </c>
      <c r="M76" s="22">
        <f>'Capacity By Location'!L88</f>
        <v>1800</v>
      </c>
      <c r="N76" s="22">
        <f>'Capacity By Location'!M88</f>
        <v>1800</v>
      </c>
      <c r="O76" s="22">
        <f>'Capacity By Location'!N88</f>
        <v>1800</v>
      </c>
      <c r="P76" s="22">
        <f>'Capacity By Location'!O88</f>
        <v>1800</v>
      </c>
      <c r="Q76" s="22">
        <f>'Capacity By Location'!P88</f>
        <v>1800</v>
      </c>
      <c r="R76" s="22">
        <f>'Capacity By Location'!Q88</f>
        <v>1800</v>
      </c>
      <c r="S76" s="22">
        <f>'Capacity By Location'!R88</f>
        <v>1800</v>
      </c>
      <c r="T76" s="22">
        <f>'Capacity By Location'!S88</f>
        <v>1800</v>
      </c>
      <c r="U76" s="22">
        <f>'Capacity By Location'!T88</f>
        <v>1800</v>
      </c>
      <c r="V76" s="22">
        <f>'Capacity By Location'!U88</f>
        <v>1800</v>
      </c>
      <c r="W76" s="22">
        <f>'Capacity By Location'!V88</f>
        <v>1800</v>
      </c>
    </row>
    <row r="77" spans="1:23" x14ac:dyDescent="0.25">
      <c r="A77" s="22" t="str">
        <f>'Capacity By Location'!D89</f>
        <v>Sinopec Zhongyuan Petroleum</v>
      </c>
      <c r="B77" s="22">
        <f>'Capacity By Location'!E89</f>
        <v>600</v>
      </c>
      <c r="C77" s="22">
        <f>'Capacity By Location'!F89</f>
        <v>600</v>
      </c>
      <c r="D77" s="22">
        <f>'Capacity By Location'!G89</f>
        <v>600</v>
      </c>
      <c r="E77" s="22">
        <f>'Capacity By Location'!H89</f>
        <v>600</v>
      </c>
      <c r="F77" s="22">
        <f>'Capacity By Location'!I89</f>
        <v>600</v>
      </c>
      <c r="G77" s="22">
        <f>'Capacity By Location'!J89</f>
        <v>600</v>
      </c>
      <c r="H77" s="22">
        <f>'Capacity By Location'!K89</f>
        <v>600</v>
      </c>
      <c r="I77" s="114">
        <f t="shared" si="2"/>
        <v>150</v>
      </c>
      <c r="J77" s="114">
        <f t="shared" si="2"/>
        <v>150</v>
      </c>
      <c r="K77" s="114">
        <f t="shared" si="2"/>
        <v>150</v>
      </c>
      <c r="L77" s="114">
        <f t="shared" si="2"/>
        <v>150</v>
      </c>
      <c r="M77" s="22">
        <f>'Capacity By Location'!L89</f>
        <v>600</v>
      </c>
      <c r="N77" s="22">
        <f>'Capacity By Location'!M89</f>
        <v>600</v>
      </c>
      <c r="O77" s="22">
        <f>'Capacity By Location'!N89</f>
        <v>600</v>
      </c>
      <c r="P77" s="22">
        <f>'Capacity By Location'!O89</f>
        <v>600</v>
      </c>
      <c r="Q77" s="22">
        <f>'Capacity By Location'!P89</f>
        <v>600</v>
      </c>
      <c r="R77" s="22">
        <f>'Capacity By Location'!Q89</f>
        <v>600</v>
      </c>
      <c r="S77" s="22">
        <f>'Capacity By Location'!R89</f>
        <v>600</v>
      </c>
      <c r="T77" s="22">
        <f>'Capacity By Location'!S89</f>
        <v>600</v>
      </c>
      <c r="U77" s="22">
        <f>'Capacity By Location'!T89</f>
        <v>600</v>
      </c>
      <c r="V77" s="22">
        <f>'Capacity By Location'!U89</f>
        <v>600</v>
      </c>
      <c r="W77" s="22">
        <f>'Capacity By Location'!V89</f>
        <v>600</v>
      </c>
    </row>
    <row r="78" spans="1:23" x14ac:dyDescent="0.25">
      <c r="A78" s="22" t="str">
        <f>'Capacity By Location'!D90</f>
        <v>Fund Energy</v>
      </c>
      <c r="B78" s="22">
        <f>'Capacity By Location'!E90</f>
        <v>1800</v>
      </c>
      <c r="C78" s="22">
        <f>'Capacity By Location'!F90</f>
        <v>1800</v>
      </c>
      <c r="D78" s="22">
        <f>'Capacity By Location'!G90</f>
        <v>1800</v>
      </c>
      <c r="E78" s="22">
        <f>'Capacity By Location'!H90</f>
        <v>1800</v>
      </c>
      <c r="F78" s="22">
        <f>'Capacity By Location'!I90</f>
        <v>1800</v>
      </c>
      <c r="G78" s="22">
        <f>'Capacity By Location'!J90</f>
        <v>1800</v>
      </c>
      <c r="H78" s="22">
        <f>'Capacity By Location'!K90</f>
        <v>1800</v>
      </c>
      <c r="I78" s="114">
        <f t="shared" si="2"/>
        <v>450</v>
      </c>
      <c r="J78" s="114">
        <f t="shared" si="2"/>
        <v>450</v>
      </c>
      <c r="K78" s="114">
        <f t="shared" si="2"/>
        <v>450</v>
      </c>
      <c r="L78" s="114">
        <f t="shared" si="2"/>
        <v>450</v>
      </c>
      <c r="M78" s="22">
        <f>'Capacity By Location'!L90</f>
        <v>1800</v>
      </c>
      <c r="N78" s="22">
        <f>'Capacity By Location'!M90</f>
        <v>1800</v>
      </c>
      <c r="O78" s="22">
        <f>'Capacity By Location'!N90</f>
        <v>1800</v>
      </c>
      <c r="P78" s="22">
        <f>'Capacity By Location'!O90</f>
        <v>1800</v>
      </c>
      <c r="Q78" s="22">
        <f>'Capacity By Location'!P90</f>
        <v>1800</v>
      </c>
      <c r="R78" s="22">
        <f>'Capacity By Location'!Q90</f>
        <v>1800</v>
      </c>
      <c r="S78" s="22">
        <f>'Capacity By Location'!R90</f>
        <v>1800</v>
      </c>
      <c r="T78" s="22">
        <f>'Capacity By Location'!S90</f>
        <v>1800</v>
      </c>
      <c r="U78" s="22">
        <f>'Capacity By Location'!T90</f>
        <v>1800</v>
      </c>
      <c r="V78" s="22">
        <f>'Capacity By Location'!U90</f>
        <v>1800</v>
      </c>
      <c r="W78" s="22">
        <f>'Capacity By Location'!V90</f>
        <v>1800</v>
      </c>
    </row>
    <row r="79" spans="1:23" x14ac:dyDescent="0.25">
      <c r="A79" s="22" t="str">
        <f>'Capacity By Location'!D91</f>
        <v>PETRONAS Chemicals Group Berhad</v>
      </c>
      <c r="B79" s="22">
        <f>'Capacity By Location'!E91</f>
        <v>2400</v>
      </c>
      <c r="C79" s="22">
        <f>'Capacity By Location'!F91</f>
        <v>2400</v>
      </c>
      <c r="D79" s="22">
        <f>'Capacity By Location'!G91</f>
        <v>2400</v>
      </c>
      <c r="E79" s="22">
        <f>'Capacity By Location'!H91</f>
        <v>2400</v>
      </c>
      <c r="F79" s="22">
        <f>'Capacity By Location'!I91</f>
        <v>2400</v>
      </c>
      <c r="G79" s="22">
        <f>'Capacity By Location'!J91</f>
        <v>2400</v>
      </c>
      <c r="H79" s="22">
        <f>'Capacity By Location'!K91</f>
        <v>2400</v>
      </c>
      <c r="I79" s="114">
        <f t="shared" si="2"/>
        <v>600</v>
      </c>
      <c r="J79" s="114">
        <f t="shared" si="2"/>
        <v>600</v>
      </c>
      <c r="K79" s="114">
        <f t="shared" si="2"/>
        <v>600</v>
      </c>
      <c r="L79" s="114">
        <f t="shared" si="2"/>
        <v>600</v>
      </c>
      <c r="M79" s="22">
        <f>'Capacity By Location'!L91</f>
        <v>2400</v>
      </c>
      <c r="N79" s="22">
        <f>'Capacity By Location'!M91</f>
        <v>2400</v>
      </c>
      <c r="O79" s="22">
        <f>'Capacity By Location'!N91</f>
        <v>2400</v>
      </c>
      <c r="P79" s="22">
        <f>'Capacity By Location'!O91</f>
        <v>2400</v>
      </c>
      <c r="Q79" s="22">
        <f>'Capacity By Location'!P91</f>
        <v>2400</v>
      </c>
      <c r="R79" s="22">
        <f>'Capacity By Location'!Q91</f>
        <v>2400</v>
      </c>
      <c r="S79" s="22">
        <f>'Capacity By Location'!R91</f>
        <v>2400</v>
      </c>
      <c r="T79" s="22">
        <f>'Capacity By Location'!S91</f>
        <v>2400</v>
      </c>
      <c r="U79" s="22">
        <f>'Capacity By Location'!T91</f>
        <v>2400</v>
      </c>
      <c r="V79" s="22">
        <f>'Capacity By Location'!U91</f>
        <v>2400</v>
      </c>
      <c r="W79" s="22">
        <f>'Capacity By Location'!V91</f>
        <v>2400</v>
      </c>
    </row>
    <row r="80" spans="1:23" x14ac:dyDescent="0.25">
      <c r="A80" s="22" t="str">
        <f>'Capacity By Location'!D92</f>
        <v>PT Kaltim Methanol Industry</v>
      </c>
      <c r="B80" s="22">
        <f>'Capacity By Location'!E92</f>
        <v>660</v>
      </c>
      <c r="C80" s="22">
        <f>'Capacity By Location'!F92</f>
        <v>660</v>
      </c>
      <c r="D80" s="22">
        <f>'Capacity By Location'!G92</f>
        <v>660</v>
      </c>
      <c r="E80" s="22">
        <f>'Capacity By Location'!H92</f>
        <v>660</v>
      </c>
      <c r="F80" s="22">
        <f>'Capacity By Location'!I92</f>
        <v>660</v>
      </c>
      <c r="G80" s="22">
        <f>'Capacity By Location'!J92</f>
        <v>660</v>
      </c>
      <c r="H80" s="22">
        <f>'Capacity By Location'!K92</f>
        <v>660</v>
      </c>
      <c r="I80" s="114">
        <f t="shared" si="2"/>
        <v>165</v>
      </c>
      <c r="J80" s="114">
        <f t="shared" si="2"/>
        <v>165</v>
      </c>
      <c r="K80" s="114">
        <f t="shared" si="2"/>
        <v>165</v>
      </c>
      <c r="L80" s="114">
        <f t="shared" si="2"/>
        <v>165</v>
      </c>
      <c r="M80" s="22">
        <f>'Capacity By Location'!L92</f>
        <v>660</v>
      </c>
      <c r="N80" s="22">
        <f>'Capacity By Location'!M92</f>
        <v>660</v>
      </c>
      <c r="O80" s="22">
        <f>'Capacity By Location'!N92</f>
        <v>660</v>
      </c>
      <c r="P80" s="22">
        <f>'Capacity By Location'!O92</f>
        <v>660</v>
      </c>
      <c r="Q80" s="22">
        <f>'Capacity By Location'!P92</f>
        <v>660</v>
      </c>
      <c r="R80" s="22">
        <f>'Capacity By Location'!Q92</f>
        <v>660</v>
      </c>
      <c r="S80" s="22">
        <f>'Capacity By Location'!R92</f>
        <v>660</v>
      </c>
      <c r="T80" s="22">
        <f>'Capacity By Location'!S92</f>
        <v>660</v>
      </c>
      <c r="U80" s="22">
        <f>'Capacity By Location'!T92</f>
        <v>660</v>
      </c>
      <c r="V80" s="22">
        <f>'Capacity By Location'!U92</f>
        <v>660</v>
      </c>
      <c r="W80" s="22">
        <f>'Capacity By Location'!V92</f>
        <v>660</v>
      </c>
    </row>
    <row r="81" spans="1:23" x14ac:dyDescent="0.25">
      <c r="A81" s="22" t="str">
        <f>'Capacity By Location'!D93</f>
        <v>Methanol Australia Limited</v>
      </c>
      <c r="B81" s="22">
        <f>'Capacity By Location'!E93</f>
        <v>3500</v>
      </c>
      <c r="C81" s="22">
        <f>'Capacity By Location'!F93</f>
        <v>3500</v>
      </c>
      <c r="D81" s="22">
        <f>'Capacity By Location'!G93</f>
        <v>3500</v>
      </c>
      <c r="E81" s="22">
        <f>'Capacity By Location'!H93</f>
        <v>3500</v>
      </c>
      <c r="F81" s="22">
        <f>'Capacity By Location'!I93</f>
        <v>3500</v>
      </c>
      <c r="G81" s="22">
        <f>'Capacity By Location'!J93</f>
        <v>3500</v>
      </c>
      <c r="H81" s="22">
        <f>'Capacity By Location'!K93</f>
        <v>3500</v>
      </c>
      <c r="I81" s="114">
        <f t="shared" si="2"/>
        <v>875</v>
      </c>
      <c r="J81" s="114">
        <f t="shared" si="2"/>
        <v>875</v>
      </c>
      <c r="K81" s="114">
        <f t="shared" si="2"/>
        <v>875</v>
      </c>
      <c r="L81" s="114">
        <f t="shared" si="2"/>
        <v>875</v>
      </c>
      <c r="M81" s="22">
        <f>'Capacity By Location'!L93</f>
        <v>3500</v>
      </c>
      <c r="N81" s="22">
        <f>'Capacity By Location'!M93</f>
        <v>3500</v>
      </c>
      <c r="O81" s="22">
        <f>'Capacity By Location'!N93</f>
        <v>3500</v>
      </c>
      <c r="P81" s="22">
        <f>'Capacity By Location'!O93</f>
        <v>3500</v>
      </c>
      <c r="Q81" s="22">
        <f>'Capacity By Location'!P93</f>
        <v>3500</v>
      </c>
      <c r="R81" s="22">
        <f>'Capacity By Location'!Q93</f>
        <v>3500</v>
      </c>
      <c r="S81" s="22">
        <f>'Capacity By Location'!R93</f>
        <v>3500</v>
      </c>
      <c r="T81" s="22">
        <f>'Capacity By Location'!S93</f>
        <v>3500</v>
      </c>
      <c r="U81" s="22">
        <f>'Capacity By Location'!T93</f>
        <v>3500</v>
      </c>
      <c r="V81" s="22">
        <f>'Capacity By Location'!U93</f>
        <v>3500</v>
      </c>
      <c r="W81" s="22">
        <f>'Capacity By Location'!V93</f>
        <v>3500</v>
      </c>
    </row>
    <row r="82" spans="1:23" x14ac:dyDescent="0.25">
      <c r="A82" s="22" t="str">
        <f>'Capacity By Location'!D95</f>
        <v>Coogee</v>
      </c>
      <c r="B82" s="22">
        <f>'Capacity By Location'!E95</f>
        <v>70</v>
      </c>
      <c r="C82" s="22">
        <f>'Capacity By Location'!F95</f>
        <v>70</v>
      </c>
      <c r="D82" s="22">
        <f>'Capacity By Location'!G95</f>
        <v>70</v>
      </c>
      <c r="E82" s="22">
        <f>'Capacity By Location'!H95</f>
        <v>70</v>
      </c>
      <c r="F82" s="22">
        <f>'Capacity By Location'!I95</f>
        <v>70</v>
      </c>
      <c r="G82" s="22">
        <f>'Capacity By Location'!J95</f>
        <v>70</v>
      </c>
      <c r="H82" s="22">
        <f>'Capacity By Location'!K95</f>
        <v>70</v>
      </c>
      <c r="I82" s="114">
        <f t="shared" si="2"/>
        <v>17.5</v>
      </c>
      <c r="J82" s="114">
        <f t="shared" si="2"/>
        <v>17.5</v>
      </c>
      <c r="K82" s="114">
        <f t="shared" si="2"/>
        <v>17.5</v>
      </c>
      <c r="L82" s="114">
        <f t="shared" si="2"/>
        <v>17.5</v>
      </c>
      <c r="M82" s="22">
        <f>'Capacity By Location'!L95</f>
        <v>70</v>
      </c>
      <c r="N82" s="22">
        <f>'Capacity By Location'!M95</f>
        <v>70</v>
      </c>
      <c r="O82" s="22">
        <f>'Capacity By Location'!N95</f>
        <v>70</v>
      </c>
      <c r="P82" s="22">
        <f>'Capacity By Location'!O95</f>
        <v>70</v>
      </c>
      <c r="Q82" s="22">
        <f>'Capacity By Location'!P95</f>
        <v>70</v>
      </c>
      <c r="R82" s="22">
        <f>'Capacity By Location'!Q95</f>
        <v>70</v>
      </c>
      <c r="S82" s="22">
        <f>'Capacity By Location'!R95</f>
        <v>70</v>
      </c>
      <c r="T82" s="22">
        <f>'Capacity By Location'!S95</f>
        <v>70</v>
      </c>
      <c r="U82" s="22">
        <f>'Capacity By Location'!T95</f>
        <v>70</v>
      </c>
      <c r="V82" s="22">
        <f>'Capacity By Location'!U95</f>
        <v>70</v>
      </c>
      <c r="W82" s="22">
        <f>'Capacity By Location'!V95</f>
        <v>70</v>
      </c>
    </row>
    <row r="83" spans="1:23" x14ac:dyDescent="0.25">
      <c r="A83" s="22" t="str">
        <f>'Capacity By Location'!D96</f>
        <v>Others</v>
      </c>
      <c r="B83" s="22">
        <f>'Capacity By Location'!E96</f>
        <v>21850</v>
      </c>
      <c r="C83" s="22">
        <f>'Capacity By Location'!F96</f>
        <v>21850</v>
      </c>
      <c r="D83" s="22">
        <f>'Capacity By Location'!G96</f>
        <v>21850</v>
      </c>
      <c r="E83" s="22">
        <f>'Capacity By Location'!H96</f>
        <v>23000</v>
      </c>
      <c r="F83" s="22">
        <f>'Capacity By Location'!I96</f>
        <v>23000</v>
      </c>
      <c r="G83" s="22">
        <f>'Capacity By Location'!J96</f>
        <v>24850</v>
      </c>
      <c r="H83" s="22">
        <f>'Capacity By Location'!K96</f>
        <v>25640</v>
      </c>
      <c r="I83" s="114">
        <f t="shared" si="2"/>
        <v>6410</v>
      </c>
      <c r="J83" s="114">
        <f t="shared" si="2"/>
        <v>6410</v>
      </c>
      <c r="K83" s="114">
        <f t="shared" si="2"/>
        <v>6410</v>
      </c>
      <c r="L83" s="114">
        <f t="shared" si="2"/>
        <v>6410</v>
      </c>
      <c r="M83" s="22">
        <f>'Capacity By Location'!L96</f>
        <v>25640</v>
      </c>
      <c r="N83" s="22">
        <f>'Capacity By Location'!M96</f>
        <v>27000</v>
      </c>
      <c r="O83" s="22">
        <f>'Capacity By Location'!N96</f>
        <v>27000</v>
      </c>
      <c r="P83" s="22">
        <f>'Capacity By Location'!O96</f>
        <v>27000</v>
      </c>
      <c r="Q83" s="22">
        <f>'Capacity By Location'!P96</f>
        <v>27000</v>
      </c>
      <c r="R83" s="22">
        <f>'Capacity By Location'!Q96</f>
        <v>27000</v>
      </c>
      <c r="S83" s="22">
        <f>'Capacity By Location'!R96</f>
        <v>27000</v>
      </c>
      <c r="T83" s="22">
        <f>'Capacity By Location'!S96</f>
        <v>27000</v>
      </c>
      <c r="U83" s="22">
        <f>'Capacity By Location'!T96</f>
        <v>27000</v>
      </c>
      <c r="V83" s="22">
        <f>'Capacity By Location'!U96</f>
        <v>27000</v>
      </c>
      <c r="W83" s="22">
        <f>'Capacity By Location'!V96</f>
        <v>27000</v>
      </c>
    </row>
    <row r="84" spans="1:23" x14ac:dyDescent="0.25">
      <c r="A84" s="22" t="str">
        <f>'Capacity By Location'!D97</f>
        <v>Total</v>
      </c>
      <c r="B84" s="52">
        <f>SUM(B2:B83)</f>
        <v>108621</v>
      </c>
      <c r="C84" s="52">
        <f t="shared" ref="C84:W84" si="3">SUM(C2:C83)</f>
        <v>108646</v>
      </c>
      <c r="D84" s="52">
        <f t="shared" si="3"/>
        <v>108926</v>
      </c>
      <c r="E84" s="52">
        <f t="shared" si="3"/>
        <v>114463</v>
      </c>
      <c r="F84" s="52">
        <f t="shared" si="3"/>
        <v>115438</v>
      </c>
      <c r="G84" s="52">
        <f t="shared" si="3"/>
        <v>120941</v>
      </c>
      <c r="H84" s="52">
        <f t="shared" si="3"/>
        <v>123071</v>
      </c>
      <c r="I84" s="52">
        <f t="shared" si="3"/>
        <v>30767.75</v>
      </c>
      <c r="J84" s="52">
        <f t="shared" si="3"/>
        <v>30767.75</v>
      </c>
      <c r="K84" s="52">
        <f t="shared" si="3"/>
        <v>30817.75</v>
      </c>
      <c r="L84" s="52">
        <f t="shared" si="3"/>
        <v>30817.75</v>
      </c>
      <c r="M84" s="52">
        <f t="shared" si="3"/>
        <v>123271</v>
      </c>
      <c r="N84" s="52">
        <f t="shared" si="3"/>
        <v>132596</v>
      </c>
      <c r="O84" s="52">
        <f t="shared" si="3"/>
        <v>132596</v>
      </c>
      <c r="P84" s="52">
        <f t="shared" si="3"/>
        <v>132596</v>
      </c>
      <c r="Q84" s="52">
        <f t="shared" si="3"/>
        <v>134396</v>
      </c>
      <c r="R84" s="52">
        <f t="shared" si="3"/>
        <v>134396</v>
      </c>
      <c r="S84" s="52">
        <f t="shared" si="3"/>
        <v>134396</v>
      </c>
      <c r="T84" s="52">
        <f t="shared" si="3"/>
        <v>134396</v>
      </c>
      <c r="U84" s="52">
        <f t="shared" si="3"/>
        <v>134396</v>
      </c>
      <c r="V84" s="52">
        <f t="shared" si="3"/>
        <v>134396</v>
      </c>
      <c r="W84" s="52">
        <f t="shared" si="3"/>
        <v>134396</v>
      </c>
    </row>
    <row r="85" spans="1:23" x14ac:dyDescent="0.25">
      <c r="B85">
        <f>B84-'Capacity By Location'!E97</f>
        <v>0</v>
      </c>
      <c r="C85">
        <f>C84-'Capacity By Location'!F97</f>
        <v>0</v>
      </c>
      <c r="D85">
        <f>D84-'Capacity By Location'!G97</f>
        <v>0</v>
      </c>
      <c r="E85">
        <f>E84-'Capacity By Location'!H97</f>
        <v>0</v>
      </c>
      <c r="F85">
        <f>F84-'Capacity By Location'!I97</f>
        <v>0</v>
      </c>
      <c r="G85">
        <f>G84-'Capacity By Location'!J97</f>
        <v>0</v>
      </c>
      <c r="H85">
        <f>H84-'Capacity By Location'!K97</f>
        <v>0</v>
      </c>
      <c r="M85">
        <f>M84-'Capacity By Location'!L97</f>
        <v>0</v>
      </c>
      <c r="N85">
        <f>N84-'Capacity By Location'!M97</f>
        <v>0</v>
      </c>
      <c r="O85">
        <f>O84-'Capacity By Location'!N97</f>
        <v>0</v>
      </c>
      <c r="P85">
        <f>P84-'Capacity By Location'!O97</f>
        <v>0</v>
      </c>
      <c r="Q85">
        <f>Q84-'Capacity By Location'!P97</f>
        <v>0</v>
      </c>
      <c r="R85">
        <f>R84-'Capacity By Location'!Q97</f>
        <v>0</v>
      </c>
      <c r="S85">
        <f>S84-'Capacity By Location'!R97</f>
        <v>0</v>
      </c>
      <c r="T85">
        <f>T84-'Capacity By Location'!S97</f>
        <v>0</v>
      </c>
      <c r="U85">
        <f>U84-'Capacity By Location'!T97</f>
        <v>0</v>
      </c>
      <c r="V85">
        <f>V84-'Capacity By Location'!U97</f>
        <v>0</v>
      </c>
      <c r="W85">
        <f>W84-'Capacity By Location'!V97</f>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6B1F78-87AF-499F-A589-1644B317746E}">
  <dimension ref="A1:W84"/>
  <sheetViews>
    <sheetView zoomScale="85" zoomScaleNormal="85" workbookViewId="0">
      <pane ySplit="1" topLeftCell="A9" activePane="bottomLeft" state="frozen"/>
      <selection pane="bottomLeft" activeCell="G26" sqref="G26"/>
    </sheetView>
  </sheetViews>
  <sheetFormatPr defaultRowHeight="15" x14ac:dyDescent="0.25"/>
  <cols>
    <col min="1" max="1" width="57.140625" bestFit="1" customWidth="1"/>
  </cols>
  <sheetData>
    <row r="1" spans="1:23" x14ac:dyDescent="0.25">
      <c r="A1" s="56" t="str">
        <f>'Capacity By Location'!D1</f>
        <v>Company</v>
      </c>
      <c r="B1" s="56">
        <f>'Capacity By Location'!E1</f>
        <v>2015</v>
      </c>
      <c r="C1" s="56">
        <f>'Capacity By Location'!F1</f>
        <v>2016</v>
      </c>
      <c r="D1" s="56">
        <f>'Capacity By Location'!G1</f>
        <v>2017</v>
      </c>
      <c r="E1" s="56">
        <f>'Capacity By Location'!H1</f>
        <v>2018</v>
      </c>
      <c r="F1" s="56">
        <f>'Capacity By Location'!I1</f>
        <v>2019</v>
      </c>
      <c r="G1" s="56">
        <f>'Capacity By Location'!J1</f>
        <v>2020</v>
      </c>
      <c r="H1" s="56" t="str">
        <f>'Capacity By Location'!K1</f>
        <v>2021E</v>
      </c>
      <c r="I1" s="56" t="s">
        <v>327</v>
      </c>
      <c r="J1" s="56" t="s">
        <v>328</v>
      </c>
      <c r="K1" s="56" t="s">
        <v>329</v>
      </c>
      <c r="L1" s="56" t="s">
        <v>330</v>
      </c>
      <c r="M1" s="56" t="str">
        <f>'Capacity By Location'!L1</f>
        <v>2022F</v>
      </c>
      <c r="N1" s="56" t="str">
        <f>'Capacity By Location'!M1</f>
        <v>2023F</v>
      </c>
      <c r="O1" s="56" t="str">
        <f>'Capacity By Location'!N1</f>
        <v>2024F</v>
      </c>
      <c r="P1" s="56" t="str">
        <f>'Capacity By Location'!O1</f>
        <v>2025F</v>
      </c>
      <c r="Q1" s="56" t="str">
        <f>'Capacity By Location'!P1</f>
        <v>2026F</v>
      </c>
      <c r="R1" s="56" t="str">
        <f>'Capacity By Location'!Q1</f>
        <v>2027F</v>
      </c>
      <c r="S1" s="56" t="str">
        <f>'Capacity By Location'!R1</f>
        <v>2028F</v>
      </c>
      <c r="T1" s="56" t="str">
        <f>'Capacity By Location'!S1</f>
        <v>2029F</v>
      </c>
      <c r="U1" s="56" t="str">
        <f>'Capacity By Location'!T1</f>
        <v>2030F</v>
      </c>
      <c r="V1" s="56" t="s">
        <v>293</v>
      </c>
      <c r="W1" s="56" t="s">
        <v>294</v>
      </c>
    </row>
    <row r="2" spans="1:23" x14ac:dyDescent="0.25">
      <c r="A2" s="22" t="str">
        <f>'Capacity By Location'!D2</f>
        <v>Fairway LLC</v>
      </c>
      <c r="B2" s="22">
        <f>ROUND('Operating Efficiency'!B2*'Capacity By Company'!B2,2)</f>
        <v>910</v>
      </c>
      <c r="C2" s="22">
        <f>ROUND('Operating Efficiency'!C2*'Capacity By Company'!C2,2)</f>
        <v>936</v>
      </c>
      <c r="D2" s="22">
        <f>ROUND('Operating Efficiency'!D2*'Capacity By Company'!D2,2)</f>
        <v>962</v>
      </c>
      <c r="E2" s="22">
        <f>ROUND('Operating Efficiency'!E2*'Capacity By Company'!E2,2)</f>
        <v>975</v>
      </c>
      <c r="F2" s="22">
        <f>ROUND('Operating Efficiency'!F2*'Capacity By Company'!F2,2)</f>
        <v>988</v>
      </c>
      <c r="G2" s="22">
        <f>ROUND('Operating Efficiency'!G2*'Capacity By Company'!G2,2)</f>
        <v>936</v>
      </c>
      <c r="H2" s="22">
        <f>ROUND('Operating Efficiency'!H2*'Capacity By Company'!H2,2)</f>
        <v>962</v>
      </c>
      <c r="I2" s="114">
        <f>ROUND('Operating Efficiency'!I2*'Capacity By Company'!I2,2)</f>
        <v>240.5</v>
      </c>
      <c r="J2" s="114">
        <f>ROUND('Operating Efficiency'!J2*'Capacity By Company'!J2,2)</f>
        <v>243.75</v>
      </c>
      <c r="K2" s="114">
        <f>ROUND('Operating Efficiency'!K2*'Capacity By Company'!K2,2)</f>
        <v>247</v>
      </c>
      <c r="L2" s="114">
        <f>M2-SUM(I2:K2)</f>
        <v>243.75</v>
      </c>
      <c r="M2" s="22">
        <f>ROUND('Operating Efficiency'!M2*'Capacity By Company'!M2,2)</f>
        <v>975</v>
      </c>
      <c r="N2" s="22">
        <f>ROUND('Operating Efficiency'!N2*'Capacity By Company'!N2,2)</f>
        <v>1292</v>
      </c>
      <c r="O2" s="22">
        <f>ROUND('Operating Efficiency'!O2*'Capacity By Company'!O2,2)</f>
        <v>1292</v>
      </c>
      <c r="P2" s="22">
        <f>ROUND('Operating Efficiency'!P2*'Capacity By Company'!P2,2)</f>
        <v>1326</v>
      </c>
      <c r="Q2" s="22">
        <f>ROUND('Operating Efficiency'!Q2*'Capacity By Company'!Q2,2)</f>
        <v>1360</v>
      </c>
      <c r="R2" s="22">
        <f>ROUND('Operating Efficiency'!R2*'Capacity By Company'!R2,2)</f>
        <v>1394</v>
      </c>
      <c r="S2" s="22">
        <f>ROUND('Operating Efficiency'!S2*'Capacity By Company'!S2,2)</f>
        <v>1394</v>
      </c>
      <c r="T2" s="22">
        <f>ROUND('Operating Efficiency'!T2*'Capacity By Company'!T2,2)</f>
        <v>1428</v>
      </c>
      <c r="U2" s="22">
        <f>ROUND('Operating Efficiency'!U2*'Capacity By Company'!U2,2)</f>
        <v>1428</v>
      </c>
      <c r="V2" s="22">
        <f>ROUND('Operating Efficiency'!V2*'Capacity By Company'!V2,2)</f>
        <v>1428</v>
      </c>
      <c r="W2" s="22">
        <f>ROUND('Operating Efficiency'!W2*'Capacity By Company'!W2,2)</f>
        <v>1428</v>
      </c>
    </row>
    <row r="3" spans="1:23" x14ac:dyDescent="0.25">
      <c r="A3" s="22" t="str">
        <f>'Capacity By Location'!D3</f>
        <v>US Methanol</v>
      </c>
      <c r="B3" s="22">
        <f>ROUND('Operating Efficiency'!B3*'Capacity By Company'!B3,2)</f>
        <v>0</v>
      </c>
      <c r="C3" s="22">
        <f>ROUND('Operating Efficiency'!C3*'Capacity By Company'!C3,2)</f>
        <v>0</v>
      </c>
      <c r="D3" s="22">
        <f>ROUND('Operating Efficiency'!D3*'Capacity By Company'!D3,2)</f>
        <v>0</v>
      </c>
      <c r="E3" s="22">
        <f>ROUND('Operating Efficiency'!E3*'Capacity By Company'!E3,2)</f>
        <v>0</v>
      </c>
      <c r="F3" s="22">
        <f>ROUND('Operating Efficiency'!F3*'Capacity By Company'!F3,2)</f>
        <v>0</v>
      </c>
      <c r="G3" s="22">
        <f>ROUND('Operating Efficiency'!G3*'Capacity By Company'!G3,2)</f>
        <v>0</v>
      </c>
      <c r="H3" s="22">
        <f>ROUND('Operating Efficiency'!H3*'Capacity By Company'!H3,2)</f>
        <v>0</v>
      </c>
      <c r="I3" s="114">
        <f>ROUND('Operating Efficiency'!I3*'Capacity By Company'!I3,2)</f>
        <v>0</v>
      </c>
      <c r="J3" s="114">
        <f>ROUND('Operating Efficiency'!J3*'Capacity By Company'!J3,2)</f>
        <v>0</v>
      </c>
      <c r="K3" s="114">
        <f>ROUND('Operating Efficiency'!K3*'Capacity By Company'!K3,2)</f>
        <v>27.5</v>
      </c>
      <c r="L3" s="114">
        <f t="shared" ref="L3:L66" si="0">M3-SUM(I3:K3)</f>
        <v>34.5</v>
      </c>
      <c r="M3" s="22">
        <f>ROUND('Operating Efficiency'!M3*'Capacity By Company'!M3,2)</f>
        <v>62</v>
      </c>
      <c r="N3" s="22">
        <f>ROUND('Operating Efficiency'!N3*'Capacity By Company'!N3,2)</f>
        <v>110</v>
      </c>
      <c r="O3" s="22">
        <f>ROUND('Operating Efficiency'!O3*'Capacity By Company'!O3,2)</f>
        <v>124</v>
      </c>
      <c r="P3" s="22">
        <f>ROUND('Operating Efficiency'!P3*'Capacity By Company'!P3,2)</f>
        <v>134</v>
      </c>
      <c r="Q3" s="22">
        <f>ROUND('Operating Efficiency'!Q3*'Capacity By Company'!Q3,2)</f>
        <v>142</v>
      </c>
      <c r="R3" s="22">
        <f>ROUND('Operating Efficiency'!R3*'Capacity By Company'!R3,2)</f>
        <v>142</v>
      </c>
      <c r="S3" s="22">
        <f>ROUND('Operating Efficiency'!S3*'Capacity By Company'!S3,2)</f>
        <v>148</v>
      </c>
      <c r="T3" s="22">
        <f>ROUND('Operating Efficiency'!T3*'Capacity By Company'!T3,2)</f>
        <v>148</v>
      </c>
      <c r="U3" s="22">
        <f>ROUND('Operating Efficiency'!U3*'Capacity By Company'!U3,2)</f>
        <v>152</v>
      </c>
      <c r="V3" s="22">
        <f>ROUND('Operating Efficiency'!V3*'Capacity By Company'!V3,2)</f>
        <v>152</v>
      </c>
      <c r="W3" s="22">
        <f>ROUND('Operating Efficiency'!W3*'Capacity By Company'!W3,2)</f>
        <v>160</v>
      </c>
    </row>
    <row r="4" spans="1:23" x14ac:dyDescent="0.25">
      <c r="A4" s="22" t="str">
        <f>'Capacity By Location'!D4</f>
        <v>Methanex Corporation</v>
      </c>
      <c r="B4" s="22">
        <f>ROUND('Operating Efficiency'!B4*'Capacity By Company'!B4,2)</f>
        <v>7488</v>
      </c>
      <c r="C4" s="22">
        <f>ROUND('Operating Efficiency'!C4*'Capacity By Company'!C4,2)</f>
        <v>7696</v>
      </c>
      <c r="D4" s="22">
        <f>ROUND('Operating Efficiency'!D4*'Capacity By Company'!D4,2)</f>
        <v>7904</v>
      </c>
      <c r="E4" s="22">
        <f>ROUND('Operating Efficiency'!E4*'Capacity By Company'!E4,2)</f>
        <v>8112</v>
      </c>
      <c r="F4" s="22">
        <f>ROUND('Operating Efficiency'!F4*'Capacity By Company'!F4,2)</f>
        <v>8320</v>
      </c>
      <c r="G4" s="22">
        <f>ROUND('Operating Efficiency'!G4*'Capacity By Company'!G4,2)</f>
        <v>7488</v>
      </c>
      <c r="H4" s="22">
        <f>ROUND('Operating Efficiency'!H4*'Capacity By Company'!H4,2)</f>
        <v>7873.6</v>
      </c>
      <c r="I4" s="114">
        <f>ROUND('Operating Efficiency'!I4*'Capacity By Company'!I4,2)</f>
        <v>1941.8</v>
      </c>
      <c r="J4" s="114">
        <f>ROUND('Operating Efficiency'!J4*'Capacity By Company'!J4,2)</f>
        <v>1995</v>
      </c>
      <c r="K4" s="114">
        <f>ROUND('Operating Efficiency'!K4*'Capacity By Company'!K4,2)</f>
        <v>2021.6</v>
      </c>
      <c r="L4" s="114">
        <f t="shared" si="0"/>
        <v>2128</v>
      </c>
      <c r="M4" s="22">
        <f>ROUND('Operating Efficiency'!M4*'Capacity By Company'!M4,2)</f>
        <v>8086.4</v>
      </c>
      <c r="N4" s="22">
        <f>ROUND('Operating Efficiency'!N4*'Capacity By Company'!N4,2)</f>
        <v>9703.2000000000007</v>
      </c>
      <c r="O4" s="22">
        <f>ROUND('Operating Efficiency'!O4*'Capacity By Company'!O4,2)</f>
        <v>9703.2000000000007</v>
      </c>
      <c r="P4" s="22">
        <f>ROUND('Operating Efficiency'!P4*'Capacity By Company'!P4,2)</f>
        <v>9952</v>
      </c>
      <c r="Q4" s="22">
        <f>ROUND('Operating Efficiency'!Q4*'Capacity By Company'!Q4,2)</f>
        <v>9952</v>
      </c>
      <c r="R4" s="22">
        <f>ROUND('Operating Efficiency'!R4*'Capacity By Company'!R4,2)</f>
        <v>10200.799999999999</v>
      </c>
      <c r="S4" s="22">
        <f>ROUND('Operating Efficiency'!S4*'Capacity By Company'!S4,2)</f>
        <v>10200.799999999999</v>
      </c>
      <c r="T4" s="22">
        <f>ROUND('Operating Efficiency'!T4*'Capacity By Company'!T4,2)</f>
        <v>10200.799999999999</v>
      </c>
      <c r="U4" s="22">
        <f>ROUND('Operating Efficiency'!U4*'Capacity By Company'!U4,2)</f>
        <v>10449.6</v>
      </c>
      <c r="V4" s="22">
        <f>ROUND('Operating Efficiency'!V4*'Capacity By Company'!V4,2)</f>
        <v>10449.6</v>
      </c>
      <c r="W4" s="22">
        <f>ROUND('Operating Efficiency'!W4*'Capacity By Company'!W4,2)</f>
        <v>10449.6</v>
      </c>
    </row>
    <row r="5" spans="1:23" x14ac:dyDescent="0.25">
      <c r="A5" s="22" t="str">
        <f>'Capacity By Location'!D5</f>
        <v>LyondellBasell Industries BV</v>
      </c>
      <c r="B5" s="22">
        <f>ROUND('Operating Efficiency'!B5*'Capacity By Company'!B5,2)</f>
        <v>546</v>
      </c>
      <c r="C5" s="22">
        <f>ROUND('Operating Efficiency'!C5*'Capacity By Company'!C5,2)</f>
        <v>561.6</v>
      </c>
      <c r="D5" s="22">
        <f>ROUND('Operating Efficiency'!D5*'Capacity By Company'!D5,2)</f>
        <v>577.20000000000005</v>
      </c>
      <c r="E5" s="22">
        <f>ROUND('Operating Efficiency'!E5*'Capacity By Company'!E5,2)</f>
        <v>592.79999999999995</v>
      </c>
      <c r="F5" s="22">
        <f>ROUND('Operating Efficiency'!F5*'Capacity By Company'!F5,2)</f>
        <v>608.4</v>
      </c>
      <c r="G5" s="22">
        <f>ROUND('Operating Efficiency'!G5*'Capacity By Company'!G5,2)</f>
        <v>577.20000000000005</v>
      </c>
      <c r="H5" s="22">
        <f>ROUND('Operating Efficiency'!H5*'Capacity By Company'!H5,2)</f>
        <v>592.79999999999995</v>
      </c>
      <c r="I5" s="114">
        <f>ROUND('Operating Efficiency'!I5*'Capacity By Company'!I5,2)</f>
        <v>148.19999999999999</v>
      </c>
      <c r="J5" s="114">
        <f>ROUND('Operating Efficiency'!J5*'Capacity By Company'!J5,2)</f>
        <v>146.25</v>
      </c>
      <c r="K5" s="114">
        <f>ROUND('Operating Efficiency'!K5*'Capacity By Company'!K5,2)</f>
        <v>152.1</v>
      </c>
      <c r="L5" s="114">
        <f t="shared" si="0"/>
        <v>161.85000000000002</v>
      </c>
      <c r="M5" s="22">
        <f>ROUND('Operating Efficiency'!M5*'Capacity By Company'!M5,2)</f>
        <v>608.4</v>
      </c>
      <c r="N5" s="22">
        <f>ROUND('Operating Efficiency'!N5*'Capacity By Company'!N5,2)</f>
        <v>624</v>
      </c>
      <c r="O5" s="22">
        <f>ROUND('Operating Efficiency'!O5*'Capacity By Company'!O5,2)</f>
        <v>639.6</v>
      </c>
      <c r="P5" s="22">
        <f>ROUND('Operating Efficiency'!P5*'Capacity By Company'!P5,2)</f>
        <v>639.6</v>
      </c>
      <c r="Q5" s="22">
        <f>ROUND('Operating Efficiency'!Q5*'Capacity By Company'!Q5,2)</f>
        <v>655.20000000000005</v>
      </c>
      <c r="R5" s="22">
        <f>ROUND('Operating Efficiency'!R5*'Capacity By Company'!R5,2)</f>
        <v>655.20000000000005</v>
      </c>
      <c r="S5" s="22">
        <f>ROUND('Operating Efficiency'!S5*'Capacity By Company'!S5,2)</f>
        <v>655.20000000000005</v>
      </c>
      <c r="T5" s="22">
        <f>ROUND('Operating Efficiency'!T5*'Capacity By Company'!T5,2)</f>
        <v>670.8</v>
      </c>
      <c r="U5" s="22">
        <f>ROUND('Operating Efficiency'!U5*'Capacity By Company'!U5,2)</f>
        <v>670.8</v>
      </c>
      <c r="V5" s="22">
        <f>ROUND('Operating Efficiency'!V5*'Capacity By Company'!V5,2)</f>
        <v>670.8</v>
      </c>
      <c r="W5" s="22">
        <f>ROUND('Operating Efficiency'!W5*'Capacity By Company'!W5,2)</f>
        <v>670.8</v>
      </c>
    </row>
    <row r="6" spans="1:23" x14ac:dyDescent="0.25">
      <c r="A6" s="57" t="s">
        <v>295</v>
      </c>
      <c r="B6" s="22">
        <f>ROUND('Operating Efficiency'!B6*'Capacity By Company'!B6,2)</f>
        <v>1309</v>
      </c>
      <c r="C6" s="22">
        <f>ROUND('Operating Efficiency'!C6*'Capacity By Company'!C6,2)</f>
        <v>1346.4</v>
      </c>
      <c r="D6" s="22">
        <f>ROUND('Operating Efficiency'!D6*'Capacity By Company'!D6,2)</f>
        <v>1383.8</v>
      </c>
      <c r="E6" s="22">
        <f>ROUND('Operating Efficiency'!E6*'Capacity By Company'!E6,2)</f>
        <v>1421.2</v>
      </c>
      <c r="F6" s="22">
        <f>ROUND('Operating Efficiency'!F6*'Capacity By Company'!F6,2)</f>
        <v>1556.1</v>
      </c>
      <c r="G6" s="22">
        <f>ROUND('Operating Efficiency'!G6*'Capacity By Company'!G6,2)</f>
        <v>1436.4</v>
      </c>
      <c r="H6" s="22">
        <f>ROUND('Operating Efficiency'!H6*'Capacity By Company'!H6,2)</f>
        <v>1476.3</v>
      </c>
      <c r="I6" s="114">
        <f>ROUND('Operating Efficiency'!I6*'Capacity By Company'!I6,2)</f>
        <v>374.06</v>
      </c>
      <c r="J6" s="114">
        <f>ROUND('Operating Efficiency'!J6*'Capacity By Company'!J6,2)</f>
        <v>379.05</v>
      </c>
      <c r="K6" s="114">
        <f>ROUND('Operating Efficiency'!K6*'Capacity By Company'!K6,2)</f>
        <v>379.05</v>
      </c>
      <c r="L6" s="114">
        <f t="shared" si="0"/>
        <v>384.03999999999996</v>
      </c>
      <c r="M6" s="22">
        <f>ROUND('Operating Efficiency'!M6*'Capacity By Company'!M6,2)</f>
        <v>1516.2</v>
      </c>
      <c r="N6" s="22">
        <f>ROUND('Operating Efficiency'!N6*'Capacity By Company'!N6,2)</f>
        <v>1516.2</v>
      </c>
      <c r="O6" s="22">
        <f>ROUND('Operating Efficiency'!O6*'Capacity By Company'!O6,2)</f>
        <v>1556.1</v>
      </c>
      <c r="P6" s="22">
        <f>ROUND('Operating Efficiency'!P6*'Capacity By Company'!P6,2)</f>
        <v>1556.1</v>
      </c>
      <c r="Q6" s="22">
        <f>ROUND('Operating Efficiency'!Q6*'Capacity By Company'!Q6,2)</f>
        <v>1596</v>
      </c>
      <c r="R6" s="22">
        <f>ROUND('Operating Efficiency'!R6*'Capacity By Company'!R6,2)</f>
        <v>1635.9</v>
      </c>
      <c r="S6" s="22">
        <f>ROUND('Operating Efficiency'!S6*'Capacity By Company'!S6,2)</f>
        <v>1635.9</v>
      </c>
      <c r="T6" s="22">
        <f>ROUND('Operating Efficiency'!T6*'Capacity By Company'!T6,2)</f>
        <v>1675.8</v>
      </c>
      <c r="U6" s="22">
        <f>ROUND('Operating Efficiency'!U6*'Capacity By Company'!U6,2)</f>
        <v>1675.8</v>
      </c>
      <c r="V6" s="22">
        <f>ROUND('Operating Efficiency'!V6*'Capacity By Company'!V6,2)</f>
        <v>1675.8</v>
      </c>
      <c r="W6" s="22">
        <f>ROUND('Operating Efficiency'!W6*'Capacity By Company'!W6,2)</f>
        <v>1675.8</v>
      </c>
    </row>
    <row r="7" spans="1:23" x14ac:dyDescent="0.25">
      <c r="A7" s="22" t="str">
        <f>'Capacity By Location'!D7</f>
        <v>Eastman Chemical</v>
      </c>
      <c r="B7" s="22">
        <f>ROUND('Operating Efficiency'!B7*'Capacity By Company'!B7,2)</f>
        <v>132.6</v>
      </c>
      <c r="C7" s="22">
        <f>ROUND('Operating Efficiency'!C7*'Capacity By Company'!C7,2)</f>
        <v>136.5</v>
      </c>
      <c r="D7" s="22">
        <f>ROUND('Operating Efficiency'!D7*'Capacity By Company'!D7,2)</f>
        <v>140.4</v>
      </c>
      <c r="E7" s="22">
        <f>ROUND('Operating Efficiency'!E7*'Capacity By Company'!E7,2)</f>
        <v>144.30000000000001</v>
      </c>
      <c r="F7" s="22">
        <f>ROUND('Operating Efficiency'!F7*'Capacity By Company'!F7,2)</f>
        <v>148.19999999999999</v>
      </c>
      <c r="G7" s="22">
        <f>ROUND('Operating Efficiency'!G7*'Capacity By Company'!G7,2)</f>
        <v>144.30000000000001</v>
      </c>
      <c r="H7" s="22">
        <f>ROUND('Operating Efficiency'!H7*'Capacity By Company'!H7,2)</f>
        <v>148.19999999999999</v>
      </c>
      <c r="I7" s="114">
        <f>ROUND('Operating Efficiency'!I7*'Capacity By Company'!I7,2)</f>
        <v>36.56</v>
      </c>
      <c r="J7" s="114">
        <f>ROUND('Operating Efficiency'!J7*'Capacity By Company'!J7,2)</f>
        <v>38.51</v>
      </c>
      <c r="K7" s="114">
        <f>ROUND('Operating Efficiency'!K7*'Capacity By Company'!K7,2)</f>
        <v>41.44</v>
      </c>
      <c r="L7" s="114">
        <f t="shared" si="0"/>
        <v>35.590000000000003</v>
      </c>
      <c r="M7" s="22">
        <f>ROUND('Operating Efficiency'!M7*'Capacity By Company'!M7,2)</f>
        <v>152.1</v>
      </c>
      <c r="N7" s="22">
        <f>ROUND('Operating Efficiency'!N7*'Capacity By Company'!N7,2)</f>
        <v>156</v>
      </c>
      <c r="O7" s="22">
        <f>ROUND('Operating Efficiency'!O7*'Capacity By Company'!O7,2)</f>
        <v>159.9</v>
      </c>
      <c r="P7" s="22">
        <f>ROUND('Operating Efficiency'!P7*'Capacity By Company'!P7,2)</f>
        <v>159.9</v>
      </c>
      <c r="Q7" s="22">
        <f>ROUND('Operating Efficiency'!Q7*'Capacity By Company'!Q7,2)</f>
        <v>163.80000000000001</v>
      </c>
      <c r="R7" s="22">
        <f>ROUND('Operating Efficiency'!R7*'Capacity By Company'!R7,2)</f>
        <v>163.80000000000001</v>
      </c>
      <c r="S7" s="22">
        <f>ROUND('Operating Efficiency'!S7*'Capacity By Company'!S7,2)</f>
        <v>163.80000000000001</v>
      </c>
      <c r="T7" s="22">
        <f>ROUND('Operating Efficiency'!T7*'Capacity By Company'!T7,2)</f>
        <v>167.7</v>
      </c>
      <c r="U7" s="22">
        <f>ROUND('Operating Efficiency'!U7*'Capacity By Company'!U7,2)</f>
        <v>167.7</v>
      </c>
      <c r="V7" s="22">
        <f>ROUND('Operating Efficiency'!V7*'Capacity By Company'!V7,2)</f>
        <v>167.7</v>
      </c>
      <c r="W7" s="22">
        <f>ROUND('Operating Efficiency'!W7*'Capacity By Company'!W7,2)</f>
        <v>167.7</v>
      </c>
    </row>
    <row r="8" spans="1:23" x14ac:dyDescent="0.25">
      <c r="A8" s="22" t="str">
        <f>'Capacity By Location'!D8</f>
        <v>Yuhuang Chemical Industries Inc.</v>
      </c>
      <c r="B8" s="22">
        <f>ROUND('Operating Efficiency'!B8*'Capacity By Company'!B8,2)</f>
        <v>0</v>
      </c>
      <c r="C8" s="22">
        <f>ROUND('Operating Efficiency'!C8*'Capacity By Company'!C8,2)</f>
        <v>0</v>
      </c>
      <c r="D8" s="22">
        <f>ROUND('Operating Efficiency'!D8*'Capacity By Company'!D8,2)</f>
        <v>0</v>
      </c>
      <c r="E8" s="22">
        <f>ROUND('Operating Efficiency'!E8*'Capacity By Company'!E8,2)</f>
        <v>425</v>
      </c>
      <c r="F8" s="22">
        <f>ROUND('Operating Efficiency'!F8*'Capacity By Company'!F8,2)</f>
        <v>1122</v>
      </c>
      <c r="G8" s="22">
        <f>ROUND('Operating Efficiency'!G8*'Capacity By Company'!G8,2)</f>
        <v>1088</v>
      </c>
      <c r="H8" s="22">
        <f>ROUND('Operating Efficiency'!H8*'Capacity By Company'!H8,2)</f>
        <v>1190</v>
      </c>
      <c r="I8" s="114">
        <f>ROUND('Operating Efficiency'!I8*'Capacity By Company'!I8,2)</f>
        <v>297.5</v>
      </c>
      <c r="J8" s="114">
        <f>ROUND('Operating Efficiency'!J8*'Capacity By Company'!J8,2)</f>
        <v>297.5</v>
      </c>
      <c r="K8" s="114">
        <f>ROUND('Operating Efficiency'!K8*'Capacity By Company'!K8,2)</f>
        <v>310.25</v>
      </c>
      <c r="L8" s="114">
        <f t="shared" si="0"/>
        <v>318.75</v>
      </c>
      <c r="M8" s="22">
        <f>ROUND('Operating Efficiency'!M8*'Capacity By Company'!M8,2)</f>
        <v>1224</v>
      </c>
      <c r="N8" s="22">
        <f>ROUND('Operating Efficiency'!N8*'Capacity By Company'!N8,2)</f>
        <v>1258</v>
      </c>
      <c r="O8" s="22">
        <f>ROUND('Operating Efficiency'!O8*'Capacity By Company'!O8,2)</f>
        <v>1292</v>
      </c>
      <c r="P8" s="22">
        <f>ROUND('Operating Efficiency'!P8*'Capacity By Company'!P8,2)</f>
        <v>1360</v>
      </c>
      <c r="Q8" s="22">
        <f>ROUND('Operating Efficiency'!Q8*'Capacity By Company'!Q8,2)</f>
        <v>1394</v>
      </c>
      <c r="R8" s="22">
        <f>ROUND('Operating Efficiency'!R8*'Capacity By Company'!R8,2)</f>
        <v>1394</v>
      </c>
      <c r="S8" s="22">
        <f>ROUND('Operating Efficiency'!S8*'Capacity By Company'!S8,2)</f>
        <v>1428</v>
      </c>
      <c r="T8" s="22">
        <f>ROUND('Operating Efficiency'!T8*'Capacity By Company'!T8,2)</f>
        <v>1428</v>
      </c>
      <c r="U8" s="22">
        <f>ROUND('Operating Efficiency'!U8*'Capacity By Company'!U8,2)</f>
        <v>1462</v>
      </c>
      <c r="V8" s="22">
        <f>ROUND('Operating Efficiency'!V8*'Capacity By Company'!V8,2)</f>
        <v>1462</v>
      </c>
      <c r="W8" s="22">
        <f>ROUND('Operating Efficiency'!W8*'Capacity By Company'!W8,2)</f>
        <v>1462</v>
      </c>
    </row>
    <row r="9" spans="1:23" x14ac:dyDescent="0.25">
      <c r="A9" s="22" t="str">
        <f>'Capacity By Location'!D10</f>
        <v>Nauticol Energy</v>
      </c>
      <c r="B9" s="22">
        <f>ROUND('Operating Efficiency'!B9*'Capacity By Company'!B9,2)</f>
        <v>0</v>
      </c>
      <c r="C9" s="22">
        <f>ROUND('Operating Efficiency'!C9*'Capacity By Company'!C9,2)</f>
        <v>0</v>
      </c>
      <c r="D9" s="22">
        <f>ROUND('Operating Efficiency'!D9*'Capacity By Company'!D9,2)</f>
        <v>0</v>
      </c>
      <c r="E9" s="22">
        <f>ROUND('Operating Efficiency'!E9*'Capacity By Company'!E9,2)</f>
        <v>0</v>
      </c>
      <c r="F9" s="22">
        <f>ROUND('Operating Efficiency'!F9*'Capacity By Company'!F9,2)</f>
        <v>0</v>
      </c>
      <c r="G9" s="22">
        <f>ROUND('Operating Efficiency'!G9*'Capacity By Company'!G9,2)</f>
        <v>0</v>
      </c>
      <c r="H9" s="22">
        <f>ROUND('Operating Efficiency'!H9*'Capacity By Company'!H9,2)</f>
        <v>0</v>
      </c>
      <c r="I9" s="114">
        <f>ROUND('Operating Efficiency'!I9*'Capacity By Company'!I9,2)</f>
        <v>0</v>
      </c>
      <c r="J9" s="114">
        <f>ROUND('Operating Efficiency'!J9*'Capacity By Company'!J9,2)</f>
        <v>0</v>
      </c>
      <c r="K9" s="114">
        <f>ROUND('Operating Efficiency'!K9*'Capacity By Company'!K9,2)</f>
        <v>0</v>
      </c>
      <c r="L9" s="114">
        <f t="shared" si="0"/>
        <v>0</v>
      </c>
      <c r="M9" s="22">
        <f>ROUND('Operating Efficiency'!M9*'Capacity By Company'!M9,2)</f>
        <v>0</v>
      </c>
      <c r="N9" s="22">
        <f>ROUND('Operating Efficiency'!N9*'Capacity By Company'!N9,2)</f>
        <v>2040</v>
      </c>
      <c r="O9" s="22">
        <f>ROUND('Operating Efficiency'!O9*'Capacity By Company'!O9,2)</f>
        <v>2448</v>
      </c>
      <c r="P9" s="22">
        <f>ROUND('Operating Efficiency'!P9*'Capacity By Company'!P9,2)</f>
        <v>2516</v>
      </c>
      <c r="Q9" s="22">
        <f>ROUND('Operating Efficiency'!Q9*'Capacity By Company'!Q9,2)</f>
        <v>2584</v>
      </c>
      <c r="R9" s="22">
        <f>ROUND('Operating Efficiency'!R9*'Capacity By Company'!R9,2)</f>
        <v>2720</v>
      </c>
      <c r="S9" s="22">
        <f>ROUND('Operating Efficiency'!S9*'Capacity By Company'!S9,2)</f>
        <v>2788</v>
      </c>
      <c r="T9" s="22">
        <f>ROUND('Operating Efficiency'!T9*'Capacity By Company'!T9,2)</f>
        <v>2856</v>
      </c>
      <c r="U9" s="22">
        <f>ROUND('Operating Efficiency'!U9*'Capacity By Company'!U9,2)</f>
        <v>2924</v>
      </c>
      <c r="V9" s="22">
        <f>ROUND('Operating Efficiency'!V9*'Capacity By Company'!V9,2)</f>
        <v>2924</v>
      </c>
      <c r="W9" s="22">
        <f>ROUND('Operating Efficiency'!W9*'Capacity By Company'!W9,2)</f>
        <v>2924</v>
      </c>
    </row>
    <row r="10" spans="1:23" x14ac:dyDescent="0.25">
      <c r="A10" s="22" t="str">
        <f>'Capacity By Location'!D11</f>
        <v>Pemex</v>
      </c>
      <c r="B10" s="22">
        <f>ROUND('Operating Efficiency'!B10*'Capacity By Company'!B10,2)</f>
        <v>126</v>
      </c>
      <c r="C10" s="22">
        <f>ROUND('Operating Efficiency'!C10*'Capacity By Company'!C10,2)</f>
        <v>129.6</v>
      </c>
      <c r="D10" s="22">
        <f>ROUND('Operating Efficiency'!D10*'Capacity By Company'!D10,2)</f>
        <v>133.19999999999999</v>
      </c>
      <c r="E10" s="22">
        <f>ROUND('Operating Efficiency'!E10*'Capacity By Company'!E10,2)</f>
        <v>136.80000000000001</v>
      </c>
      <c r="F10" s="22">
        <f>ROUND('Operating Efficiency'!F10*'Capacity By Company'!F10,2)</f>
        <v>140.4</v>
      </c>
      <c r="G10" s="22">
        <f>ROUND('Operating Efficiency'!G10*'Capacity By Company'!G10,2)</f>
        <v>133.19999999999999</v>
      </c>
      <c r="H10" s="22">
        <f>ROUND('Operating Efficiency'!H10*'Capacity By Company'!H10,2)</f>
        <v>136.80000000000001</v>
      </c>
      <c r="I10" s="114">
        <f>ROUND('Operating Efficiency'!I10*'Capacity By Company'!I10,2)</f>
        <v>34.65</v>
      </c>
      <c r="J10" s="114">
        <f>ROUND('Operating Efficiency'!J10*'Capacity By Company'!J10,2)</f>
        <v>35.549999999999997</v>
      </c>
      <c r="K10" s="114">
        <f>ROUND('Operating Efficiency'!K10*'Capacity By Company'!K10,2)</f>
        <v>37.799999999999997</v>
      </c>
      <c r="L10" s="114">
        <f t="shared" si="0"/>
        <v>36.000000000000014</v>
      </c>
      <c r="M10" s="22">
        <f>ROUND('Operating Efficiency'!M10*'Capacity By Company'!M10,2)</f>
        <v>144</v>
      </c>
      <c r="N10" s="22">
        <f>ROUND('Operating Efficiency'!N10*'Capacity By Company'!N10,2)</f>
        <v>147.6</v>
      </c>
      <c r="O10" s="22">
        <f>ROUND('Operating Efficiency'!O10*'Capacity By Company'!O10,2)</f>
        <v>147.6</v>
      </c>
      <c r="P10" s="22">
        <f>ROUND('Operating Efficiency'!P10*'Capacity By Company'!P10,2)</f>
        <v>151.19999999999999</v>
      </c>
      <c r="Q10" s="22">
        <f>ROUND('Operating Efficiency'!Q10*'Capacity By Company'!Q10,2)</f>
        <v>153</v>
      </c>
      <c r="R10" s="22">
        <f>ROUND('Operating Efficiency'!R10*'Capacity By Company'!R10,2)</f>
        <v>154.80000000000001</v>
      </c>
      <c r="S10" s="22">
        <f>ROUND('Operating Efficiency'!S10*'Capacity By Company'!S10,2)</f>
        <v>154.80000000000001</v>
      </c>
      <c r="T10" s="22">
        <f>ROUND('Operating Efficiency'!T10*'Capacity By Company'!T10,2)</f>
        <v>154.80000000000001</v>
      </c>
      <c r="U10" s="22">
        <f>ROUND('Operating Efficiency'!U10*'Capacity By Company'!U10,2)</f>
        <v>158.4</v>
      </c>
      <c r="V10" s="22">
        <f>ROUND('Operating Efficiency'!V10*'Capacity By Company'!V10,2)</f>
        <v>158.4</v>
      </c>
      <c r="W10" s="22">
        <f>ROUND('Operating Efficiency'!W10*'Capacity By Company'!W10,2)</f>
        <v>158.4</v>
      </c>
    </row>
    <row r="11" spans="1:23" x14ac:dyDescent="0.25">
      <c r="A11" s="57" t="str">
        <f>'Capacity By Location'!D12</f>
        <v>Natgasoline LLC</v>
      </c>
      <c r="B11" s="22">
        <f>ROUND('Operating Efficiency'!B11*'Capacity By Company'!B11,2)</f>
        <v>0</v>
      </c>
      <c r="C11" s="22">
        <f>ROUND('Operating Efficiency'!C11*'Capacity By Company'!C11,2)</f>
        <v>0</v>
      </c>
      <c r="D11" s="22">
        <f>ROUND('Operating Efficiency'!D11*'Capacity By Company'!D11,2)</f>
        <v>0</v>
      </c>
      <c r="E11" s="22">
        <f>ROUND('Operating Efficiency'!E11*'Capacity By Company'!E11,2)</f>
        <v>939.64</v>
      </c>
      <c r="F11" s="22">
        <f>ROUND('Operating Efficiency'!F11*'Capacity By Company'!F11,2)</f>
        <v>1301.04</v>
      </c>
      <c r="G11" s="22">
        <f>ROUND('Operating Efficiency'!G11*'Capacity By Company'!G11,2)</f>
        <v>1264.9000000000001</v>
      </c>
      <c r="H11" s="22">
        <f>ROUND('Operating Efficiency'!H11*'Capacity By Company'!H11,2)</f>
        <v>1337.18</v>
      </c>
      <c r="I11" s="114">
        <f>ROUND('Operating Efficiency'!I11*'Capacity By Company'!I11,2)</f>
        <v>329.78</v>
      </c>
      <c r="J11" s="114">
        <f>ROUND('Operating Efficiency'!J11*'Capacity By Company'!J11,2)</f>
        <v>338.81</v>
      </c>
      <c r="K11" s="114">
        <f>ROUND('Operating Efficiency'!K11*'Capacity By Company'!K11,2)</f>
        <v>343.33</v>
      </c>
      <c r="L11" s="114">
        <f t="shared" si="0"/>
        <v>361.40000000000009</v>
      </c>
      <c r="M11" s="22">
        <f>ROUND('Operating Efficiency'!M11*'Capacity By Company'!M11,2)</f>
        <v>1373.32</v>
      </c>
      <c r="N11" s="22">
        <f>ROUND('Operating Efficiency'!N11*'Capacity By Company'!N11,2)</f>
        <v>1409.46</v>
      </c>
      <c r="O11" s="22">
        <f>ROUND('Operating Efficiency'!O11*'Capacity By Company'!O11,2)</f>
        <v>1445.6</v>
      </c>
      <c r="P11" s="22">
        <f>ROUND('Operating Efficiency'!P11*'Capacity By Company'!P11,2)</f>
        <v>1481.74</v>
      </c>
      <c r="Q11" s="22">
        <f>ROUND('Operating Efficiency'!Q11*'Capacity By Company'!Q11,2)</f>
        <v>1517.88</v>
      </c>
      <c r="R11" s="22">
        <f>ROUND('Operating Efficiency'!R11*'Capacity By Company'!R11,2)</f>
        <v>1535.95</v>
      </c>
      <c r="S11" s="22">
        <f>ROUND('Operating Efficiency'!S11*'Capacity By Company'!S11,2)</f>
        <v>1554.02</v>
      </c>
      <c r="T11" s="22">
        <f>ROUND('Operating Efficiency'!T11*'Capacity By Company'!T11,2)</f>
        <v>1554.02</v>
      </c>
      <c r="U11" s="22">
        <f>ROUND('Operating Efficiency'!U11*'Capacity By Company'!U11,2)</f>
        <v>1590.16</v>
      </c>
      <c r="V11" s="22">
        <f>ROUND('Operating Efficiency'!V11*'Capacity By Company'!V11,2)</f>
        <v>1590.16</v>
      </c>
      <c r="W11" s="22">
        <f>ROUND('Operating Efficiency'!W11*'Capacity By Company'!W11,2)</f>
        <v>1590.16</v>
      </c>
    </row>
    <row r="12" spans="1:23" x14ac:dyDescent="0.25">
      <c r="A12" s="22" t="str">
        <f>'Capacity By Location'!D13</f>
        <v xml:space="preserve">Pampa Fuels LLC  </v>
      </c>
      <c r="B12" s="22">
        <f>ROUND('Operating Efficiency'!B12*'Capacity By Company'!B12,2)</f>
        <v>28.8</v>
      </c>
      <c r="C12" s="22">
        <f>ROUND('Operating Efficiency'!C12*'Capacity By Company'!C12,2)</f>
        <v>48.1</v>
      </c>
      <c r="D12" s="22">
        <f>ROUND('Operating Efficiency'!D12*'Capacity By Company'!D12,2)</f>
        <v>49.4</v>
      </c>
      <c r="E12" s="22">
        <f>ROUND('Operating Efficiency'!E12*'Capacity By Company'!E12,2)</f>
        <v>50.7</v>
      </c>
      <c r="F12" s="22">
        <f>ROUND('Operating Efficiency'!F12*'Capacity By Company'!F12,2)</f>
        <v>52</v>
      </c>
      <c r="G12" s="22">
        <f>ROUND('Operating Efficiency'!G12*'Capacity By Company'!G12,2)</f>
        <v>49.4</v>
      </c>
      <c r="H12" s="22">
        <f>ROUND('Operating Efficiency'!H12*'Capacity By Company'!H12,2)</f>
        <v>50.7</v>
      </c>
      <c r="I12" s="114">
        <f>ROUND('Operating Efficiency'!I12*'Capacity By Company'!I12,2)</f>
        <v>12.19</v>
      </c>
      <c r="J12" s="114">
        <f>ROUND('Operating Efficiency'!J12*'Capacity By Company'!J12,2)</f>
        <v>13</v>
      </c>
      <c r="K12" s="114">
        <f>ROUND('Operating Efficiency'!K12*'Capacity By Company'!K12,2)</f>
        <v>13</v>
      </c>
      <c r="L12" s="114">
        <f t="shared" si="0"/>
        <v>12.510000000000005</v>
      </c>
      <c r="M12" s="22">
        <f>ROUND('Operating Efficiency'!M12*'Capacity By Company'!M12,2)</f>
        <v>50.7</v>
      </c>
      <c r="N12" s="22">
        <f>ROUND('Operating Efficiency'!N12*'Capacity By Company'!N12,2)</f>
        <v>52</v>
      </c>
      <c r="O12" s="22">
        <f>ROUND('Operating Efficiency'!O12*'Capacity By Company'!O12,2)</f>
        <v>53.3</v>
      </c>
      <c r="P12" s="22">
        <f>ROUND('Operating Efficiency'!P12*'Capacity By Company'!P12,2)</f>
        <v>53.95</v>
      </c>
      <c r="Q12" s="22">
        <f>ROUND('Operating Efficiency'!Q12*'Capacity By Company'!Q12,2)</f>
        <v>54.6</v>
      </c>
      <c r="R12" s="22">
        <f>ROUND('Operating Efficiency'!R12*'Capacity By Company'!R12,2)</f>
        <v>54.6</v>
      </c>
      <c r="S12" s="22">
        <f>ROUND('Operating Efficiency'!S12*'Capacity By Company'!S12,2)</f>
        <v>55.25</v>
      </c>
      <c r="T12" s="22">
        <f>ROUND('Operating Efficiency'!T12*'Capacity By Company'!T12,2)</f>
        <v>55.25</v>
      </c>
      <c r="U12" s="22">
        <f>ROUND('Operating Efficiency'!U12*'Capacity By Company'!U12,2)</f>
        <v>55.25</v>
      </c>
      <c r="V12" s="22">
        <f>ROUND('Operating Efficiency'!V12*'Capacity By Company'!V12,2)</f>
        <v>55.25</v>
      </c>
      <c r="W12" s="22">
        <f>ROUND('Operating Efficiency'!W12*'Capacity By Company'!W12,2)</f>
        <v>55.25</v>
      </c>
    </row>
    <row r="13" spans="1:23" x14ac:dyDescent="0.25">
      <c r="A13" s="22" t="str">
        <f>'Capacity By Location'!D14</f>
        <v>Praxair</v>
      </c>
      <c r="B13" s="22">
        <f>ROUND('Operating Efficiency'!B13*'Capacity By Company'!B13,2)</f>
        <v>29.7</v>
      </c>
      <c r="C13" s="22">
        <f>ROUND('Operating Efficiency'!C13*'Capacity By Company'!C13,2)</f>
        <v>30.6</v>
      </c>
      <c r="D13" s="22">
        <f>ROUND('Operating Efficiency'!D13*'Capacity By Company'!D13,2)</f>
        <v>31.5</v>
      </c>
      <c r="E13" s="22">
        <f>ROUND('Operating Efficiency'!E13*'Capacity By Company'!E13,2)</f>
        <v>32.4</v>
      </c>
      <c r="F13" s="22">
        <f>ROUND('Operating Efficiency'!F13*'Capacity By Company'!F13,2)</f>
        <v>33.299999999999997</v>
      </c>
      <c r="G13" s="22">
        <f>ROUND('Operating Efficiency'!G13*'Capacity By Company'!G13,2)</f>
        <v>31.5</v>
      </c>
      <c r="H13" s="22">
        <f>ROUND('Operating Efficiency'!H13*'Capacity By Company'!H13,2)</f>
        <v>33.299999999999997</v>
      </c>
      <c r="I13" s="114">
        <f>ROUND('Operating Efficiency'!I13*'Capacity By Company'!I13,2)</f>
        <v>8.2100000000000009</v>
      </c>
      <c r="J13" s="114">
        <f>ROUND('Operating Efficiency'!J13*'Capacity By Company'!J13,2)</f>
        <v>8.44</v>
      </c>
      <c r="K13" s="114">
        <f>ROUND('Operating Efficiency'!K13*'Capacity By Company'!K13,2)</f>
        <v>8.5500000000000007</v>
      </c>
      <c r="L13" s="114">
        <f t="shared" si="0"/>
        <v>9.0000000000000036</v>
      </c>
      <c r="M13" s="22">
        <f>ROUND('Operating Efficiency'!M13*'Capacity By Company'!M13,2)</f>
        <v>34.200000000000003</v>
      </c>
      <c r="N13" s="22">
        <f>ROUND('Operating Efficiency'!N13*'Capacity By Company'!N13,2)</f>
        <v>35.1</v>
      </c>
      <c r="O13" s="22">
        <f>ROUND('Operating Efficiency'!O13*'Capacity By Company'!O13,2)</f>
        <v>35.1</v>
      </c>
      <c r="P13" s="22">
        <f>ROUND('Operating Efficiency'!P13*'Capacity By Company'!P13,2)</f>
        <v>36</v>
      </c>
      <c r="Q13" s="22">
        <f>ROUND('Operating Efficiency'!Q13*'Capacity By Company'!Q13,2)</f>
        <v>36.9</v>
      </c>
      <c r="R13" s="22">
        <f>ROUND('Operating Efficiency'!R13*'Capacity By Company'!R13,2)</f>
        <v>36.9</v>
      </c>
      <c r="S13" s="22">
        <f>ROUND('Operating Efficiency'!S13*'Capacity By Company'!S13,2)</f>
        <v>37.35</v>
      </c>
      <c r="T13" s="22">
        <f>ROUND('Operating Efficiency'!T13*'Capacity By Company'!T13,2)</f>
        <v>37.799999999999997</v>
      </c>
      <c r="U13" s="22">
        <f>ROUND('Operating Efficiency'!U13*'Capacity By Company'!U13,2)</f>
        <v>37.799999999999997</v>
      </c>
      <c r="V13" s="22">
        <f>ROUND('Operating Efficiency'!V13*'Capacity By Company'!V13,2)</f>
        <v>37.799999999999997</v>
      </c>
      <c r="W13" s="22">
        <f>ROUND('Operating Efficiency'!W13*'Capacity By Company'!W13,2)</f>
        <v>37.799999999999997</v>
      </c>
    </row>
    <row r="14" spans="1:23" x14ac:dyDescent="0.25">
      <c r="A14" s="22" t="str">
        <f>'Capacity By Location'!D15</f>
        <v>Koch Methanol One</v>
      </c>
      <c r="B14" s="22">
        <f>ROUND('Operating Efficiency'!B14*'Capacity By Company'!B14,2)</f>
        <v>1120</v>
      </c>
      <c r="C14" s="22">
        <f>ROUND('Operating Efficiency'!C14*'Capacity By Company'!C14,2)</f>
        <v>1152</v>
      </c>
      <c r="D14" s="22">
        <f>ROUND('Operating Efficiency'!D14*'Capacity By Company'!D14,2)</f>
        <v>1184</v>
      </c>
      <c r="E14" s="22">
        <f>ROUND('Operating Efficiency'!E14*'Capacity By Company'!E14,2)</f>
        <v>1216</v>
      </c>
      <c r="F14" s="22">
        <f>ROUND('Operating Efficiency'!F14*'Capacity By Company'!F14,2)</f>
        <v>1248</v>
      </c>
      <c r="G14" s="22">
        <f>ROUND('Operating Efficiency'!G14*'Capacity By Company'!G14,2)</f>
        <v>1152</v>
      </c>
      <c r="H14" s="22">
        <f>ROUND('Operating Efficiency'!H14*'Capacity By Company'!H14,2)</f>
        <v>1184</v>
      </c>
      <c r="I14" s="114">
        <f>ROUND('Operating Efficiency'!I14*'Capacity By Company'!I14,2)</f>
        <v>292</v>
      </c>
      <c r="J14" s="114">
        <f>ROUND('Operating Efficiency'!J14*'Capacity By Company'!J14,2)</f>
        <v>300</v>
      </c>
      <c r="K14" s="114">
        <f>ROUND('Operating Efficiency'!K14*'Capacity By Company'!K14,2)</f>
        <v>312</v>
      </c>
      <c r="L14" s="114">
        <f t="shared" si="0"/>
        <v>312</v>
      </c>
      <c r="M14" s="22">
        <f>ROUND('Operating Efficiency'!M14*'Capacity By Company'!M14,2)</f>
        <v>1216</v>
      </c>
      <c r="N14" s="22">
        <f>ROUND('Operating Efficiency'!N14*'Capacity By Company'!N14,2)</f>
        <v>1248</v>
      </c>
      <c r="O14" s="22">
        <f>ROUND('Operating Efficiency'!O14*'Capacity By Company'!O14,2)</f>
        <v>1280</v>
      </c>
      <c r="P14" s="22">
        <f>ROUND('Operating Efficiency'!P14*'Capacity By Company'!P14,2)</f>
        <v>1312</v>
      </c>
      <c r="Q14" s="22">
        <f>ROUND('Operating Efficiency'!Q14*'Capacity By Company'!Q14,2)</f>
        <v>1328</v>
      </c>
      <c r="R14" s="22">
        <f>ROUND('Operating Efficiency'!R14*'Capacity By Company'!R14,2)</f>
        <v>1328</v>
      </c>
      <c r="S14" s="22">
        <f>ROUND('Operating Efficiency'!S14*'Capacity By Company'!S14,2)</f>
        <v>1328</v>
      </c>
      <c r="T14" s="22">
        <f>ROUND('Operating Efficiency'!T14*'Capacity By Company'!T14,2)</f>
        <v>1344</v>
      </c>
      <c r="U14" s="22">
        <f>ROUND('Operating Efficiency'!U14*'Capacity By Company'!U14,2)</f>
        <v>1344</v>
      </c>
      <c r="V14" s="22">
        <f>ROUND('Operating Efficiency'!V14*'Capacity By Company'!V14,2)</f>
        <v>1344</v>
      </c>
      <c r="W14" s="22">
        <f>ROUND('Operating Efficiency'!W14*'Capacity By Company'!W14,2)</f>
        <v>1344</v>
      </c>
    </row>
    <row r="15" spans="1:23" x14ac:dyDescent="0.25">
      <c r="A15" s="22" t="str">
        <f>'Capacity By Location'!D19</f>
        <v>Methanol Holdings (Trinidad) Limited (MHTL)</v>
      </c>
      <c r="B15" s="22">
        <f>ROUND('Operating Efficiency'!B15*'Capacity By Company'!B15,2)</f>
        <v>2880</v>
      </c>
      <c r="C15" s="22">
        <f>ROUND('Operating Efficiency'!C15*'Capacity By Company'!C15,2)</f>
        <v>2960</v>
      </c>
      <c r="D15" s="22">
        <f>ROUND('Operating Efficiency'!D15*'Capacity By Company'!D15,2)</f>
        <v>3040</v>
      </c>
      <c r="E15" s="22">
        <f>ROUND('Operating Efficiency'!E15*'Capacity By Company'!E15,2)</f>
        <v>3120</v>
      </c>
      <c r="F15" s="22">
        <f>ROUND('Operating Efficiency'!F15*'Capacity By Company'!F15,2)</f>
        <v>3200</v>
      </c>
      <c r="G15" s="22">
        <f>ROUND('Operating Efficiency'!G15*'Capacity By Company'!G15,2)</f>
        <v>2920</v>
      </c>
      <c r="H15" s="22">
        <f>ROUND('Operating Efficiency'!H15*'Capacity By Company'!H15,2)</f>
        <v>2960</v>
      </c>
      <c r="I15" s="114">
        <f>ROUND('Operating Efficiency'!I15*'Capacity By Company'!I15,2)</f>
        <v>750</v>
      </c>
      <c r="J15" s="114">
        <f>ROUND('Operating Efficiency'!J15*'Capacity By Company'!J15,2)</f>
        <v>770</v>
      </c>
      <c r="K15" s="114">
        <f>ROUND('Operating Efficiency'!K15*'Capacity By Company'!K15,2)</f>
        <v>790</v>
      </c>
      <c r="L15" s="114">
        <f t="shared" si="0"/>
        <v>810</v>
      </c>
      <c r="M15" s="22">
        <f>ROUND('Operating Efficiency'!M15*'Capacity By Company'!M15,2)</f>
        <v>3120</v>
      </c>
      <c r="N15" s="22">
        <f>ROUND('Operating Efficiency'!N15*'Capacity By Company'!N15,2)</f>
        <v>3200</v>
      </c>
      <c r="O15" s="22">
        <f>ROUND('Operating Efficiency'!O15*'Capacity By Company'!O15,2)</f>
        <v>3200</v>
      </c>
      <c r="P15" s="22">
        <f>ROUND('Operating Efficiency'!P15*'Capacity By Company'!P15,2)</f>
        <v>3280</v>
      </c>
      <c r="Q15" s="22">
        <f>ROUND('Operating Efficiency'!Q15*'Capacity By Company'!Q15,2)</f>
        <v>3360</v>
      </c>
      <c r="R15" s="22">
        <f>ROUND('Operating Efficiency'!R15*'Capacity By Company'!R15,2)</f>
        <v>3360</v>
      </c>
      <c r="S15" s="22">
        <f>ROUND('Operating Efficiency'!S15*'Capacity By Company'!S15,2)</f>
        <v>3360</v>
      </c>
      <c r="T15" s="22">
        <f>ROUND('Operating Efficiency'!T15*'Capacity By Company'!T15,2)</f>
        <v>3400</v>
      </c>
      <c r="U15" s="22">
        <f>ROUND('Operating Efficiency'!U15*'Capacity By Company'!U15,2)</f>
        <v>3400</v>
      </c>
      <c r="V15" s="22">
        <f>ROUND('Operating Efficiency'!V15*'Capacity By Company'!V15,2)</f>
        <v>3400</v>
      </c>
      <c r="W15" s="22">
        <f>ROUND('Operating Efficiency'!W15*'Capacity By Company'!W15,2)</f>
        <v>3400</v>
      </c>
    </row>
    <row r="16" spans="1:23" x14ac:dyDescent="0.25">
      <c r="A16" s="22" t="str">
        <f>'Capacity By Location'!D24</f>
        <v>CGCL/Mitsubishi</v>
      </c>
      <c r="B16" s="22">
        <f>ROUND('Operating Efficiency'!B16*'Capacity By Company'!B16,2)</f>
        <v>700</v>
      </c>
      <c r="C16" s="22">
        <f>ROUND('Operating Efficiency'!C16*'Capacity By Company'!C16,2)</f>
        <v>720</v>
      </c>
      <c r="D16" s="22">
        <f>ROUND('Operating Efficiency'!D16*'Capacity By Company'!D16,2)</f>
        <v>740</v>
      </c>
      <c r="E16" s="22">
        <f>ROUND('Operating Efficiency'!E16*'Capacity By Company'!E16,2)</f>
        <v>760</v>
      </c>
      <c r="F16" s="22">
        <f>ROUND('Operating Efficiency'!F16*'Capacity By Company'!F16,2)</f>
        <v>800</v>
      </c>
      <c r="G16" s="22">
        <f>ROUND('Operating Efficiency'!G16*'Capacity By Company'!G16,2)</f>
        <v>720</v>
      </c>
      <c r="H16" s="22">
        <f>ROUND('Operating Efficiency'!H16*'Capacity By Company'!H16,2)</f>
        <v>740</v>
      </c>
      <c r="I16" s="114">
        <f>ROUND('Operating Efficiency'!I16*'Capacity By Company'!I16,2)</f>
        <v>185</v>
      </c>
      <c r="J16" s="114">
        <f>ROUND('Operating Efficiency'!J16*'Capacity By Company'!J16,2)</f>
        <v>190</v>
      </c>
      <c r="K16" s="114">
        <f>ROUND('Operating Efficiency'!K16*'Capacity By Company'!K16,2)</f>
        <v>192.5</v>
      </c>
      <c r="L16" s="114">
        <f t="shared" si="0"/>
        <v>192.5</v>
      </c>
      <c r="M16" s="22">
        <f>ROUND('Operating Efficiency'!M16*'Capacity By Company'!M16,2)</f>
        <v>760</v>
      </c>
      <c r="N16" s="22">
        <f>ROUND('Operating Efficiency'!N16*'Capacity By Company'!N16,2)</f>
        <v>800</v>
      </c>
      <c r="O16" s="22">
        <f>ROUND('Operating Efficiency'!O16*'Capacity By Company'!O16,2)</f>
        <v>800</v>
      </c>
      <c r="P16" s="22">
        <f>ROUND('Operating Efficiency'!P16*'Capacity By Company'!P16,2)</f>
        <v>820</v>
      </c>
      <c r="Q16" s="22">
        <f>ROUND('Operating Efficiency'!Q16*'Capacity By Company'!Q16,2)</f>
        <v>840</v>
      </c>
      <c r="R16" s="22">
        <f>ROUND('Operating Efficiency'!R16*'Capacity By Company'!R16,2)</f>
        <v>840</v>
      </c>
      <c r="S16" s="22">
        <f>ROUND('Operating Efficiency'!S16*'Capacity By Company'!S16,2)</f>
        <v>840</v>
      </c>
      <c r="T16" s="22">
        <f>ROUND('Operating Efficiency'!T16*'Capacity By Company'!T16,2)</f>
        <v>850</v>
      </c>
      <c r="U16" s="22">
        <f>ROUND('Operating Efficiency'!U16*'Capacity By Company'!U16,2)</f>
        <v>850</v>
      </c>
      <c r="V16" s="22">
        <f>ROUND('Operating Efficiency'!V16*'Capacity By Company'!V16,2)</f>
        <v>850</v>
      </c>
      <c r="W16" s="22">
        <f>ROUND('Operating Efficiency'!W16*'Capacity By Company'!W16,2)</f>
        <v>850</v>
      </c>
    </row>
    <row r="17" spans="1:23" x14ac:dyDescent="0.25">
      <c r="A17" s="22" t="str">
        <f>'Capacity By Location'!D25</f>
        <v>YPF</v>
      </c>
      <c r="B17" s="22">
        <f>ROUND('Operating Efficiency'!B17*'Capacity By Company'!B17,2)</f>
        <v>302.39999999999998</v>
      </c>
      <c r="C17" s="22">
        <f>ROUND('Operating Efficiency'!C17*'Capacity By Company'!C17,2)</f>
        <v>306.60000000000002</v>
      </c>
      <c r="D17" s="22">
        <f>ROUND('Operating Efficiency'!D17*'Capacity By Company'!D17,2)</f>
        <v>310.8</v>
      </c>
      <c r="E17" s="22">
        <f>ROUND('Operating Efficiency'!E17*'Capacity By Company'!E17,2)</f>
        <v>319.2</v>
      </c>
      <c r="F17" s="22">
        <f>ROUND('Operating Efficiency'!F17*'Capacity By Company'!F17,2)</f>
        <v>336</v>
      </c>
      <c r="G17" s="22">
        <f>ROUND('Operating Efficiency'!G17*'Capacity By Company'!G17,2)</f>
        <v>285.60000000000002</v>
      </c>
      <c r="H17" s="22">
        <f>ROUND('Operating Efficiency'!H17*'Capacity By Company'!H17,2)</f>
        <v>294</v>
      </c>
      <c r="I17" s="114">
        <f>ROUND('Operating Efficiency'!I17*'Capacity By Company'!I17,2)</f>
        <v>72.45</v>
      </c>
      <c r="J17" s="114">
        <f>ROUND('Operating Efficiency'!J17*'Capacity By Company'!J17,2)</f>
        <v>76.650000000000006</v>
      </c>
      <c r="K17" s="114">
        <f>ROUND('Operating Efficiency'!K17*'Capacity By Company'!K17,2)</f>
        <v>78.75</v>
      </c>
      <c r="L17" s="114">
        <f t="shared" si="0"/>
        <v>74.549999999999955</v>
      </c>
      <c r="M17" s="22">
        <f>ROUND('Operating Efficiency'!M17*'Capacity By Company'!M17,2)</f>
        <v>302.39999999999998</v>
      </c>
      <c r="N17" s="22">
        <f>ROUND('Operating Efficiency'!N17*'Capacity By Company'!N17,2)</f>
        <v>306.60000000000002</v>
      </c>
      <c r="O17" s="22">
        <f>ROUND('Operating Efficiency'!O17*'Capacity By Company'!O17,2)</f>
        <v>310.8</v>
      </c>
      <c r="P17" s="22">
        <f>ROUND('Operating Efficiency'!P17*'Capacity By Company'!P17,2)</f>
        <v>319.2</v>
      </c>
      <c r="Q17" s="22">
        <f>ROUND('Operating Efficiency'!Q17*'Capacity By Company'!Q17,2)</f>
        <v>327.60000000000002</v>
      </c>
      <c r="R17" s="22">
        <f>ROUND('Operating Efficiency'!R17*'Capacity By Company'!R17,2)</f>
        <v>336</v>
      </c>
      <c r="S17" s="22">
        <f>ROUND('Operating Efficiency'!S17*'Capacity By Company'!S17,2)</f>
        <v>344.4</v>
      </c>
      <c r="T17" s="22">
        <f>ROUND('Operating Efficiency'!T17*'Capacity By Company'!T17,2)</f>
        <v>344.4</v>
      </c>
      <c r="U17" s="22">
        <f>ROUND('Operating Efficiency'!U17*'Capacity By Company'!U17,2)</f>
        <v>352.8</v>
      </c>
      <c r="V17" s="22">
        <f>ROUND('Operating Efficiency'!V17*'Capacity By Company'!V17,2)</f>
        <v>352.8</v>
      </c>
      <c r="W17" s="22">
        <f>ROUND('Operating Efficiency'!W17*'Capacity By Company'!W17,2)</f>
        <v>352.8</v>
      </c>
    </row>
    <row r="18" spans="1:23" x14ac:dyDescent="0.25">
      <c r="A18" s="22" t="str">
        <f>'Capacity By Location'!D26</f>
        <v>Metor</v>
      </c>
      <c r="B18" s="22">
        <f>ROUND('Operating Efficiency'!B18*'Capacity By Company'!B18,2)</f>
        <v>1156</v>
      </c>
      <c r="C18" s="22">
        <f>ROUND('Operating Efficiency'!C18*'Capacity By Company'!C18,2)</f>
        <v>1190</v>
      </c>
      <c r="D18" s="22">
        <f>ROUND('Operating Efficiency'!D18*'Capacity By Company'!D18,2)</f>
        <v>1224</v>
      </c>
      <c r="E18" s="22">
        <f>ROUND('Operating Efficiency'!E18*'Capacity By Company'!E18,2)</f>
        <v>1241</v>
      </c>
      <c r="F18" s="22">
        <f>ROUND('Operating Efficiency'!F18*'Capacity By Company'!F18,2)</f>
        <v>1258</v>
      </c>
      <c r="G18" s="22">
        <f>ROUND('Operating Efficiency'!G18*'Capacity By Company'!G18,2)</f>
        <v>1190</v>
      </c>
      <c r="H18" s="22">
        <f>ROUND('Operating Efficiency'!H18*'Capacity By Company'!H18,2)</f>
        <v>1224</v>
      </c>
      <c r="I18" s="114">
        <f>ROUND('Operating Efficiency'!I18*'Capacity By Company'!I18,2)</f>
        <v>310.25</v>
      </c>
      <c r="J18" s="114">
        <f>ROUND('Operating Efficiency'!J18*'Capacity By Company'!J18,2)</f>
        <v>323</v>
      </c>
      <c r="K18" s="114">
        <f>ROUND('Operating Efficiency'!K18*'Capacity By Company'!K18,2)</f>
        <v>327.25</v>
      </c>
      <c r="L18" s="114">
        <f t="shared" si="0"/>
        <v>331.5</v>
      </c>
      <c r="M18" s="22">
        <f>ROUND('Operating Efficiency'!M18*'Capacity By Company'!M18,2)</f>
        <v>1292</v>
      </c>
      <c r="N18" s="22">
        <f>ROUND('Operating Efficiency'!N18*'Capacity By Company'!N18,2)</f>
        <v>1292</v>
      </c>
      <c r="O18" s="22">
        <f>ROUND('Operating Efficiency'!O18*'Capacity By Company'!O18,2)</f>
        <v>1326</v>
      </c>
      <c r="P18" s="22">
        <f>ROUND('Operating Efficiency'!P18*'Capacity By Company'!P18,2)</f>
        <v>1360</v>
      </c>
      <c r="Q18" s="22">
        <f>ROUND('Operating Efficiency'!Q18*'Capacity By Company'!Q18,2)</f>
        <v>1394</v>
      </c>
      <c r="R18" s="22">
        <f>ROUND('Operating Efficiency'!R18*'Capacity By Company'!R18,2)</f>
        <v>1411</v>
      </c>
      <c r="S18" s="22">
        <f>ROUND('Operating Efficiency'!S18*'Capacity By Company'!S18,2)</f>
        <v>1428</v>
      </c>
      <c r="T18" s="22">
        <f>ROUND('Operating Efficiency'!T18*'Capacity By Company'!T18,2)</f>
        <v>1428</v>
      </c>
      <c r="U18" s="22">
        <f>ROUND('Operating Efficiency'!U18*'Capacity By Company'!U18,2)</f>
        <v>1445</v>
      </c>
      <c r="V18" s="22">
        <f>ROUND('Operating Efficiency'!V18*'Capacity By Company'!V18,2)</f>
        <v>1445</v>
      </c>
      <c r="W18" s="22">
        <f>ROUND('Operating Efficiency'!W18*'Capacity By Company'!W18,2)</f>
        <v>1445</v>
      </c>
    </row>
    <row r="19" spans="1:23" x14ac:dyDescent="0.25">
      <c r="A19" s="22" t="str">
        <f>'Capacity By Location'!D28</f>
        <v>Supermetanol</v>
      </c>
      <c r="B19" s="22">
        <f>ROUND('Operating Efficiency'!B19*'Capacity By Company'!B19,2)</f>
        <v>553</v>
      </c>
      <c r="C19" s="22">
        <f>ROUND('Operating Efficiency'!C19*'Capacity By Company'!C19,2)</f>
        <v>568.79999999999995</v>
      </c>
      <c r="D19" s="22">
        <f>ROUND('Operating Efficiency'!D19*'Capacity By Company'!D19,2)</f>
        <v>576.70000000000005</v>
      </c>
      <c r="E19" s="22">
        <f>ROUND('Operating Efficiency'!E19*'Capacity By Company'!E19,2)</f>
        <v>584.6</v>
      </c>
      <c r="F19" s="22">
        <f>ROUND('Operating Efficiency'!F19*'Capacity By Company'!F19,2)</f>
        <v>600.4</v>
      </c>
      <c r="G19" s="22">
        <f>ROUND('Operating Efficiency'!G19*'Capacity By Company'!G19,2)</f>
        <v>537.20000000000005</v>
      </c>
      <c r="H19" s="22">
        <f>ROUND('Operating Efficiency'!H19*'Capacity By Company'!H19,2)</f>
        <v>553</v>
      </c>
      <c r="I19" s="114">
        <f>ROUND('Operating Efficiency'!I19*'Capacity By Company'!I19,2)</f>
        <v>140.22999999999999</v>
      </c>
      <c r="J19" s="114">
        <f>ROUND('Operating Efficiency'!J19*'Capacity By Company'!J19,2)</f>
        <v>146.15</v>
      </c>
      <c r="K19" s="114">
        <f>ROUND('Operating Efficiency'!K19*'Capacity By Company'!K19,2)</f>
        <v>152.08000000000001</v>
      </c>
      <c r="L19" s="114">
        <f t="shared" si="0"/>
        <v>146.13999999999999</v>
      </c>
      <c r="M19" s="22">
        <f>ROUND('Operating Efficiency'!M19*'Capacity By Company'!M19,2)</f>
        <v>584.6</v>
      </c>
      <c r="N19" s="22">
        <f>ROUND('Operating Efficiency'!N19*'Capacity By Company'!N19,2)</f>
        <v>600.4</v>
      </c>
      <c r="O19" s="22">
        <f>ROUND('Operating Efficiency'!O19*'Capacity By Company'!O19,2)</f>
        <v>616.20000000000005</v>
      </c>
      <c r="P19" s="22">
        <f>ROUND('Operating Efficiency'!P19*'Capacity By Company'!P19,2)</f>
        <v>632</v>
      </c>
      <c r="Q19" s="22">
        <f>ROUND('Operating Efficiency'!Q19*'Capacity By Company'!Q19,2)</f>
        <v>632</v>
      </c>
      <c r="R19" s="22">
        <f>ROUND('Operating Efficiency'!R19*'Capacity By Company'!R19,2)</f>
        <v>647.79999999999995</v>
      </c>
      <c r="S19" s="22">
        <f>ROUND('Operating Efficiency'!S19*'Capacity By Company'!S19,2)</f>
        <v>647.79999999999995</v>
      </c>
      <c r="T19" s="22">
        <f>ROUND('Operating Efficiency'!T19*'Capacity By Company'!T19,2)</f>
        <v>663.6</v>
      </c>
      <c r="U19" s="22">
        <f>ROUND('Operating Efficiency'!U19*'Capacity By Company'!U19,2)</f>
        <v>663.6</v>
      </c>
      <c r="V19" s="22">
        <f>ROUND('Operating Efficiency'!V19*'Capacity By Company'!V19,2)</f>
        <v>663.6</v>
      </c>
      <c r="W19" s="22">
        <f>ROUND('Operating Efficiency'!W19*'Capacity By Company'!W19,2)</f>
        <v>663.6</v>
      </c>
    </row>
    <row r="20" spans="1:23" x14ac:dyDescent="0.25">
      <c r="A20" s="22" t="str">
        <f>'Capacity By Location'!D29</f>
        <v>Mitsubishi Gas Chemical</v>
      </c>
      <c r="B20" s="22">
        <f>ROUND('Operating Efficiency'!B20*'Capacity By Company'!B20,2)</f>
        <v>4321.5</v>
      </c>
      <c r="C20" s="22">
        <f>ROUND('Operating Efficiency'!C20*'Capacity By Company'!C20,2)</f>
        <v>4515</v>
      </c>
      <c r="D20" s="22">
        <f>ROUND('Operating Efficiency'!D20*'Capacity By Company'!D20,2)</f>
        <v>4644</v>
      </c>
      <c r="E20" s="22">
        <f>ROUND('Operating Efficiency'!E20*'Capacity By Company'!E20,2)</f>
        <v>4773</v>
      </c>
      <c r="F20" s="22">
        <f>ROUND('Operating Efficiency'!F20*'Capacity By Company'!F20,2)</f>
        <v>5031</v>
      </c>
      <c r="G20" s="22">
        <f>ROUND('Operating Efficiency'!G20*'Capacity By Company'!G20,2)</f>
        <v>4773</v>
      </c>
      <c r="H20" s="22">
        <f>ROUND('Operating Efficiency'!H20*'Capacity By Company'!H20,2)</f>
        <v>4902</v>
      </c>
      <c r="I20" s="114">
        <f>ROUND('Operating Efficiency'!I20*'Capacity By Company'!I20,2)</f>
        <v>1209.3800000000001</v>
      </c>
      <c r="J20" s="114">
        <f>ROUND('Operating Efficiency'!J20*'Capacity By Company'!J20,2)</f>
        <v>1257.75</v>
      </c>
      <c r="K20" s="114">
        <f>ROUND('Operating Efficiency'!K20*'Capacity By Company'!K20,2)</f>
        <v>1273.8800000000001</v>
      </c>
      <c r="L20" s="114">
        <f t="shared" si="0"/>
        <v>1289.9899999999998</v>
      </c>
      <c r="M20" s="22">
        <f>ROUND('Operating Efficiency'!M20*'Capacity By Company'!M20,2)</f>
        <v>5031</v>
      </c>
      <c r="N20" s="22">
        <f>ROUND('Operating Efficiency'!N20*'Capacity By Company'!N20,2)</f>
        <v>5031</v>
      </c>
      <c r="O20" s="22">
        <f>ROUND('Operating Efficiency'!O20*'Capacity By Company'!O20,2)</f>
        <v>5160</v>
      </c>
      <c r="P20" s="22">
        <f>ROUND('Operating Efficiency'!P20*'Capacity By Company'!P20,2)</f>
        <v>5160</v>
      </c>
      <c r="Q20" s="22">
        <f>ROUND('Operating Efficiency'!Q20*'Capacity By Company'!Q20,2)</f>
        <v>5289</v>
      </c>
      <c r="R20" s="22">
        <f>ROUND('Operating Efficiency'!R20*'Capacity By Company'!R20,2)</f>
        <v>5289</v>
      </c>
      <c r="S20" s="22">
        <f>ROUND('Operating Efficiency'!S20*'Capacity By Company'!S20,2)</f>
        <v>5418</v>
      </c>
      <c r="T20" s="22">
        <f>ROUND('Operating Efficiency'!T20*'Capacity By Company'!T20,2)</f>
        <v>5418</v>
      </c>
      <c r="U20" s="22">
        <f>ROUND('Operating Efficiency'!U20*'Capacity By Company'!U20,2)</f>
        <v>5547</v>
      </c>
      <c r="V20" s="22">
        <f>ROUND('Operating Efficiency'!V20*'Capacity By Company'!V20,2)</f>
        <v>5547</v>
      </c>
      <c r="W20" s="22">
        <f>ROUND('Operating Efficiency'!W20*'Capacity By Company'!W20,2)</f>
        <v>5547</v>
      </c>
    </row>
    <row r="21" spans="1:23" x14ac:dyDescent="0.25">
      <c r="A21" s="22" t="str">
        <f>'Capacity By Location'!D30</f>
        <v>BASF</v>
      </c>
      <c r="B21" s="22">
        <f>ROUND('Operating Efficiency'!B21*'Capacity By Company'!B21,2)</f>
        <v>0</v>
      </c>
      <c r="C21" s="22">
        <f>ROUND('Operating Efficiency'!C21*'Capacity By Company'!C21,2)</f>
        <v>0</v>
      </c>
      <c r="D21" s="22">
        <f>ROUND('Operating Efficiency'!D21*'Capacity By Company'!D21,2)</f>
        <v>0</v>
      </c>
      <c r="E21" s="22">
        <f>ROUND('Operating Efficiency'!E21*'Capacity By Company'!E21,2)</f>
        <v>249.6</v>
      </c>
      <c r="F21" s="22">
        <f>ROUND('Operating Efficiency'!F21*'Capacity By Company'!F21,2)</f>
        <v>345.6</v>
      </c>
      <c r="G21" s="22">
        <f>ROUND('Operating Efficiency'!G21*'Capacity By Company'!G21,2)</f>
        <v>336</v>
      </c>
      <c r="H21" s="22">
        <f>ROUND('Operating Efficiency'!H21*'Capacity By Company'!H21,2)</f>
        <v>355.2</v>
      </c>
      <c r="I21" s="114">
        <f>ROUND('Operating Efficiency'!I21*'Capacity By Company'!I21,2)</f>
        <v>84</v>
      </c>
      <c r="J21" s="114">
        <f>ROUND('Operating Efficiency'!J21*'Capacity By Company'!J21,2)</f>
        <v>90</v>
      </c>
      <c r="K21" s="114">
        <f>ROUND('Operating Efficiency'!K21*'Capacity By Company'!K21,2)</f>
        <v>92.4</v>
      </c>
      <c r="L21" s="114">
        <f t="shared" si="0"/>
        <v>98.400000000000034</v>
      </c>
      <c r="M21" s="22">
        <f>ROUND('Operating Efficiency'!M21*'Capacity By Company'!M21,2)</f>
        <v>364.8</v>
      </c>
      <c r="N21" s="22">
        <f>ROUND('Operating Efficiency'!N21*'Capacity By Company'!N21,2)</f>
        <v>374.4</v>
      </c>
      <c r="O21" s="22">
        <f>ROUND('Operating Efficiency'!O21*'Capacity By Company'!O21,2)</f>
        <v>384</v>
      </c>
      <c r="P21" s="22">
        <f>ROUND('Operating Efficiency'!P21*'Capacity By Company'!P21,2)</f>
        <v>393.6</v>
      </c>
      <c r="Q21" s="22">
        <f>ROUND('Operating Efficiency'!Q21*'Capacity By Company'!Q21,2)</f>
        <v>403.2</v>
      </c>
      <c r="R21" s="22">
        <f>ROUND('Operating Efficiency'!R21*'Capacity By Company'!R21,2)</f>
        <v>408</v>
      </c>
      <c r="S21" s="22">
        <f>ROUND('Operating Efficiency'!S21*'Capacity By Company'!S21,2)</f>
        <v>412.8</v>
      </c>
      <c r="T21" s="22">
        <f>ROUND('Operating Efficiency'!T21*'Capacity By Company'!T21,2)</f>
        <v>412.8</v>
      </c>
      <c r="U21" s="22">
        <f>ROUND('Operating Efficiency'!U21*'Capacity By Company'!U21,2)</f>
        <v>412.8</v>
      </c>
      <c r="V21" s="22">
        <f>ROUND('Operating Efficiency'!V21*'Capacity By Company'!V21,2)</f>
        <v>422.4</v>
      </c>
      <c r="W21" s="22">
        <f>ROUND('Operating Efficiency'!W21*'Capacity By Company'!W21,2)</f>
        <v>422.4</v>
      </c>
    </row>
    <row r="22" spans="1:23" x14ac:dyDescent="0.25">
      <c r="A22" s="22" t="str">
        <f>'Capacity By Location'!D31</f>
        <v>BP Refining &amp; Petrochemicals</v>
      </c>
      <c r="B22" s="22">
        <f>ROUND('Operating Efficiency'!B22*'Capacity By Company'!B22,2)</f>
        <v>210</v>
      </c>
      <c r="C22" s="22">
        <f>ROUND('Operating Efficiency'!C22*'Capacity By Company'!C22,2)</f>
        <v>216</v>
      </c>
      <c r="D22" s="22">
        <f>ROUND('Operating Efficiency'!D22*'Capacity By Company'!D22,2)</f>
        <v>222</v>
      </c>
      <c r="E22" s="22">
        <f>ROUND('Operating Efficiency'!E22*'Capacity By Company'!E22,2)</f>
        <v>228</v>
      </c>
      <c r="F22" s="22">
        <f>ROUND('Operating Efficiency'!F22*'Capacity By Company'!F22,2)</f>
        <v>240</v>
      </c>
      <c r="G22" s="22">
        <f>ROUND('Operating Efficiency'!G22*'Capacity By Company'!G22,2)</f>
        <v>222</v>
      </c>
      <c r="H22" s="22">
        <f>ROUND('Operating Efficiency'!H22*'Capacity By Company'!H22,2)</f>
        <v>228</v>
      </c>
      <c r="I22" s="114">
        <f>ROUND('Operating Efficiency'!I22*'Capacity By Company'!I22,2)</f>
        <v>56.25</v>
      </c>
      <c r="J22" s="114">
        <f>ROUND('Operating Efficiency'!J22*'Capacity By Company'!J22,2)</f>
        <v>57</v>
      </c>
      <c r="K22" s="114">
        <f>ROUND('Operating Efficiency'!K22*'Capacity By Company'!K22,2)</f>
        <v>61.5</v>
      </c>
      <c r="L22" s="114">
        <f t="shared" si="0"/>
        <v>59.25</v>
      </c>
      <c r="M22" s="22">
        <f>ROUND('Operating Efficiency'!M22*'Capacity By Company'!M22,2)</f>
        <v>234</v>
      </c>
      <c r="N22" s="22">
        <f>ROUND('Operating Efficiency'!N22*'Capacity By Company'!N22,2)</f>
        <v>240</v>
      </c>
      <c r="O22" s="22">
        <f>ROUND('Operating Efficiency'!O22*'Capacity By Company'!O22,2)</f>
        <v>246</v>
      </c>
      <c r="P22" s="22">
        <f>ROUND('Operating Efficiency'!P22*'Capacity By Company'!P22,2)</f>
        <v>252</v>
      </c>
      <c r="Q22" s="22">
        <f>ROUND('Operating Efficiency'!Q22*'Capacity By Company'!Q22,2)</f>
        <v>252</v>
      </c>
      <c r="R22" s="22">
        <f>ROUND('Operating Efficiency'!R22*'Capacity By Company'!R22,2)</f>
        <v>258</v>
      </c>
      <c r="S22" s="22">
        <f>ROUND('Operating Efficiency'!S22*'Capacity By Company'!S22,2)</f>
        <v>258</v>
      </c>
      <c r="T22" s="22">
        <f>ROUND('Operating Efficiency'!T22*'Capacity By Company'!T22,2)</f>
        <v>258</v>
      </c>
      <c r="U22" s="22">
        <f>ROUND('Operating Efficiency'!U22*'Capacity By Company'!U22,2)</f>
        <v>264</v>
      </c>
      <c r="V22" s="22">
        <f>ROUND('Operating Efficiency'!V22*'Capacity By Company'!V22,2)</f>
        <v>264</v>
      </c>
      <c r="W22" s="22">
        <f>ROUND('Operating Efficiency'!W22*'Capacity By Company'!W22,2)</f>
        <v>264</v>
      </c>
    </row>
    <row r="23" spans="1:23" x14ac:dyDescent="0.25">
      <c r="A23" s="22" t="str">
        <f>'Capacity By Location'!D32</f>
        <v>MSK</v>
      </c>
      <c r="B23" s="22">
        <f>ROUND('Operating Efficiency'!B23*'Capacity By Company'!B23,2)</f>
        <v>128</v>
      </c>
      <c r="C23" s="22">
        <f>ROUND('Operating Efficiency'!C23*'Capacity By Company'!C23,2)</f>
        <v>136</v>
      </c>
      <c r="D23" s="22">
        <f>ROUND('Operating Efficiency'!D23*'Capacity By Company'!D23,2)</f>
        <v>140</v>
      </c>
      <c r="E23" s="22">
        <f>ROUND('Operating Efficiency'!E23*'Capacity By Company'!E23,2)</f>
        <v>144</v>
      </c>
      <c r="F23" s="22">
        <f>ROUND('Operating Efficiency'!F23*'Capacity By Company'!F23,2)</f>
        <v>148</v>
      </c>
      <c r="G23" s="22">
        <f>ROUND('Operating Efficiency'!G23*'Capacity By Company'!G23,2)</f>
        <v>140</v>
      </c>
      <c r="H23" s="22">
        <f>ROUND('Operating Efficiency'!H23*'Capacity By Company'!H23,2)</f>
        <v>144</v>
      </c>
      <c r="I23" s="114">
        <f>ROUND('Operating Efficiency'!I23*'Capacity By Company'!I23,2)</f>
        <v>35.5</v>
      </c>
      <c r="J23" s="114">
        <f>ROUND('Operating Efficiency'!J23*'Capacity By Company'!J23,2)</f>
        <v>36</v>
      </c>
      <c r="K23" s="114">
        <f>ROUND('Operating Efficiency'!K23*'Capacity By Company'!K23,2)</f>
        <v>37.5</v>
      </c>
      <c r="L23" s="114">
        <f t="shared" si="0"/>
        <v>39</v>
      </c>
      <c r="M23" s="22">
        <f>ROUND('Operating Efficiency'!M23*'Capacity By Company'!M23,2)</f>
        <v>148</v>
      </c>
      <c r="N23" s="22">
        <f>ROUND('Operating Efficiency'!N23*'Capacity By Company'!N23,2)</f>
        <v>152</v>
      </c>
      <c r="O23" s="22">
        <f>ROUND('Operating Efficiency'!O23*'Capacity By Company'!O23,2)</f>
        <v>156</v>
      </c>
      <c r="P23" s="22">
        <f>ROUND('Operating Efficiency'!P23*'Capacity By Company'!P23,2)</f>
        <v>156</v>
      </c>
      <c r="Q23" s="22">
        <f>ROUND('Operating Efficiency'!Q23*'Capacity By Company'!Q23,2)</f>
        <v>160</v>
      </c>
      <c r="R23" s="22">
        <f>ROUND('Operating Efficiency'!R23*'Capacity By Company'!R23,2)</f>
        <v>160</v>
      </c>
      <c r="S23" s="22">
        <f>ROUND('Operating Efficiency'!S23*'Capacity By Company'!S23,2)</f>
        <v>164</v>
      </c>
      <c r="T23" s="22">
        <f>ROUND('Operating Efficiency'!T23*'Capacity By Company'!T23,2)</f>
        <v>166</v>
      </c>
      <c r="U23" s="22">
        <f>ROUND('Operating Efficiency'!U23*'Capacity By Company'!U23,2)</f>
        <v>168</v>
      </c>
      <c r="V23" s="22">
        <f>ROUND('Operating Efficiency'!V23*'Capacity By Company'!V23,2)</f>
        <v>168</v>
      </c>
      <c r="W23" s="22">
        <f>ROUND('Operating Efficiency'!W23*'Capacity By Company'!W23,2)</f>
        <v>168</v>
      </c>
    </row>
    <row r="24" spans="1:23" x14ac:dyDescent="0.25">
      <c r="A24" s="22" t="str">
        <f>'Capacity By Location'!D33</f>
        <v>UCC Shchekino Azot</v>
      </c>
      <c r="B24" s="22">
        <f>ROUND('Operating Efficiency'!B24*'Capacity By Company'!B24,2)</f>
        <v>300</v>
      </c>
      <c r="C24" s="22">
        <f>ROUND('Operating Efficiency'!C24*'Capacity By Company'!C24,2)</f>
        <v>310</v>
      </c>
      <c r="D24" s="22">
        <f>ROUND('Operating Efficiency'!D24*'Capacity By Company'!D24,2)</f>
        <v>320</v>
      </c>
      <c r="E24" s="22">
        <f>ROUND('Operating Efficiency'!E24*'Capacity By Company'!E24,2)</f>
        <v>646</v>
      </c>
      <c r="F24" s="22">
        <f>ROUND('Operating Efficiency'!F24*'Capacity By Company'!F24,2)</f>
        <v>665</v>
      </c>
      <c r="G24" s="22">
        <f>ROUND('Operating Efficiency'!G24*'Capacity By Company'!G24,2)</f>
        <v>627</v>
      </c>
      <c r="H24" s="22">
        <f>ROUND('Operating Efficiency'!H24*'Capacity By Company'!H24,2)</f>
        <v>1015</v>
      </c>
      <c r="I24" s="114">
        <f>ROUND('Operating Efficiency'!I24*'Capacity By Company'!I24,2)</f>
        <v>250.13</v>
      </c>
      <c r="J24" s="114">
        <f>ROUND('Operating Efficiency'!J24*'Capacity By Company'!J24,2)</f>
        <v>261</v>
      </c>
      <c r="K24" s="114">
        <f>ROUND('Operating Efficiency'!K24*'Capacity By Company'!K24,2)</f>
        <v>264.63</v>
      </c>
      <c r="L24" s="114">
        <f t="shared" si="0"/>
        <v>268.24</v>
      </c>
      <c r="M24" s="22">
        <f>ROUND('Operating Efficiency'!M24*'Capacity By Company'!M24,2)</f>
        <v>1044</v>
      </c>
      <c r="N24" s="22">
        <f>ROUND('Operating Efficiency'!N24*'Capacity By Company'!N24,2)</f>
        <v>1073</v>
      </c>
      <c r="O24" s="22">
        <f>ROUND('Operating Efficiency'!O24*'Capacity By Company'!O24,2)</f>
        <v>1102</v>
      </c>
      <c r="P24" s="22">
        <f>ROUND('Operating Efficiency'!P24*'Capacity By Company'!P24,2)</f>
        <v>1131</v>
      </c>
      <c r="Q24" s="22">
        <f>ROUND('Operating Efficiency'!Q24*'Capacity By Company'!Q24,2)</f>
        <v>1131</v>
      </c>
      <c r="R24" s="22">
        <f>ROUND('Operating Efficiency'!R24*'Capacity By Company'!R24,2)</f>
        <v>1160</v>
      </c>
      <c r="S24" s="22">
        <f>ROUND('Operating Efficiency'!S24*'Capacity By Company'!S24,2)</f>
        <v>1189</v>
      </c>
      <c r="T24" s="22">
        <f>ROUND('Operating Efficiency'!T24*'Capacity By Company'!T24,2)</f>
        <v>1203.5</v>
      </c>
      <c r="U24" s="22">
        <f>ROUND('Operating Efficiency'!U24*'Capacity By Company'!U24,2)</f>
        <v>1218</v>
      </c>
      <c r="V24" s="22">
        <f>ROUND('Operating Efficiency'!V24*'Capacity By Company'!V24,2)</f>
        <v>1218</v>
      </c>
      <c r="W24" s="22">
        <f>ROUND('Operating Efficiency'!W24*'Capacity By Company'!W24,2)</f>
        <v>1218</v>
      </c>
    </row>
    <row r="25" spans="1:23" x14ac:dyDescent="0.25">
      <c r="A25" s="22" t="str">
        <f>'Capacity By Location'!D34</f>
        <v>PJSC Metafrax</v>
      </c>
      <c r="B25" s="22">
        <f>ROUND('Operating Efficiency'!B25*'Capacity By Company'!B25,2)</f>
        <v>612</v>
      </c>
      <c r="C25" s="22">
        <f>ROUND('Operating Efficiency'!C25*'Capacity By Company'!C25,2)</f>
        <v>630</v>
      </c>
      <c r="D25" s="22">
        <f>ROUND('Operating Efficiency'!D25*'Capacity By Company'!D25,2)</f>
        <v>849.6</v>
      </c>
      <c r="E25" s="22">
        <f>ROUND('Operating Efficiency'!E25*'Capacity By Company'!E25,2)</f>
        <v>873.2</v>
      </c>
      <c r="F25" s="22">
        <f>ROUND('Operating Efficiency'!F25*'Capacity By Company'!F25,2)</f>
        <v>896.8</v>
      </c>
      <c r="G25" s="22">
        <f>ROUND('Operating Efficiency'!G25*'Capacity By Company'!G25,2)</f>
        <v>826</v>
      </c>
      <c r="H25" s="22">
        <f>ROUND('Operating Efficiency'!H25*'Capacity By Company'!H25,2)</f>
        <v>849.6</v>
      </c>
      <c r="I25" s="114">
        <f>ROUND('Operating Efficiency'!I25*'Capacity By Company'!I25,2)</f>
        <v>215.35</v>
      </c>
      <c r="J25" s="114">
        <f>ROUND('Operating Efficiency'!J25*'Capacity By Company'!J25,2)</f>
        <v>227.15</v>
      </c>
      <c r="K25" s="114">
        <f>ROUND('Operating Efficiency'!K25*'Capacity By Company'!K25,2)</f>
        <v>227.15</v>
      </c>
      <c r="L25" s="114">
        <f t="shared" si="0"/>
        <v>227.14999999999998</v>
      </c>
      <c r="M25" s="22">
        <f>ROUND('Operating Efficiency'!M25*'Capacity By Company'!M25,2)</f>
        <v>896.8</v>
      </c>
      <c r="N25" s="22">
        <f>ROUND('Operating Efficiency'!N25*'Capacity By Company'!N25,2)</f>
        <v>920.4</v>
      </c>
      <c r="O25" s="22">
        <f>ROUND('Operating Efficiency'!O25*'Capacity By Company'!O25,2)</f>
        <v>944</v>
      </c>
      <c r="P25" s="22">
        <f>ROUND('Operating Efficiency'!P25*'Capacity By Company'!P25,2)</f>
        <v>944</v>
      </c>
      <c r="Q25" s="22">
        <f>ROUND('Operating Efficiency'!Q25*'Capacity By Company'!Q25,2)</f>
        <v>967.6</v>
      </c>
      <c r="R25" s="22">
        <f>ROUND('Operating Efficiency'!R25*'Capacity By Company'!R25,2)</f>
        <v>979.4</v>
      </c>
      <c r="S25" s="22">
        <f>ROUND('Operating Efficiency'!S25*'Capacity By Company'!S25,2)</f>
        <v>991.2</v>
      </c>
      <c r="T25" s="22">
        <f>ROUND('Operating Efficiency'!T25*'Capacity By Company'!T25,2)</f>
        <v>991.2</v>
      </c>
      <c r="U25" s="22">
        <f>ROUND('Operating Efficiency'!U25*'Capacity By Company'!U25,2)</f>
        <v>991.2</v>
      </c>
      <c r="V25" s="22">
        <f>ROUND('Operating Efficiency'!V25*'Capacity By Company'!V25,2)</f>
        <v>991.2</v>
      </c>
      <c r="W25" s="22">
        <f>ROUND('Operating Efficiency'!W25*'Capacity By Company'!W25,2)</f>
        <v>991.2</v>
      </c>
    </row>
    <row r="26" spans="1:23" x14ac:dyDescent="0.25">
      <c r="A26" s="22" t="str">
        <f>'Capacity By Location'!D35</f>
        <v>Mider-Helm Methanol</v>
      </c>
      <c r="B26" s="22">
        <f>ROUND('Operating Efficiency'!B26*'Capacity By Company'!B26,2)</f>
        <v>435.6</v>
      </c>
      <c r="C26" s="22">
        <f>ROUND('Operating Efficiency'!C26*'Capacity By Company'!C26,2)</f>
        <v>448.8</v>
      </c>
      <c r="D26" s="22">
        <f>ROUND('Operating Efficiency'!D26*'Capacity By Company'!D26,2)</f>
        <v>462</v>
      </c>
      <c r="E26" s="22">
        <f>ROUND('Operating Efficiency'!E26*'Capacity By Company'!E26,2)</f>
        <v>475.2</v>
      </c>
      <c r="F26" s="22">
        <f>ROUND('Operating Efficiency'!F26*'Capacity By Company'!F26,2)</f>
        <v>475.2</v>
      </c>
      <c r="G26" s="22">
        <f>ROUND('Operating Efficiency'!G26*'Capacity By Company'!G26,2)</f>
        <v>462</v>
      </c>
      <c r="H26" s="22">
        <f>ROUND('Operating Efficiency'!H26*'Capacity By Company'!H26,2)</f>
        <v>475.2</v>
      </c>
      <c r="I26" s="114">
        <f>ROUND('Operating Efficiency'!I26*'Capacity By Company'!I26,2)</f>
        <v>120.45</v>
      </c>
      <c r="J26" s="114">
        <f>ROUND('Operating Efficiency'!J26*'Capacity By Company'!J26,2)</f>
        <v>123.75</v>
      </c>
      <c r="K26" s="114">
        <f>ROUND('Operating Efficiency'!K26*'Capacity By Company'!K26,2)</f>
        <v>125.4</v>
      </c>
      <c r="L26" s="114">
        <f t="shared" si="0"/>
        <v>132</v>
      </c>
      <c r="M26" s="22">
        <f>ROUND('Operating Efficiency'!M26*'Capacity By Company'!M26,2)</f>
        <v>501.6</v>
      </c>
      <c r="N26" s="22">
        <f>ROUND('Operating Efficiency'!N26*'Capacity By Company'!N26,2)</f>
        <v>501.6</v>
      </c>
      <c r="O26" s="22">
        <f>ROUND('Operating Efficiency'!O26*'Capacity By Company'!O26,2)</f>
        <v>514.79999999999995</v>
      </c>
      <c r="P26" s="22">
        <f>ROUND('Operating Efficiency'!P26*'Capacity By Company'!P26,2)</f>
        <v>528</v>
      </c>
      <c r="Q26" s="22">
        <f>ROUND('Operating Efficiency'!Q26*'Capacity By Company'!Q26,2)</f>
        <v>528</v>
      </c>
      <c r="R26" s="22">
        <f>ROUND('Operating Efficiency'!R26*'Capacity By Company'!R26,2)</f>
        <v>541.20000000000005</v>
      </c>
      <c r="S26" s="22">
        <f>ROUND('Operating Efficiency'!S26*'Capacity By Company'!S26,2)</f>
        <v>547.79999999999995</v>
      </c>
      <c r="T26" s="22">
        <f>ROUND('Operating Efficiency'!T26*'Capacity By Company'!T26,2)</f>
        <v>554.4</v>
      </c>
      <c r="U26" s="22">
        <f>ROUND('Operating Efficiency'!U26*'Capacity By Company'!U26,2)</f>
        <v>554.4</v>
      </c>
      <c r="V26" s="22">
        <f>ROUND('Operating Efficiency'!V26*'Capacity By Company'!V26,2)</f>
        <v>554.4</v>
      </c>
      <c r="W26" s="22">
        <f>ROUND('Operating Efficiency'!W26*'Capacity By Company'!W26,2)</f>
        <v>554.4</v>
      </c>
    </row>
    <row r="27" spans="1:23" x14ac:dyDescent="0.25">
      <c r="A27" s="22" t="str">
        <f>'Capacity By Location'!D36</f>
        <v>Nevinnomyssk Azot</v>
      </c>
      <c r="B27" s="22">
        <f>ROUND('Operating Efficiency'!B27*'Capacity By Company'!B27,2)</f>
        <v>83.2</v>
      </c>
      <c r="C27" s="22">
        <f>ROUND('Operating Efficiency'!C27*'Capacity By Company'!C27,2)</f>
        <v>85.8</v>
      </c>
      <c r="D27" s="22">
        <f>ROUND('Operating Efficiency'!D27*'Capacity By Company'!D27,2)</f>
        <v>88.4</v>
      </c>
      <c r="E27" s="22">
        <f>ROUND('Operating Efficiency'!E27*'Capacity By Company'!E27,2)</f>
        <v>91</v>
      </c>
      <c r="F27" s="22">
        <f>ROUND('Operating Efficiency'!F27*'Capacity By Company'!F27,2)</f>
        <v>93.6</v>
      </c>
      <c r="G27" s="22">
        <f>ROUND('Operating Efficiency'!G27*'Capacity By Company'!G27,2)</f>
        <v>88.4</v>
      </c>
      <c r="H27" s="22">
        <f>ROUND('Operating Efficiency'!H27*'Capacity By Company'!H27,2)</f>
        <v>91</v>
      </c>
      <c r="I27" s="114">
        <f>ROUND('Operating Efficiency'!I27*'Capacity By Company'!I27,2)</f>
        <v>22.43</v>
      </c>
      <c r="J27" s="114">
        <f>ROUND('Operating Efficiency'!J27*'Capacity By Company'!J27,2)</f>
        <v>23.4</v>
      </c>
      <c r="K27" s="114">
        <f>ROUND('Operating Efficiency'!K27*'Capacity By Company'!K27,2)</f>
        <v>23.73</v>
      </c>
      <c r="L27" s="114">
        <f t="shared" si="0"/>
        <v>24.039999999999992</v>
      </c>
      <c r="M27" s="22">
        <f>ROUND('Operating Efficiency'!M27*'Capacity By Company'!M27,2)</f>
        <v>93.6</v>
      </c>
      <c r="N27" s="22">
        <f>ROUND('Operating Efficiency'!N27*'Capacity By Company'!N27,2)</f>
        <v>96.2</v>
      </c>
      <c r="O27" s="22">
        <f>ROUND('Operating Efficiency'!O27*'Capacity By Company'!O27,2)</f>
        <v>98.8</v>
      </c>
      <c r="P27" s="22">
        <f>ROUND('Operating Efficiency'!P27*'Capacity By Company'!P27,2)</f>
        <v>101.4</v>
      </c>
      <c r="Q27" s="22">
        <f>ROUND('Operating Efficiency'!Q27*'Capacity By Company'!Q27,2)</f>
        <v>104</v>
      </c>
      <c r="R27" s="22">
        <f>ROUND('Operating Efficiency'!R27*'Capacity By Company'!R27,2)</f>
        <v>104</v>
      </c>
      <c r="S27" s="22">
        <f>ROUND('Operating Efficiency'!S27*'Capacity By Company'!S27,2)</f>
        <v>106.6</v>
      </c>
      <c r="T27" s="22">
        <f>ROUND('Operating Efficiency'!T27*'Capacity By Company'!T27,2)</f>
        <v>106.6</v>
      </c>
      <c r="U27" s="22">
        <f>ROUND('Operating Efficiency'!U27*'Capacity By Company'!U27,2)</f>
        <v>106.6</v>
      </c>
      <c r="V27" s="22">
        <f>ROUND('Operating Efficiency'!V27*'Capacity By Company'!V27,2)</f>
        <v>109.2</v>
      </c>
      <c r="W27" s="22">
        <f>ROUND('Operating Efficiency'!W27*'Capacity By Company'!W27,2)</f>
        <v>109.2</v>
      </c>
    </row>
    <row r="28" spans="1:23" x14ac:dyDescent="0.25">
      <c r="A28" s="22" t="str">
        <f>'Capacity By Location'!D37</f>
        <v>Shell &amp; DEA Oil</v>
      </c>
      <c r="B28" s="22">
        <f>ROUND('Operating Efficiency'!B28*'Capacity By Company'!B28,2)</f>
        <v>256</v>
      </c>
      <c r="C28" s="22">
        <f>ROUND('Operating Efficiency'!C28*'Capacity By Company'!C28,2)</f>
        <v>272</v>
      </c>
      <c r="D28" s="22">
        <f>ROUND('Operating Efficiency'!D28*'Capacity By Company'!D28,2)</f>
        <v>280</v>
      </c>
      <c r="E28" s="22">
        <f>ROUND('Operating Efficiency'!E28*'Capacity By Company'!E28,2)</f>
        <v>288</v>
      </c>
      <c r="F28" s="22">
        <f>ROUND('Operating Efficiency'!F28*'Capacity By Company'!F28,2)</f>
        <v>296</v>
      </c>
      <c r="G28" s="22">
        <f>ROUND('Operating Efficiency'!G28*'Capacity By Company'!G28,2)</f>
        <v>280</v>
      </c>
      <c r="H28" s="22">
        <f>ROUND('Operating Efficiency'!H28*'Capacity By Company'!H28,2)</f>
        <v>288</v>
      </c>
      <c r="I28" s="114">
        <f>ROUND('Operating Efficiency'!I28*'Capacity By Company'!I28,2)</f>
        <v>72</v>
      </c>
      <c r="J28" s="114">
        <f>ROUND('Operating Efficiency'!J28*'Capacity By Company'!J28,2)</f>
        <v>75</v>
      </c>
      <c r="K28" s="114">
        <f>ROUND('Operating Efficiency'!K28*'Capacity By Company'!K28,2)</f>
        <v>73</v>
      </c>
      <c r="L28" s="114">
        <f t="shared" si="0"/>
        <v>76</v>
      </c>
      <c r="M28" s="22">
        <f>ROUND('Operating Efficiency'!M28*'Capacity By Company'!M28,2)</f>
        <v>296</v>
      </c>
      <c r="N28" s="22">
        <f>ROUND('Operating Efficiency'!N28*'Capacity By Company'!N28,2)</f>
        <v>304</v>
      </c>
      <c r="O28" s="22">
        <f>ROUND('Operating Efficiency'!O28*'Capacity By Company'!O28,2)</f>
        <v>304</v>
      </c>
      <c r="P28" s="22">
        <f>ROUND('Operating Efficiency'!P28*'Capacity By Company'!P28,2)</f>
        <v>312</v>
      </c>
      <c r="Q28" s="22">
        <f>ROUND('Operating Efficiency'!Q28*'Capacity By Company'!Q28,2)</f>
        <v>312</v>
      </c>
      <c r="R28" s="22">
        <f>ROUND('Operating Efficiency'!R28*'Capacity By Company'!R28,2)</f>
        <v>320</v>
      </c>
      <c r="S28" s="22">
        <f>ROUND('Operating Efficiency'!S28*'Capacity By Company'!S28,2)</f>
        <v>320</v>
      </c>
      <c r="T28" s="22">
        <f>ROUND('Operating Efficiency'!T28*'Capacity By Company'!T28,2)</f>
        <v>328</v>
      </c>
      <c r="U28" s="22">
        <f>ROUND('Operating Efficiency'!U28*'Capacity By Company'!U28,2)</f>
        <v>332</v>
      </c>
      <c r="V28" s="22">
        <f>ROUND('Operating Efficiency'!V28*'Capacity By Company'!V28,2)</f>
        <v>336</v>
      </c>
      <c r="W28" s="22">
        <f>ROUND('Operating Efficiency'!W28*'Capacity By Company'!W28,2)</f>
        <v>336</v>
      </c>
    </row>
    <row r="29" spans="1:23" x14ac:dyDescent="0.25">
      <c r="A29" s="22" t="str">
        <f>'Capacity By Location'!D38</f>
        <v>Togliatti Azot</v>
      </c>
      <c r="B29" s="22">
        <f>ROUND('Operating Efficiency'!B29*'Capacity By Company'!B29,2)</f>
        <v>648</v>
      </c>
      <c r="C29" s="22">
        <f>ROUND('Operating Efficiency'!C29*'Capacity By Company'!C29,2)</f>
        <v>666</v>
      </c>
      <c r="D29" s="22">
        <f>ROUND('Operating Efficiency'!D29*'Capacity By Company'!D29,2)</f>
        <v>684</v>
      </c>
      <c r="E29" s="22">
        <f>ROUND('Operating Efficiency'!E29*'Capacity By Company'!E29,2)</f>
        <v>702</v>
      </c>
      <c r="F29" s="22">
        <f>ROUND('Operating Efficiency'!F29*'Capacity By Company'!F29,2)</f>
        <v>720</v>
      </c>
      <c r="G29" s="22">
        <f>ROUND('Operating Efficiency'!G29*'Capacity By Company'!G29,2)</f>
        <v>684</v>
      </c>
      <c r="H29" s="22">
        <f>ROUND('Operating Efficiency'!H29*'Capacity By Company'!H29,2)</f>
        <v>702</v>
      </c>
      <c r="I29" s="114">
        <f>ROUND('Operating Efficiency'!I29*'Capacity By Company'!I29,2)</f>
        <v>168.75</v>
      </c>
      <c r="J29" s="114">
        <f>ROUND('Operating Efficiency'!J29*'Capacity By Company'!J29,2)</f>
        <v>173.25</v>
      </c>
      <c r="K29" s="114">
        <f>ROUND('Operating Efficiency'!K29*'Capacity By Company'!K29,2)</f>
        <v>175.5</v>
      </c>
      <c r="L29" s="114">
        <f t="shared" si="0"/>
        <v>184.5</v>
      </c>
      <c r="M29" s="22">
        <f>ROUND('Operating Efficiency'!M29*'Capacity By Company'!M29,2)</f>
        <v>702</v>
      </c>
      <c r="N29" s="22">
        <f>ROUND('Operating Efficiency'!N29*'Capacity By Company'!N29,2)</f>
        <v>720</v>
      </c>
      <c r="O29" s="22">
        <f>ROUND('Operating Efficiency'!O29*'Capacity By Company'!O29,2)</f>
        <v>720</v>
      </c>
      <c r="P29" s="22">
        <f>ROUND('Operating Efficiency'!P29*'Capacity By Company'!P29,2)</f>
        <v>738</v>
      </c>
      <c r="Q29" s="22">
        <f>ROUND('Operating Efficiency'!Q29*'Capacity By Company'!Q29,2)</f>
        <v>756</v>
      </c>
      <c r="R29" s="22">
        <f>ROUND('Operating Efficiency'!R29*'Capacity By Company'!R29,2)</f>
        <v>756</v>
      </c>
      <c r="S29" s="22">
        <f>ROUND('Operating Efficiency'!S29*'Capacity By Company'!S29,2)</f>
        <v>756</v>
      </c>
      <c r="T29" s="22">
        <f>ROUND('Operating Efficiency'!T29*'Capacity By Company'!T29,2)</f>
        <v>765</v>
      </c>
      <c r="U29" s="22">
        <f>ROUND('Operating Efficiency'!U29*'Capacity By Company'!U29,2)</f>
        <v>765</v>
      </c>
      <c r="V29" s="22">
        <f>ROUND('Operating Efficiency'!V29*'Capacity By Company'!V29,2)</f>
        <v>765</v>
      </c>
      <c r="W29" s="22">
        <f>ROUND('Operating Efficiency'!W29*'Capacity By Company'!W29,2)</f>
        <v>765</v>
      </c>
    </row>
    <row r="30" spans="1:23" x14ac:dyDescent="0.25">
      <c r="A30" s="22" t="str">
        <f>'Capacity By Location'!D39</f>
        <v>Tomskneftekhim</v>
      </c>
      <c r="B30" s="22">
        <f>ROUND('Operating Efficiency'!B30*'Capacity By Company'!B30,2)</f>
        <v>525</v>
      </c>
      <c r="C30" s="22">
        <f>ROUND('Operating Efficiency'!C30*'Capacity By Company'!C30,2)</f>
        <v>540</v>
      </c>
      <c r="D30" s="22">
        <f>ROUND('Operating Efficiency'!D30*'Capacity By Company'!D30,2)</f>
        <v>547.5</v>
      </c>
      <c r="E30" s="22">
        <f>ROUND('Operating Efficiency'!E30*'Capacity By Company'!E30,2)</f>
        <v>555</v>
      </c>
      <c r="F30" s="22">
        <f>ROUND('Operating Efficiency'!F30*'Capacity By Company'!F30,2)</f>
        <v>570</v>
      </c>
      <c r="G30" s="22">
        <f>ROUND('Operating Efficiency'!G30*'Capacity By Company'!G30,2)</f>
        <v>525</v>
      </c>
      <c r="H30" s="22">
        <f>ROUND('Operating Efficiency'!H30*'Capacity By Company'!H30,2)</f>
        <v>540</v>
      </c>
      <c r="I30" s="114">
        <f>ROUND('Operating Efficiency'!I30*'Capacity By Company'!I30,2)</f>
        <v>133.13</v>
      </c>
      <c r="J30" s="114">
        <f>ROUND('Operating Efficiency'!J30*'Capacity By Company'!J30,2)</f>
        <v>138.75</v>
      </c>
      <c r="K30" s="114">
        <f>ROUND('Operating Efficiency'!K30*'Capacity By Company'!K30,2)</f>
        <v>138.75</v>
      </c>
      <c r="L30" s="114">
        <f t="shared" si="0"/>
        <v>144.37</v>
      </c>
      <c r="M30" s="22">
        <f>ROUND('Operating Efficiency'!M30*'Capacity By Company'!M30,2)</f>
        <v>555</v>
      </c>
      <c r="N30" s="22">
        <f>ROUND('Operating Efficiency'!N30*'Capacity By Company'!N30,2)</f>
        <v>570</v>
      </c>
      <c r="O30" s="22">
        <f>ROUND('Operating Efficiency'!O30*'Capacity By Company'!O30,2)</f>
        <v>585</v>
      </c>
      <c r="P30" s="22">
        <f>ROUND('Operating Efficiency'!P30*'Capacity By Company'!P30,2)</f>
        <v>600</v>
      </c>
      <c r="Q30" s="22">
        <f>ROUND('Operating Efficiency'!Q30*'Capacity By Company'!Q30,2)</f>
        <v>600</v>
      </c>
      <c r="R30" s="22">
        <f>ROUND('Operating Efficiency'!R30*'Capacity By Company'!R30,2)</f>
        <v>615</v>
      </c>
      <c r="S30" s="22">
        <f>ROUND('Operating Efficiency'!S30*'Capacity By Company'!S30,2)</f>
        <v>615</v>
      </c>
      <c r="T30" s="22">
        <f>ROUND('Operating Efficiency'!T30*'Capacity By Company'!T30,2)</f>
        <v>630</v>
      </c>
      <c r="U30" s="22">
        <f>ROUND('Operating Efficiency'!U30*'Capacity By Company'!U30,2)</f>
        <v>630</v>
      </c>
      <c r="V30" s="22">
        <f>ROUND('Operating Efficiency'!V30*'Capacity By Company'!V30,2)</f>
        <v>630</v>
      </c>
      <c r="W30" s="22">
        <f>ROUND('Operating Efficiency'!W30*'Capacity By Company'!W30,2)</f>
        <v>630</v>
      </c>
    </row>
    <row r="31" spans="1:23" x14ac:dyDescent="0.25">
      <c r="A31" s="22" t="str">
        <f>'Capacity By Location'!D40</f>
        <v>Repsol YPF</v>
      </c>
      <c r="B31" s="22">
        <f>ROUND('Operating Efficiency'!B31*'Capacity By Company'!B31,2)</f>
        <v>295.92</v>
      </c>
      <c r="C31" s="22">
        <f>ROUND('Operating Efficiency'!C31*'Capacity By Company'!C31,2)</f>
        <v>304.14</v>
      </c>
      <c r="D31" s="22">
        <f>ROUND('Operating Efficiency'!D31*'Capacity By Company'!D31,2)</f>
        <v>295.92</v>
      </c>
      <c r="E31" s="22">
        <f>ROUND('Operating Efficiency'!E31*'Capacity By Company'!E31,2)</f>
        <v>304.14</v>
      </c>
      <c r="F31" s="22">
        <f>ROUND('Operating Efficiency'!F31*'Capacity By Company'!F31,2)</f>
        <v>312.36</v>
      </c>
      <c r="G31" s="22">
        <f>ROUND('Operating Efficiency'!G31*'Capacity By Company'!G31,2)</f>
        <v>304.14</v>
      </c>
      <c r="H31" s="22">
        <f>ROUND('Operating Efficiency'!H31*'Capacity By Company'!H31,2)</f>
        <v>312.36</v>
      </c>
      <c r="I31" s="114">
        <f>ROUND('Operating Efficiency'!I31*'Capacity By Company'!I31,2)</f>
        <v>77.06</v>
      </c>
      <c r="J31" s="114">
        <f>ROUND('Operating Efficiency'!J31*'Capacity By Company'!J31,2)</f>
        <v>79.12</v>
      </c>
      <c r="K31" s="114">
        <f>ROUND('Operating Efficiency'!K31*'Capacity By Company'!K31,2)</f>
        <v>80.150000000000006</v>
      </c>
      <c r="L31" s="114">
        <f t="shared" si="0"/>
        <v>84.249999999999972</v>
      </c>
      <c r="M31" s="22">
        <f>ROUND('Operating Efficiency'!M31*'Capacity By Company'!M31,2)</f>
        <v>320.58</v>
      </c>
      <c r="N31" s="22">
        <f>ROUND('Operating Efficiency'!N31*'Capacity By Company'!N31,2)</f>
        <v>320.58</v>
      </c>
      <c r="O31" s="22">
        <f>ROUND('Operating Efficiency'!O31*'Capacity By Company'!O31,2)</f>
        <v>328.8</v>
      </c>
      <c r="P31" s="22">
        <f>ROUND('Operating Efficiency'!P31*'Capacity By Company'!P31,2)</f>
        <v>328.8</v>
      </c>
      <c r="Q31" s="22">
        <f>ROUND('Operating Efficiency'!Q31*'Capacity By Company'!Q31,2)</f>
        <v>337.02</v>
      </c>
      <c r="R31" s="22">
        <f>ROUND('Operating Efficiency'!R31*'Capacity By Company'!R31,2)</f>
        <v>337.02</v>
      </c>
      <c r="S31" s="22">
        <f>ROUND('Operating Efficiency'!S31*'Capacity By Company'!S31,2)</f>
        <v>341.13</v>
      </c>
      <c r="T31" s="22">
        <f>ROUND('Operating Efficiency'!T31*'Capacity By Company'!T31,2)</f>
        <v>345.24</v>
      </c>
      <c r="U31" s="22">
        <f>ROUND('Operating Efficiency'!U31*'Capacity By Company'!U31,2)</f>
        <v>345.24</v>
      </c>
      <c r="V31" s="22">
        <f>ROUND('Operating Efficiency'!V31*'Capacity By Company'!V31,2)</f>
        <v>345.24</v>
      </c>
      <c r="W31" s="22">
        <f>ROUND('Operating Efficiency'!W31*'Capacity By Company'!W31,2)</f>
        <v>345.24</v>
      </c>
    </row>
    <row r="32" spans="1:23" x14ac:dyDescent="0.25">
      <c r="A32" s="22" t="str">
        <f>'Capacity By Location'!D42</f>
        <v>Equinor</v>
      </c>
      <c r="B32" s="22">
        <f>ROUND('Operating Efficiency'!B32*'Capacity By Company'!B32,2)</f>
        <v>594</v>
      </c>
      <c r="C32" s="22">
        <f>ROUND('Operating Efficiency'!C32*'Capacity By Company'!C32,2)</f>
        <v>612</v>
      </c>
      <c r="D32" s="22">
        <f>ROUND('Operating Efficiency'!D32*'Capacity By Company'!D32,2)</f>
        <v>630</v>
      </c>
      <c r="E32" s="22">
        <f>ROUND('Operating Efficiency'!E32*'Capacity By Company'!E32,2)</f>
        <v>648</v>
      </c>
      <c r="F32" s="22">
        <f>ROUND('Operating Efficiency'!F32*'Capacity By Company'!F32,2)</f>
        <v>666</v>
      </c>
      <c r="G32" s="22">
        <f>ROUND('Operating Efficiency'!G32*'Capacity By Company'!G32,2)</f>
        <v>630</v>
      </c>
      <c r="H32" s="22">
        <f>ROUND('Operating Efficiency'!H32*'Capacity By Company'!H32,2)</f>
        <v>648</v>
      </c>
      <c r="I32" s="114">
        <f>ROUND('Operating Efficiency'!I32*'Capacity By Company'!I32,2)</f>
        <v>159.75</v>
      </c>
      <c r="J32" s="114">
        <f>ROUND('Operating Efficiency'!J32*'Capacity By Company'!J32,2)</f>
        <v>164.25</v>
      </c>
      <c r="K32" s="114">
        <f>ROUND('Operating Efficiency'!K32*'Capacity By Company'!K32,2)</f>
        <v>166.5</v>
      </c>
      <c r="L32" s="114">
        <f t="shared" si="0"/>
        <v>175.5</v>
      </c>
      <c r="M32" s="22">
        <f>ROUND('Operating Efficiency'!M32*'Capacity By Company'!M32,2)</f>
        <v>666</v>
      </c>
      <c r="N32" s="22">
        <f>ROUND('Operating Efficiency'!N32*'Capacity By Company'!N32,2)</f>
        <v>684</v>
      </c>
      <c r="O32" s="22">
        <f>ROUND('Operating Efficiency'!O32*'Capacity By Company'!O32,2)</f>
        <v>702</v>
      </c>
      <c r="P32" s="22">
        <f>ROUND('Operating Efficiency'!P32*'Capacity By Company'!P32,2)</f>
        <v>702</v>
      </c>
      <c r="Q32" s="22">
        <f>ROUND('Operating Efficiency'!Q32*'Capacity By Company'!Q32,2)</f>
        <v>702</v>
      </c>
      <c r="R32" s="22">
        <f>ROUND('Operating Efficiency'!R32*'Capacity By Company'!R32,2)</f>
        <v>720</v>
      </c>
      <c r="S32" s="22">
        <f>ROUND('Operating Efficiency'!S32*'Capacity By Company'!S32,2)</f>
        <v>720</v>
      </c>
      <c r="T32" s="22">
        <f>ROUND('Operating Efficiency'!T32*'Capacity By Company'!T32,2)</f>
        <v>738</v>
      </c>
      <c r="U32" s="22">
        <f>ROUND('Operating Efficiency'!U32*'Capacity By Company'!U32,2)</f>
        <v>738</v>
      </c>
      <c r="V32" s="22">
        <f>ROUND('Operating Efficiency'!V32*'Capacity By Company'!V32,2)</f>
        <v>756</v>
      </c>
      <c r="W32" s="22">
        <f>ROUND('Operating Efficiency'!W32*'Capacity By Company'!W32,2)</f>
        <v>756</v>
      </c>
    </row>
    <row r="33" spans="1:23" x14ac:dyDescent="0.25">
      <c r="A33" s="22" t="str">
        <f>'Capacity By Location'!D43</f>
        <v>SOCAR</v>
      </c>
      <c r="B33" s="22">
        <f>ROUND('Operating Efficiency'!B33*'Capacity By Company'!B33,2)</f>
        <v>489.6</v>
      </c>
      <c r="C33" s="22">
        <f>ROUND('Operating Efficiency'!C33*'Capacity By Company'!C33,2)</f>
        <v>504</v>
      </c>
      <c r="D33" s="22">
        <f>ROUND('Operating Efficiency'!D33*'Capacity By Company'!D33,2)</f>
        <v>518.4</v>
      </c>
      <c r="E33" s="22">
        <f>ROUND('Operating Efficiency'!E33*'Capacity By Company'!E33,2)</f>
        <v>532.79999999999995</v>
      </c>
      <c r="F33" s="22">
        <f>ROUND('Operating Efficiency'!F33*'Capacity By Company'!F33,2)</f>
        <v>547.20000000000005</v>
      </c>
      <c r="G33" s="22">
        <f>ROUND('Operating Efficiency'!G33*'Capacity By Company'!G33,2)</f>
        <v>518.4</v>
      </c>
      <c r="H33" s="22">
        <f>ROUND('Operating Efficiency'!H33*'Capacity By Company'!H33,2)</f>
        <v>547.20000000000005</v>
      </c>
      <c r="I33" s="114">
        <f>ROUND('Operating Efficiency'!I33*'Capacity By Company'!I33,2)</f>
        <v>129.6</v>
      </c>
      <c r="J33" s="114">
        <f>ROUND('Operating Efficiency'!J33*'Capacity By Company'!J33,2)</f>
        <v>138.6</v>
      </c>
      <c r="K33" s="114">
        <f>ROUND('Operating Efficiency'!K33*'Capacity By Company'!K33,2)</f>
        <v>140.4</v>
      </c>
      <c r="L33" s="114">
        <f t="shared" si="0"/>
        <v>153</v>
      </c>
      <c r="M33" s="22">
        <f>ROUND('Operating Efficiency'!M33*'Capacity By Company'!M33,2)</f>
        <v>561.6</v>
      </c>
      <c r="N33" s="22">
        <f>ROUND('Operating Efficiency'!N33*'Capacity By Company'!N33,2)</f>
        <v>576</v>
      </c>
      <c r="O33" s="22">
        <f>ROUND('Operating Efficiency'!O33*'Capacity By Company'!O33,2)</f>
        <v>576</v>
      </c>
      <c r="P33" s="22">
        <f>ROUND('Operating Efficiency'!P33*'Capacity By Company'!P33,2)</f>
        <v>576</v>
      </c>
      <c r="Q33" s="22">
        <f>ROUND('Operating Efficiency'!Q33*'Capacity By Company'!Q33,2)</f>
        <v>590.4</v>
      </c>
      <c r="R33" s="22">
        <f>ROUND('Operating Efficiency'!R33*'Capacity By Company'!R33,2)</f>
        <v>590.4</v>
      </c>
      <c r="S33" s="22">
        <f>ROUND('Operating Efficiency'!S33*'Capacity By Company'!S33,2)</f>
        <v>597.6</v>
      </c>
      <c r="T33" s="22">
        <f>ROUND('Operating Efficiency'!T33*'Capacity By Company'!T33,2)</f>
        <v>604.79999999999995</v>
      </c>
      <c r="U33" s="22">
        <f>ROUND('Operating Efficiency'!U33*'Capacity By Company'!U33,2)</f>
        <v>604.79999999999995</v>
      </c>
      <c r="V33" s="22">
        <f>ROUND('Operating Efficiency'!V33*'Capacity By Company'!V33,2)</f>
        <v>604.79999999999995</v>
      </c>
      <c r="W33" s="22">
        <f>ROUND('Operating Efficiency'!W33*'Capacity By Company'!W33,2)</f>
        <v>604.79999999999995</v>
      </c>
    </row>
    <row r="34" spans="1:23" x14ac:dyDescent="0.25">
      <c r="A34" s="22" t="str">
        <f>'Capacity By Location'!D44</f>
        <v>Saudi Arabia Basic Industries Corporation (SABIC)</v>
      </c>
      <c r="B34" s="22">
        <f>ROUND('Operating Efficiency'!B34*'Capacity By Company'!B34,2)</f>
        <v>3430</v>
      </c>
      <c r="C34" s="22">
        <f>ROUND('Operating Efficiency'!C34*'Capacity By Company'!C34,2)</f>
        <v>3528</v>
      </c>
      <c r="D34" s="22">
        <f>ROUND('Operating Efficiency'!D34*'Capacity By Company'!D34,2)</f>
        <v>3626</v>
      </c>
      <c r="E34" s="22">
        <f>ROUND('Operating Efficiency'!E34*'Capacity By Company'!E34,2)</f>
        <v>3724</v>
      </c>
      <c r="F34" s="22">
        <f>ROUND('Operating Efficiency'!F34*'Capacity By Company'!F34,2)</f>
        <v>3822</v>
      </c>
      <c r="G34" s="22">
        <f>ROUND('Operating Efficiency'!G34*'Capacity By Company'!G34,2)</f>
        <v>3528</v>
      </c>
      <c r="H34" s="22">
        <f>ROUND('Operating Efficiency'!H34*'Capacity By Company'!H34,2)</f>
        <v>3626</v>
      </c>
      <c r="I34" s="114">
        <f>ROUND('Operating Efficiency'!I34*'Capacity By Company'!I34,2)</f>
        <v>894.25</v>
      </c>
      <c r="J34" s="114">
        <f>ROUND('Operating Efficiency'!J34*'Capacity By Company'!J34,2)</f>
        <v>931</v>
      </c>
      <c r="K34" s="114">
        <f>ROUND('Operating Efficiency'!K34*'Capacity By Company'!K34,2)</f>
        <v>931</v>
      </c>
      <c r="L34" s="114">
        <f t="shared" si="0"/>
        <v>967.75</v>
      </c>
      <c r="M34" s="22">
        <f>ROUND('Operating Efficiency'!M34*'Capacity By Company'!M34,2)</f>
        <v>3724</v>
      </c>
      <c r="N34" s="22">
        <f>ROUND('Operating Efficiency'!N34*'Capacity By Company'!N34,2)</f>
        <v>4134</v>
      </c>
      <c r="O34" s="22">
        <f>ROUND('Operating Efficiency'!O34*'Capacity By Company'!O34,2)</f>
        <v>4240</v>
      </c>
      <c r="P34" s="22">
        <f>ROUND('Operating Efficiency'!P34*'Capacity By Company'!P34,2)</f>
        <v>4346</v>
      </c>
      <c r="Q34" s="22">
        <f>ROUND('Operating Efficiency'!Q34*'Capacity By Company'!Q34,2)</f>
        <v>4399</v>
      </c>
      <c r="R34" s="22">
        <f>ROUND('Operating Efficiency'!R34*'Capacity By Company'!R34,2)</f>
        <v>4399</v>
      </c>
      <c r="S34" s="22">
        <f>ROUND('Operating Efficiency'!S34*'Capacity By Company'!S34,2)</f>
        <v>4399</v>
      </c>
      <c r="T34" s="22">
        <f>ROUND('Operating Efficiency'!T34*'Capacity By Company'!T34,2)</f>
        <v>4452</v>
      </c>
      <c r="U34" s="22">
        <f>ROUND('Operating Efficiency'!U34*'Capacity By Company'!U34,2)</f>
        <v>4452</v>
      </c>
      <c r="V34" s="22">
        <f>ROUND('Operating Efficiency'!V34*'Capacity By Company'!V34,2)</f>
        <v>4452</v>
      </c>
      <c r="W34" s="22">
        <f>ROUND('Operating Efficiency'!W34*'Capacity By Company'!W34,2)</f>
        <v>4452</v>
      </c>
    </row>
    <row r="35" spans="1:23" x14ac:dyDescent="0.25">
      <c r="A35" s="22" t="str">
        <f>'Capacity By Location'!D45</f>
        <v>Sipchem</v>
      </c>
      <c r="B35" s="22">
        <f>ROUND('Operating Efficiency'!B35*'Capacity By Company'!B35,2)</f>
        <v>580.20000000000005</v>
      </c>
      <c r="C35" s="22">
        <f>ROUND('Operating Efficiency'!C35*'Capacity By Company'!C35,2)</f>
        <v>618.88</v>
      </c>
      <c r="D35" s="22">
        <f>ROUND('Operating Efficiency'!D35*'Capacity By Company'!D35,2)</f>
        <v>638.22</v>
      </c>
      <c r="E35" s="22">
        <f>ROUND('Operating Efficiency'!E35*'Capacity By Company'!E35,2)</f>
        <v>657.56</v>
      </c>
      <c r="F35" s="22">
        <f>ROUND('Operating Efficiency'!F35*'Capacity By Company'!F35,2)</f>
        <v>676.9</v>
      </c>
      <c r="G35" s="22">
        <f>ROUND('Operating Efficiency'!G35*'Capacity By Company'!G35,2)</f>
        <v>638.22</v>
      </c>
      <c r="H35" s="22">
        <f>ROUND('Operating Efficiency'!H35*'Capacity By Company'!H35,2)</f>
        <v>676.9</v>
      </c>
      <c r="I35" s="114">
        <f>ROUND('Operating Efficiency'!I35*'Capacity By Company'!I35,2)</f>
        <v>171.64</v>
      </c>
      <c r="J35" s="114">
        <f>ROUND('Operating Efficiency'!J35*'Capacity By Company'!J35,2)</f>
        <v>176.48</v>
      </c>
      <c r="K35" s="114">
        <f>ROUND('Operating Efficiency'!K35*'Capacity By Company'!K35,2)</f>
        <v>178.9</v>
      </c>
      <c r="L35" s="114">
        <f t="shared" si="0"/>
        <v>188.56000000000006</v>
      </c>
      <c r="M35" s="22">
        <f>ROUND('Operating Efficiency'!M35*'Capacity By Company'!M35,2)</f>
        <v>715.58</v>
      </c>
      <c r="N35" s="22">
        <f>ROUND('Operating Efficiency'!N35*'Capacity By Company'!N35,2)</f>
        <v>734.92</v>
      </c>
      <c r="O35" s="22">
        <f>ROUND('Operating Efficiency'!O35*'Capacity By Company'!O35,2)</f>
        <v>773.6</v>
      </c>
      <c r="P35" s="22">
        <f>ROUND('Operating Efficiency'!P35*'Capacity By Company'!P35,2)</f>
        <v>792.94</v>
      </c>
      <c r="Q35" s="22">
        <f>ROUND('Operating Efficiency'!Q35*'Capacity By Company'!Q35,2)</f>
        <v>812.28</v>
      </c>
      <c r="R35" s="22">
        <f>ROUND('Operating Efficiency'!R35*'Capacity By Company'!R35,2)</f>
        <v>812.28</v>
      </c>
      <c r="S35" s="22">
        <f>ROUND('Operating Efficiency'!S35*'Capacity By Company'!S35,2)</f>
        <v>812.28</v>
      </c>
      <c r="T35" s="22">
        <f>ROUND('Operating Efficiency'!T35*'Capacity By Company'!T35,2)</f>
        <v>821.95</v>
      </c>
      <c r="U35" s="22">
        <f>ROUND('Operating Efficiency'!U35*'Capacity By Company'!U35,2)</f>
        <v>821.95</v>
      </c>
      <c r="V35" s="22">
        <f>ROUND('Operating Efficiency'!V35*'Capacity By Company'!V35,2)</f>
        <v>821.95</v>
      </c>
      <c r="W35" s="22">
        <f>ROUND('Operating Efficiency'!W35*'Capacity By Company'!W35,2)</f>
        <v>821.95</v>
      </c>
    </row>
    <row r="36" spans="1:23" x14ac:dyDescent="0.25">
      <c r="A36" s="22" t="str">
        <f>'Capacity By Location'!D47</f>
        <v>Gulf Petrochemical Industries Company</v>
      </c>
      <c r="B36" s="22">
        <f>ROUND('Operating Efficiency'!B36*'Capacity By Company'!B36,2)</f>
        <v>280.5</v>
      </c>
      <c r="C36" s="22">
        <f>ROUND('Operating Efficiency'!C36*'Capacity By Company'!C36,2)</f>
        <v>289</v>
      </c>
      <c r="D36" s="22">
        <f>ROUND('Operating Efficiency'!D36*'Capacity By Company'!D36,2)</f>
        <v>297.5</v>
      </c>
      <c r="E36" s="22">
        <f>ROUND('Operating Efficiency'!E36*'Capacity By Company'!E36,2)</f>
        <v>306</v>
      </c>
      <c r="F36" s="22">
        <f>ROUND('Operating Efficiency'!F36*'Capacity By Company'!F36,2)</f>
        <v>314.5</v>
      </c>
      <c r="G36" s="22">
        <f>ROUND('Operating Efficiency'!G36*'Capacity By Company'!G36,2)</f>
        <v>297.5</v>
      </c>
      <c r="H36" s="22">
        <f>ROUND('Operating Efficiency'!H36*'Capacity By Company'!H36,2)</f>
        <v>306</v>
      </c>
      <c r="I36" s="114">
        <f>ROUND('Operating Efficiency'!I36*'Capacity By Company'!I36,2)</f>
        <v>75.44</v>
      </c>
      <c r="J36" s="114">
        <f>ROUND('Operating Efficiency'!J36*'Capacity By Company'!J36,2)</f>
        <v>77.56</v>
      </c>
      <c r="K36" s="114">
        <f>ROUND('Operating Efficiency'!K36*'Capacity By Company'!K36,2)</f>
        <v>78.63</v>
      </c>
      <c r="L36" s="114">
        <f t="shared" si="0"/>
        <v>82.87</v>
      </c>
      <c r="M36" s="22">
        <f>ROUND('Operating Efficiency'!M36*'Capacity By Company'!M36,2)</f>
        <v>314.5</v>
      </c>
      <c r="N36" s="22">
        <f>ROUND('Operating Efficiency'!N36*'Capacity By Company'!N36,2)</f>
        <v>323</v>
      </c>
      <c r="O36" s="22">
        <f>ROUND('Operating Efficiency'!O36*'Capacity By Company'!O36,2)</f>
        <v>331.5</v>
      </c>
      <c r="P36" s="22">
        <f>ROUND('Operating Efficiency'!P36*'Capacity By Company'!P36,2)</f>
        <v>331.5</v>
      </c>
      <c r="Q36" s="22">
        <f>ROUND('Operating Efficiency'!Q36*'Capacity By Company'!Q36,2)</f>
        <v>331.5</v>
      </c>
      <c r="R36" s="22">
        <f>ROUND('Operating Efficiency'!R36*'Capacity By Company'!R36,2)</f>
        <v>340</v>
      </c>
      <c r="S36" s="22">
        <f>ROUND('Operating Efficiency'!S36*'Capacity By Company'!S36,2)</f>
        <v>340</v>
      </c>
      <c r="T36" s="22">
        <f>ROUND('Operating Efficiency'!T36*'Capacity By Company'!T36,2)</f>
        <v>348.5</v>
      </c>
      <c r="U36" s="22">
        <f>ROUND('Operating Efficiency'!U36*'Capacity By Company'!U36,2)</f>
        <v>348.5</v>
      </c>
      <c r="V36" s="22">
        <f>ROUND('Operating Efficiency'!V36*'Capacity By Company'!V36,2)</f>
        <v>357</v>
      </c>
      <c r="W36" s="22">
        <f>ROUND('Operating Efficiency'!W36*'Capacity By Company'!W36,2)</f>
        <v>357</v>
      </c>
    </row>
    <row r="37" spans="1:23" x14ac:dyDescent="0.25">
      <c r="A37" s="22" t="str">
        <f>'Capacity By Location'!D48</f>
        <v>Atlantic Methanol</v>
      </c>
      <c r="B37" s="22">
        <f>ROUND('Operating Efficiency'!B37*'Capacity By Company'!B37,2)</f>
        <v>620</v>
      </c>
      <c r="C37" s="22">
        <f>ROUND('Operating Efficiency'!C37*'Capacity By Company'!C37,2)</f>
        <v>640</v>
      </c>
      <c r="D37" s="22">
        <f>ROUND('Operating Efficiency'!D37*'Capacity By Company'!D37,2)</f>
        <v>660</v>
      </c>
      <c r="E37" s="22">
        <f>ROUND('Operating Efficiency'!E37*'Capacity By Company'!E37,2)</f>
        <v>680</v>
      </c>
      <c r="F37" s="22">
        <f>ROUND('Operating Efficiency'!F37*'Capacity By Company'!F37,2)</f>
        <v>700</v>
      </c>
      <c r="G37" s="22">
        <f>ROUND('Operating Efficiency'!G37*'Capacity By Company'!G37,2)</f>
        <v>660</v>
      </c>
      <c r="H37" s="22">
        <f>ROUND('Operating Efficiency'!H37*'Capacity By Company'!H37,2)</f>
        <v>680</v>
      </c>
      <c r="I37" s="114">
        <f>ROUND('Operating Efficiency'!I37*'Capacity By Company'!I37,2)</f>
        <v>167.5</v>
      </c>
      <c r="J37" s="114">
        <f>ROUND('Operating Efficiency'!J37*'Capacity By Company'!J37,2)</f>
        <v>172.5</v>
      </c>
      <c r="K37" s="114">
        <f>ROUND('Operating Efficiency'!K37*'Capacity By Company'!K37,2)</f>
        <v>175</v>
      </c>
      <c r="L37" s="114">
        <f t="shared" si="0"/>
        <v>185</v>
      </c>
      <c r="M37" s="22">
        <f>ROUND('Operating Efficiency'!M37*'Capacity By Company'!M37,2)</f>
        <v>700</v>
      </c>
      <c r="N37" s="22">
        <f>ROUND('Operating Efficiency'!N37*'Capacity By Company'!N37,2)</f>
        <v>720</v>
      </c>
      <c r="O37" s="22">
        <f>ROUND('Operating Efficiency'!O37*'Capacity By Company'!O37,2)</f>
        <v>760</v>
      </c>
      <c r="P37" s="22">
        <f>ROUND('Operating Efficiency'!P37*'Capacity By Company'!P37,2)</f>
        <v>780</v>
      </c>
      <c r="Q37" s="22">
        <f>ROUND('Operating Efficiency'!Q37*'Capacity By Company'!Q37,2)</f>
        <v>800</v>
      </c>
      <c r="R37" s="22">
        <f>ROUND('Operating Efficiency'!R37*'Capacity By Company'!R37,2)</f>
        <v>820</v>
      </c>
      <c r="S37" s="22">
        <f>ROUND('Operating Efficiency'!S37*'Capacity By Company'!S37,2)</f>
        <v>820</v>
      </c>
      <c r="T37" s="22">
        <f>ROUND('Operating Efficiency'!T37*'Capacity By Company'!T37,2)</f>
        <v>840</v>
      </c>
      <c r="U37" s="22">
        <f>ROUND('Operating Efficiency'!U37*'Capacity By Company'!U37,2)</f>
        <v>840</v>
      </c>
      <c r="V37" s="22">
        <f>ROUND('Operating Efficiency'!V37*'Capacity By Company'!V37,2)</f>
        <v>840</v>
      </c>
      <c r="W37" s="22">
        <f>ROUND('Operating Efficiency'!W37*'Capacity By Company'!W37,2)</f>
        <v>840</v>
      </c>
    </row>
    <row r="38" spans="1:23" x14ac:dyDescent="0.25">
      <c r="A38" s="22" t="str">
        <f>'Capacity By Location'!D50</f>
        <v>Kaveh Methanol Petrochemical</v>
      </c>
      <c r="B38" s="22">
        <f>ROUND('Operating Efficiency'!B38*'Capacity By Company'!B38,2)</f>
        <v>1472</v>
      </c>
      <c r="C38" s="22">
        <f>ROUND('Operating Efficiency'!C38*'Capacity By Company'!C38,2)</f>
        <v>1518</v>
      </c>
      <c r="D38" s="22">
        <f>ROUND('Operating Efficiency'!D38*'Capacity By Company'!D38,2)</f>
        <v>1610</v>
      </c>
      <c r="E38" s="22">
        <f>ROUND('Operating Efficiency'!E38*'Capacity By Company'!E38,2)</f>
        <v>1610</v>
      </c>
      <c r="F38" s="22">
        <f>ROUND('Operating Efficiency'!F38*'Capacity By Company'!F38,2)</f>
        <v>1656</v>
      </c>
      <c r="G38" s="22">
        <f>ROUND('Operating Efficiency'!G38*'Capacity By Company'!G38,2)</f>
        <v>1564</v>
      </c>
      <c r="H38" s="22">
        <f>ROUND('Operating Efficiency'!H38*'Capacity By Company'!H38,2)</f>
        <v>1656</v>
      </c>
      <c r="I38" s="114">
        <f>ROUND('Operating Efficiency'!I38*'Capacity By Company'!I38,2)</f>
        <v>402.5</v>
      </c>
      <c r="J38" s="114">
        <f>ROUND('Operating Efficiency'!J38*'Capacity By Company'!J38,2)</f>
        <v>431.25</v>
      </c>
      <c r="K38" s="114">
        <f>ROUND('Operating Efficiency'!K38*'Capacity By Company'!K38,2)</f>
        <v>437</v>
      </c>
      <c r="L38" s="114">
        <f t="shared" si="0"/>
        <v>477.25</v>
      </c>
      <c r="M38" s="22">
        <f>ROUND('Operating Efficiency'!M38*'Capacity By Company'!M38,2)</f>
        <v>1748</v>
      </c>
      <c r="N38" s="22">
        <f>ROUND('Operating Efficiency'!N38*'Capacity By Company'!N38,2)</f>
        <v>1794</v>
      </c>
      <c r="O38" s="22">
        <f>ROUND('Operating Efficiency'!O38*'Capacity By Company'!O38,2)</f>
        <v>1840</v>
      </c>
      <c r="P38" s="22">
        <f>ROUND('Operating Efficiency'!P38*'Capacity By Company'!P38,2)</f>
        <v>1840</v>
      </c>
      <c r="Q38" s="22">
        <f>ROUND('Operating Efficiency'!Q38*'Capacity By Company'!Q38,2)</f>
        <v>1840</v>
      </c>
      <c r="R38" s="22">
        <f>ROUND('Operating Efficiency'!R38*'Capacity By Company'!R38,2)</f>
        <v>1886</v>
      </c>
      <c r="S38" s="22">
        <f>ROUND('Operating Efficiency'!S38*'Capacity By Company'!S38,2)</f>
        <v>1909</v>
      </c>
      <c r="T38" s="22">
        <f>ROUND('Operating Efficiency'!T38*'Capacity By Company'!T38,2)</f>
        <v>1909</v>
      </c>
      <c r="U38" s="22">
        <f>ROUND('Operating Efficiency'!U38*'Capacity By Company'!U38,2)</f>
        <v>1932</v>
      </c>
      <c r="V38" s="22">
        <f>ROUND('Operating Efficiency'!V38*'Capacity By Company'!V38,2)</f>
        <v>1932</v>
      </c>
      <c r="W38" s="22">
        <f>ROUND('Operating Efficiency'!W38*'Capacity By Company'!W38,2)</f>
        <v>1932</v>
      </c>
    </row>
    <row r="39" spans="1:23" x14ac:dyDescent="0.25">
      <c r="A39" s="22" t="str">
        <f>'Capacity By Location'!D51</f>
        <v>NPC-Kharg Island</v>
      </c>
      <c r="B39" s="22">
        <f>ROUND('Operating Efficiency'!B39*'Capacity By Company'!B39,2)</f>
        <v>475.2</v>
      </c>
      <c r="C39" s="22">
        <f>ROUND('Operating Efficiency'!C39*'Capacity By Company'!C39,2)</f>
        <v>488.4</v>
      </c>
      <c r="D39" s="22">
        <f>ROUND('Operating Efficiency'!D39*'Capacity By Company'!D39,2)</f>
        <v>501.6</v>
      </c>
      <c r="E39" s="22">
        <f>ROUND('Operating Efficiency'!E39*'Capacity By Company'!E39,2)</f>
        <v>514.79999999999995</v>
      </c>
      <c r="F39" s="22">
        <f>ROUND('Operating Efficiency'!F39*'Capacity By Company'!F39,2)</f>
        <v>528</v>
      </c>
      <c r="G39" s="22">
        <f>ROUND('Operating Efficiency'!G39*'Capacity By Company'!G39,2)</f>
        <v>488.4</v>
      </c>
      <c r="H39" s="22">
        <f>ROUND('Operating Efficiency'!H39*'Capacity By Company'!H39,2)</f>
        <v>514.79999999999995</v>
      </c>
      <c r="I39" s="114">
        <f>ROUND('Operating Efficiency'!I39*'Capacity By Company'!I39,2)</f>
        <v>127.05</v>
      </c>
      <c r="J39" s="114">
        <f>ROUND('Operating Efficiency'!J39*'Capacity By Company'!J39,2)</f>
        <v>130.35</v>
      </c>
      <c r="K39" s="114">
        <f>ROUND('Operating Efficiency'!K39*'Capacity By Company'!K39,2)</f>
        <v>132</v>
      </c>
      <c r="L39" s="114">
        <f t="shared" si="0"/>
        <v>138.60000000000002</v>
      </c>
      <c r="M39" s="22">
        <f>ROUND('Operating Efficiency'!M39*'Capacity By Company'!M39,2)</f>
        <v>528</v>
      </c>
      <c r="N39" s="22">
        <f>ROUND('Operating Efficiency'!N39*'Capacity By Company'!N39,2)</f>
        <v>528</v>
      </c>
      <c r="O39" s="22">
        <f>ROUND('Operating Efficiency'!O39*'Capacity By Company'!O39,2)</f>
        <v>541.20000000000005</v>
      </c>
      <c r="P39" s="22">
        <f>ROUND('Operating Efficiency'!P39*'Capacity By Company'!P39,2)</f>
        <v>547.79999999999995</v>
      </c>
      <c r="Q39" s="22">
        <f>ROUND('Operating Efficiency'!Q39*'Capacity By Company'!Q39,2)</f>
        <v>554.4</v>
      </c>
      <c r="R39" s="22">
        <f>ROUND('Operating Efficiency'!R39*'Capacity By Company'!R39,2)</f>
        <v>554.4</v>
      </c>
      <c r="S39" s="22">
        <f>ROUND('Operating Efficiency'!S39*'Capacity By Company'!S39,2)</f>
        <v>561</v>
      </c>
      <c r="T39" s="22">
        <f>ROUND('Operating Efficiency'!T39*'Capacity By Company'!T39,2)</f>
        <v>561</v>
      </c>
      <c r="U39" s="22">
        <f>ROUND('Operating Efficiency'!U39*'Capacity By Company'!U39,2)</f>
        <v>561</v>
      </c>
      <c r="V39" s="22">
        <f>ROUND('Operating Efficiency'!V39*'Capacity By Company'!V39,2)</f>
        <v>561</v>
      </c>
      <c r="W39" s="22">
        <f>ROUND('Operating Efficiency'!W39*'Capacity By Company'!W39,2)</f>
        <v>561</v>
      </c>
    </row>
    <row r="40" spans="1:23" x14ac:dyDescent="0.25">
      <c r="A40" s="22" t="str">
        <f>'Capacity By Location'!D52</f>
        <v>NPC-Fanavaran</v>
      </c>
      <c r="B40" s="22">
        <f>ROUND('Operating Efficiency'!B40*'Capacity By Company'!B40,2)</f>
        <v>660</v>
      </c>
      <c r="C40" s="22">
        <f>ROUND('Operating Efficiency'!C40*'Capacity By Company'!C40,2)</f>
        <v>700</v>
      </c>
      <c r="D40" s="22">
        <f>ROUND('Operating Efficiency'!D40*'Capacity By Company'!D40,2)</f>
        <v>720</v>
      </c>
      <c r="E40" s="22">
        <f>ROUND('Operating Efficiency'!E40*'Capacity By Company'!E40,2)</f>
        <v>740</v>
      </c>
      <c r="F40" s="22">
        <f>ROUND('Operating Efficiency'!F40*'Capacity By Company'!F40,2)</f>
        <v>760</v>
      </c>
      <c r="G40" s="22">
        <f>ROUND('Operating Efficiency'!G40*'Capacity By Company'!G40,2)</f>
        <v>700</v>
      </c>
      <c r="H40" s="22">
        <f>ROUND('Operating Efficiency'!H40*'Capacity By Company'!H40,2)</f>
        <v>720</v>
      </c>
      <c r="I40" s="114">
        <f>ROUND('Operating Efficiency'!I40*'Capacity By Company'!I40,2)</f>
        <v>182.5</v>
      </c>
      <c r="J40" s="114">
        <f>ROUND('Operating Efficiency'!J40*'Capacity By Company'!J40,2)</f>
        <v>190</v>
      </c>
      <c r="K40" s="114">
        <f>ROUND('Operating Efficiency'!K40*'Capacity By Company'!K40,2)</f>
        <v>190</v>
      </c>
      <c r="L40" s="114">
        <f t="shared" si="0"/>
        <v>197.5</v>
      </c>
      <c r="M40" s="22">
        <f>ROUND('Operating Efficiency'!M40*'Capacity By Company'!M40,2)</f>
        <v>760</v>
      </c>
      <c r="N40" s="22">
        <f>ROUND('Operating Efficiency'!N40*'Capacity By Company'!N40,2)</f>
        <v>780</v>
      </c>
      <c r="O40" s="22">
        <f>ROUND('Operating Efficiency'!O40*'Capacity By Company'!O40,2)</f>
        <v>800</v>
      </c>
      <c r="P40" s="22">
        <f>ROUND('Operating Efficiency'!P40*'Capacity By Company'!P40,2)</f>
        <v>800</v>
      </c>
      <c r="Q40" s="22">
        <f>ROUND('Operating Efficiency'!Q40*'Capacity By Company'!Q40,2)</f>
        <v>820</v>
      </c>
      <c r="R40" s="22">
        <f>ROUND('Operating Efficiency'!R40*'Capacity By Company'!R40,2)</f>
        <v>820</v>
      </c>
      <c r="S40" s="22">
        <f>ROUND('Operating Efficiency'!S40*'Capacity By Company'!S40,2)</f>
        <v>820</v>
      </c>
      <c r="T40" s="22">
        <f>ROUND('Operating Efficiency'!T40*'Capacity By Company'!T40,2)</f>
        <v>840</v>
      </c>
      <c r="U40" s="22">
        <f>ROUND('Operating Efficiency'!U40*'Capacity By Company'!U40,2)</f>
        <v>840</v>
      </c>
      <c r="V40" s="22">
        <f>ROUND('Operating Efficiency'!V40*'Capacity By Company'!V40,2)</f>
        <v>840</v>
      </c>
      <c r="W40" s="22">
        <f>ROUND('Operating Efficiency'!W40*'Capacity By Company'!W40,2)</f>
        <v>840</v>
      </c>
    </row>
    <row r="41" spans="1:23" x14ac:dyDescent="0.25">
      <c r="A41" s="22" t="str">
        <f>'Capacity By Location'!D53</f>
        <v xml:space="preserve">NPC-Zagros </v>
      </c>
      <c r="B41" s="22">
        <f>ROUND('Operating Efficiency'!B41*'Capacity By Company'!B41,2)</f>
        <v>2310</v>
      </c>
      <c r="C41" s="22">
        <f>ROUND('Operating Efficiency'!C41*'Capacity By Company'!C41,2)</f>
        <v>2376</v>
      </c>
      <c r="D41" s="22">
        <f>ROUND('Operating Efficiency'!D41*'Capacity By Company'!D41,2)</f>
        <v>2442</v>
      </c>
      <c r="E41" s="22">
        <f>ROUND('Operating Efficiency'!E41*'Capacity By Company'!E41,2)</f>
        <v>2508</v>
      </c>
      <c r="F41" s="22">
        <f>ROUND('Operating Efficiency'!F41*'Capacity By Company'!F41,2)</f>
        <v>2574</v>
      </c>
      <c r="G41" s="22">
        <f>ROUND('Operating Efficiency'!G41*'Capacity By Company'!G41,2)</f>
        <v>2376</v>
      </c>
      <c r="H41" s="22">
        <f>ROUND('Operating Efficiency'!H41*'Capacity By Company'!H41,2)</f>
        <v>2442</v>
      </c>
      <c r="I41" s="114">
        <f>ROUND('Operating Efficiency'!I41*'Capacity By Company'!I41,2)</f>
        <v>602.25</v>
      </c>
      <c r="J41" s="114">
        <f>ROUND('Operating Efficiency'!J41*'Capacity By Company'!J41,2)</f>
        <v>618.75</v>
      </c>
      <c r="K41" s="114">
        <f>ROUND('Operating Efficiency'!K41*'Capacity By Company'!K41,2)</f>
        <v>627</v>
      </c>
      <c r="L41" s="114">
        <f t="shared" si="0"/>
        <v>660</v>
      </c>
      <c r="M41" s="22">
        <f>ROUND('Operating Efficiency'!M41*'Capacity By Company'!M41,2)</f>
        <v>2508</v>
      </c>
      <c r="N41" s="22">
        <f>ROUND('Operating Efficiency'!N41*'Capacity By Company'!N41,2)</f>
        <v>2574</v>
      </c>
      <c r="O41" s="22">
        <f>ROUND('Operating Efficiency'!O41*'Capacity By Company'!O41,2)</f>
        <v>2640</v>
      </c>
      <c r="P41" s="22">
        <f>ROUND('Operating Efficiency'!P41*'Capacity By Company'!P41,2)</f>
        <v>2706</v>
      </c>
      <c r="Q41" s="22">
        <f>ROUND('Operating Efficiency'!Q41*'Capacity By Company'!Q41,2)</f>
        <v>2739</v>
      </c>
      <c r="R41" s="22">
        <f>ROUND('Operating Efficiency'!R41*'Capacity By Company'!R41,2)</f>
        <v>2739</v>
      </c>
      <c r="S41" s="22">
        <f>ROUND('Operating Efficiency'!S41*'Capacity By Company'!S41,2)</f>
        <v>2739</v>
      </c>
      <c r="T41" s="22">
        <f>ROUND('Operating Efficiency'!T41*'Capacity By Company'!T41,2)</f>
        <v>2772</v>
      </c>
      <c r="U41" s="22">
        <f>ROUND('Operating Efficiency'!U41*'Capacity By Company'!U41,2)</f>
        <v>2772</v>
      </c>
      <c r="V41" s="22">
        <f>ROUND('Operating Efficiency'!V41*'Capacity By Company'!V41,2)</f>
        <v>2772</v>
      </c>
      <c r="W41" s="22">
        <f>ROUND('Operating Efficiency'!W41*'Capacity By Company'!W41,2)</f>
        <v>2772</v>
      </c>
    </row>
    <row r="42" spans="1:23" x14ac:dyDescent="0.25">
      <c r="A42" s="22" t="str">
        <f>'Capacity By Location'!D54</f>
        <v>Marjan Petrochemical Company</v>
      </c>
      <c r="B42" s="22">
        <f>ROUND('Operating Efficiency'!B42*'Capacity By Company'!B42,2)</f>
        <v>1122</v>
      </c>
      <c r="C42" s="22">
        <f>ROUND('Operating Efficiency'!C42*'Capacity By Company'!C42,2)</f>
        <v>1155</v>
      </c>
      <c r="D42" s="22">
        <f>ROUND('Operating Efficiency'!D42*'Capacity By Company'!D42,2)</f>
        <v>1188</v>
      </c>
      <c r="E42" s="22">
        <f>ROUND('Operating Efficiency'!E42*'Capacity By Company'!E42,2)</f>
        <v>1221</v>
      </c>
      <c r="F42" s="22">
        <f>ROUND('Operating Efficiency'!F42*'Capacity By Company'!F42,2)</f>
        <v>1254</v>
      </c>
      <c r="G42" s="22">
        <f>ROUND('Operating Efficiency'!G42*'Capacity By Company'!G42,2)</f>
        <v>1204.5</v>
      </c>
      <c r="H42" s="22">
        <f>ROUND('Operating Efficiency'!H42*'Capacity By Company'!H42,2)</f>
        <v>1221</v>
      </c>
      <c r="I42" s="114">
        <f>ROUND('Operating Efficiency'!I42*'Capacity By Company'!I42,2)</f>
        <v>309.38</v>
      </c>
      <c r="J42" s="114">
        <f>ROUND('Operating Efficiency'!J42*'Capacity By Company'!J42,2)</f>
        <v>317.63</v>
      </c>
      <c r="K42" s="114">
        <f>ROUND('Operating Efficiency'!K42*'Capacity By Company'!K42,2)</f>
        <v>321.75</v>
      </c>
      <c r="L42" s="114">
        <f t="shared" si="0"/>
        <v>338.24</v>
      </c>
      <c r="M42" s="22">
        <f>ROUND('Operating Efficiency'!M42*'Capacity By Company'!M42,2)</f>
        <v>1287</v>
      </c>
      <c r="N42" s="22">
        <f>ROUND('Operating Efficiency'!N42*'Capacity By Company'!N42,2)</f>
        <v>1287</v>
      </c>
      <c r="O42" s="22">
        <f>ROUND('Operating Efficiency'!O42*'Capacity By Company'!O42,2)</f>
        <v>1320</v>
      </c>
      <c r="P42" s="22">
        <f>ROUND('Operating Efficiency'!P42*'Capacity By Company'!P42,2)</f>
        <v>1353</v>
      </c>
      <c r="Q42" s="22">
        <f>ROUND('Operating Efficiency'!Q42*'Capacity By Company'!Q42,2)</f>
        <v>1353</v>
      </c>
      <c r="R42" s="22">
        <f>ROUND('Operating Efficiency'!R42*'Capacity By Company'!R42,2)</f>
        <v>1369.5</v>
      </c>
      <c r="S42" s="22">
        <f>ROUND('Operating Efficiency'!S42*'Capacity By Company'!S42,2)</f>
        <v>1386</v>
      </c>
      <c r="T42" s="22">
        <f>ROUND('Operating Efficiency'!T42*'Capacity By Company'!T42,2)</f>
        <v>1386</v>
      </c>
      <c r="U42" s="22">
        <f>ROUND('Operating Efficiency'!U42*'Capacity By Company'!U42,2)</f>
        <v>1402.5</v>
      </c>
      <c r="V42" s="22">
        <f>ROUND('Operating Efficiency'!V42*'Capacity By Company'!V42,2)</f>
        <v>1402.5</v>
      </c>
      <c r="W42" s="22">
        <f>ROUND('Operating Efficiency'!W42*'Capacity By Company'!W42,2)</f>
        <v>1402.5</v>
      </c>
    </row>
    <row r="43" spans="1:23" x14ac:dyDescent="0.25">
      <c r="A43" s="22" t="str">
        <f>'Capacity By Location'!D55</f>
        <v>Sabalan Petrochemical Company</v>
      </c>
      <c r="B43" s="22">
        <f>ROUND('Operating Efficiency'!B43*'Capacity By Company'!B43,2)</f>
        <v>1155</v>
      </c>
      <c r="C43" s="22">
        <f>ROUND('Operating Efficiency'!C43*'Capacity By Company'!C43,2)</f>
        <v>1188</v>
      </c>
      <c r="D43" s="22">
        <f>ROUND('Operating Efficiency'!D43*'Capacity By Company'!D43,2)</f>
        <v>1221</v>
      </c>
      <c r="E43" s="22">
        <f>ROUND('Operating Efficiency'!E43*'Capacity By Company'!E43,2)</f>
        <v>1254</v>
      </c>
      <c r="F43" s="22">
        <f>ROUND('Operating Efficiency'!F43*'Capacity By Company'!F43,2)</f>
        <v>1287</v>
      </c>
      <c r="G43" s="22">
        <f>ROUND('Operating Efficiency'!G43*'Capacity By Company'!G43,2)</f>
        <v>1188</v>
      </c>
      <c r="H43" s="22">
        <f>ROUND('Operating Efficiency'!H43*'Capacity By Company'!H43,2)</f>
        <v>1221</v>
      </c>
      <c r="I43" s="114">
        <f>ROUND('Operating Efficiency'!I43*'Capacity By Company'!I43,2)</f>
        <v>301.13</v>
      </c>
      <c r="J43" s="114">
        <f>ROUND('Operating Efficiency'!J43*'Capacity By Company'!J43,2)</f>
        <v>309.38</v>
      </c>
      <c r="K43" s="114">
        <f>ROUND('Operating Efficiency'!K43*'Capacity By Company'!K43,2)</f>
        <v>313.5</v>
      </c>
      <c r="L43" s="114">
        <f t="shared" si="0"/>
        <v>329.99</v>
      </c>
      <c r="M43" s="22">
        <f>ROUND('Operating Efficiency'!M43*'Capacity By Company'!M43,2)</f>
        <v>1254</v>
      </c>
      <c r="N43" s="22">
        <f>ROUND('Operating Efficiency'!N43*'Capacity By Company'!N43,2)</f>
        <v>1287</v>
      </c>
      <c r="O43" s="22">
        <f>ROUND('Operating Efficiency'!O43*'Capacity By Company'!O43,2)</f>
        <v>1320</v>
      </c>
      <c r="P43" s="22">
        <f>ROUND('Operating Efficiency'!P43*'Capacity By Company'!P43,2)</f>
        <v>1353</v>
      </c>
      <c r="Q43" s="22">
        <f>ROUND('Operating Efficiency'!Q43*'Capacity By Company'!Q43,2)</f>
        <v>1369.5</v>
      </c>
      <c r="R43" s="22">
        <f>ROUND('Operating Efficiency'!R43*'Capacity By Company'!R43,2)</f>
        <v>1369.5</v>
      </c>
      <c r="S43" s="22">
        <f>ROUND('Operating Efficiency'!S43*'Capacity By Company'!S43,2)</f>
        <v>1369.5</v>
      </c>
      <c r="T43" s="22">
        <f>ROUND('Operating Efficiency'!T43*'Capacity By Company'!T43,2)</f>
        <v>1386</v>
      </c>
      <c r="U43" s="22">
        <f>ROUND('Operating Efficiency'!U43*'Capacity By Company'!U43,2)</f>
        <v>1386</v>
      </c>
      <c r="V43" s="22">
        <f>ROUND('Operating Efficiency'!V43*'Capacity By Company'!V43,2)</f>
        <v>1386</v>
      </c>
      <c r="W43" s="22">
        <f>ROUND('Operating Efficiency'!W43*'Capacity By Company'!W43,2)</f>
        <v>1386</v>
      </c>
    </row>
    <row r="44" spans="1:23" x14ac:dyDescent="0.25">
      <c r="A44" s="22" t="str">
        <f>'Capacity By Location'!D56</f>
        <v>Bushehr Petrochemical Complex</v>
      </c>
      <c r="B44" s="22">
        <f>ROUND('Operating Efficiency'!B44*'Capacity By Company'!B44,2)</f>
        <v>1188</v>
      </c>
      <c r="C44" s="22">
        <f>ROUND('Operating Efficiency'!C44*'Capacity By Company'!C44,2)</f>
        <v>1221</v>
      </c>
      <c r="D44" s="22">
        <f>ROUND('Operating Efficiency'!D44*'Capacity By Company'!D44,2)</f>
        <v>1254</v>
      </c>
      <c r="E44" s="22">
        <f>ROUND('Operating Efficiency'!E44*'Capacity By Company'!E44,2)</f>
        <v>1287</v>
      </c>
      <c r="F44" s="22">
        <f>ROUND('Operating Efficiency'!F44*'Capacity By Company'!F44,2)</f>
        <v>1320</v>
      </c>
      <c r="G44" s="22">
        <f>ROUND('Operating Efficiency'!G44*'Capacity By Company'!G44,2)</f>
        <v>1188</v>
      </c>
      <c r="H44" s="22">
        <f>ROUND('Operating Efficiency'!H44*'Capacity By Company'!H44,2)</f>
        <v>1254</v>
      </c>
      <c r="I44" s="114">
        <f>ROUND('Operating Efficiency'!I44*'Capacity By Company'!I44,2)</f>
        <v>309.38</v>
      </c>
      <c r="J44" s="114">
        <f>ROUND('Operating Efficiency'!J44*'Capacity By Company'!J44,2)</f>
        <v>321.75</v>
      </c>
      <c r="K44" s="114">
        <f>ROUND('Operating Efficiency'!K44*'Capacity By Company'!K44,2)</f>
        <v>321.75</v>
      </c>
      <c r="L44" s="114">
        <f t="shared" si="0"/>
        <v>334.12</v>
      </c>
      <c r="M44" s="22">
        <f>ROUND('Operating Efficiency'!M44*'Capacity By Company'!M44,2)</f>
        <v>1287</v>
      </c>
      <c r="N44" s="22">
        <f>ROUND('Operating Efficiency'!N44*'Capacity By Company'!N44,2)</f>
        <v>1320</v>
      </c>
      <c r="O44" s="22">
        <f>ROUND('Operating Efficiency'!O44*'Capacity By Company'!O44,2)</f>
        <v>1320</v>
      </c>
      <c r="P44" s="22">
        <f>ROUND('Operating Efficiency'!P44*'Capacity By Company'!P44,2)</f>
        <v>1353</v>
      </c>
      <c r="Q44" s="22">
        <f>ROUND('Operating Efficiency'!Q44*'Capacity By Company'!Q44,2)</f>
        <v>1386</v>
      </c>
      <c r="R44" s="22">
        <f>ROUND('Operating Efficiency'!R44*'Capacity By Company'!R44,2)</f>
        <v>1386</v>
      </c>
      <c r="S44" s="22">
        <f>ROUND('Operating Efficiency'!S44*'Capacity By Company'!S44,2)</f>
        <v>1386</v>
      </c>
      <c r="T44" s="22">
        <f>ROUND('Operating Efficiency'!T44*'Capacity By Company'!T44,2)</f>
        <v>1402.5</v>
      </c>
      <c r="U44" s="22">
        <f>ROUND('Operating Efficiency'!U44*'Capacity By Company'!U44,2)</f>
        <v>1402.5</v>
      </c>
      <c r="V44" s="22">
        <f>ROUND('Operating Efficiency'!V44*'Capacity By Company'!V44,2)</f>
        <v>1402.5</v>
      </c>
      <c r="W44" s="22">
        <f>ROUND('Operating Efficiency'!W44*'Capacity By Company'!W44,2)</f>
        <v>1402.5</v>
      </c>
    </row>
    <row r="45" spans="1:23" x14ac:dyDescent="0.25">
      <c r="A45" s="22" t="str">
        <f>'Capacity By Location'!D57</f>
        <v>Shiraz Petrochemical Complex</v>
      </c>
      <c r="B45" s="22">
        <f>ROUND('Operating Efficiency'!B45*'Capacity By Company'!B45,2)</f>
        <v>57.12</v>
      </c>
      <c r="C45" s="22">
        <f>ROUND('Operating Efficiency'!C45*'Capacity By Company'!C45,2)</f>
        <v>58.8</v>
      </c>
      <c r="D45" s="22">
        <f>ROUND('Operating Efficiency'!D45*'Capacity By Company'!D45,2)</f>
        <v>60.48</v>
      </c>
      <c r="E45" s="22">
        <f>ROUND('Operating Efficiency'!E45*'Capacity By Company'!E45,2)</f>
        <v>62.16</v>
      </c>
      <c r="F45" s="22">
        <f>ROUND('Operating Efficiency'!F45*'Capacity By Company'!F45,2)</f>
        <v>63.84</v>
      </c>
      <c r="G45" s="22">
        <f>ROUND('Operating Efficiency'!G45*'Capacity By Company'!G45,2)</f>
        <v>62.16</v>
      </c>
      <c r="H45" s="22">
        <f>ROUND('Operating Efficiency'!H45*'Capacity By Company'!H45,2)</f>
        <v>63.84</v>
      </c>
      <c r="I45" s="114">
        <f>ROUND('Operating Efficiency'!I45*'Capacity By Company'!I45,2)</f>
        <v>15.75</v>
      </c>
      <c r="J45" s="114">
        <f>ROUND('Operating Efficiency'!J45*'Capacity By Company'!J45,2)</f>
        <v>16.170000000000002</v>
      </c>
      <c r="K45" s="114">
        <f>ROUND('Operating Efficiency'!K45*'Capacity By Company'!K45,2)</f>
        <v>16.38</v>
      </c>
      <c r="L45" s="114">
        <f t="shared" si="0"/>
        <v>17.22</v>
      </c>
      <c r="M45" s="22">
        <f>ROUND('Operating Efficiency'!M45*'Capacity By Company'!M45,2)</f>
        <v>65.52</v>
      </c>
      <c r="N45" s="22">
        <f>ROUND('Operating Efficiency'!N45*'Capacity By Company'!N45,2)</f>
        <v>67.2</v>
      </c>
      <c r="O45" s="22">
        <f>ROUND('Operating Efficiency'!O45*'Capacity By Company'!O45,2)</f>
        <v>67.2</v>
      </c>
      <c r="P45" s="22">
        <f>ROUND('Operating Efficiency'!P45*'Capacity By Company'!P45,2)</f>
        <v>68.88</v>
      </c>
      <c r="Q45" s="22">
        <f>ROUND('Operating Efficiency'!Q45*'Capacity By Company'!Q45,2)</f>
        <v>68.88</v>
      </c>
      <c r="R45" s="22">
        <f>ROUND('Operating Efficiency'!R45*'Capacity By Company'!R45,2)</f>
        <v>69.72</v>
      </c>
      <c r="S45" s="22">
        <f>ROUND('Operating Efficiency'!S45*'Capacity By Company'!S45,2)</f>
        <v>70.56</v>
      </c>
      <c r="T45" s="22">
        <f>ROUND('Operating Efficiency'!T45*'Capacity By Company'!T45,2)</f>
        <v>70.56</v>
      </c>
      <c r="U45" s="22">
        <f>ROUND('Operating Efficiency'!U45*'Capacity By Company'!U45,2)</f>
        <v>71.400000000000006</v>
      </c>
      <c r="V45" s="22">
        <f>ROUND('Operating Efficiency'!V45*'Capacity By Company'!V45,2)</f>
        <v>71.400000000000006</v>
      </c>
      <c r="W45" s="22">
        <f>ROUND('Operating Efficiency'!W45*'Capacity By Company'!W45,2)</f>
        <v>71.400000000000006</v>
      </c>
    </row>
    <row r="46" spans="1:23" x14ac:dyDescent="0.25">
      <c r="A46" s="22" t="str">
        <f>'Capacity By Location'!D58</f>
        <v>Kimia Pars Middle East Company</v>
      </c>
      <c r="B46" s="22">
        <f>ROUND('Operating Efficiency'!B46*'Capacity By Company'!B46,2)</f>
        <v>1089</v>
      </c>
      <c r="C46" s="22">
        <f>ROUND('Operating Efficiency'!C46*'Capacity By Company'!C46,2)</f>
        <v>1122</v>
      </c>
      <c r="D46" s="22">
        <f>ROUND('Operating Efficiency'!D46*'Capacity By Company'!D46,2)</f>
        <v>1155</v>
      </c>
      <c r="E46" s="22">
        <f>ROUND('Operating Efficiency'!E46*'Capacity By Company'!E46,2)</f>
        <v>1188</v>
      </c>
      <c r="F46" s="22">
        <f>ROUND('Operating Efficiency'!F46*'Capacity By Company'!F46,2)</f>
        <v>1221</v>
      </c>
      <c r="G46" s="22">
        <f>ROUND('Operating Efficiency'!G46*'Capacity By Company'!G46,2)</f>
        <v>1155</v>
      </c>
      <c r="H46" s="22">
        <f>ROUND('Operating Efficiency'!H46*'Capacity By Company'!H46,2)</f>
        <v>1221</v>
      </c>
      <c r="I46" s="114">
        <f>ROUND('Operating Efficiency'!I46*'Capacity By Company'!I46,2)</f>
        <v>301.13</v>
      </c>
      <c r="J46" s="114">
        <f>ROUND('Operating Efficiency'!J46*'Capacity By Company'!J46,2)</f>
        <v>309.38</v>
      </c>
      <c r="K46" s="114">
        <f>ROUND('Operating Efficiency'!K46*'Capacity By Company'!K46,2)</f>
        <v>313.5</v>
      </c>
      <c r="L46" s="114">
        <f t="shared" si="0"/>
        <v>329.99</v>
      </c>
      <c r="M46" s="22">
        <f>ROUND('Operating Efficiency'!M46*'Capacity By Company'!M46,2)</f>
        <v>1254</v>
      </c>
      <c r="N46" s="22">
        <f>ROUND('Operating Efficiency'!N46*'Capacity By Company'!N46,2)</f>
        <v>1287</v>
      </c>
      <c r="O46" s="22">
        <f>ROUND('Operating Efficiency'!O46*'Capacity By Company'!O46,2)</f>
        <v>1320</v>
      </c>
      <c r="P46" s="22">
        <f>ROUND('Operating Efficiency'!P46*'Capacity By Company'!P46,2)</f>
        <v>1320</v>
      </c>
      <c r="Q46" s="22">
        <f>ROUND('Operating Efficiency'!Q46*'Capacity By Company'!Q46,2)</f>
        <v>1320</v>
      </c>
      <c r="R46" s="22">
        <f>ROUND('Operating Efficiency'!R46*'Capacity By Company'!R46,2)</f>
        <v>1353</v>
      </c>
      <c r="S46" s="22">
        <f>ROUND('Operating Efficiency'!S46*'Capacity By Company'!S46,2)</f>
        <v>1369.5</v>
      </c>
      <c r="T46" s="22">
        <f>ROUND('Operating Efficiency'!T46*'Capacity By Company'!T46,2)</f>
        <v>1369.5</v>
      </c>
      <c r="U46" s="22">
        <f>ROUND('Operating Efficiency'!U46*'Capacity By Company'!U46,2)</f>
        <v>1386</v>
      </c>
      <c r="V46" s="22">
        <f>ROUND('Operating Efficiency'!V46*'Capacity By Company'!V46,2)</f>
        <v>1386</v>
      </c>
      <c r="W46" s="22">
        <f>ROUND('Operating Efficiency'!W46*'Capacity By Company'!W46,2)</f>
        <v>1386</v>
      </c>
    </row>
    <row r="47" spans="1:23" x14ac:dyDescent="0.25">
      <c r="A47" s="22" t="str">
        <f>'Capacity By Location'!D59</f>
        <v>Apadana Petrochemical Persian Gulf</v>
      </c>
      <c r="B47" s="22">
        <f>ROUND('Operating Efficiency'!B47*'Capacity By Company'!B47,2)</f>
        <v>1155</v>
      </c>
      <c r="C47" s="22">
        <f>ROUND('Operating Efficiency'!C47*'Capacity By Company'!C47,2)</f>
        <v>1188</v>
      </c>
      <c r="D47" s="22">
        <f>ROUND('Operating Efficiency'!D47*'Capacity By Company'!D47,2)</f>
        <v>1221</v>
      </c>
      <c r="E47" s="22">
        <f>ROUND('Operating Efficiency'!E47*'Capacity By Company'!E47,2)</f>
        <v>1254</v>
      </c>
      <c r="F47" s="22">
        <f>ROUND('Operating Efficiency'!F47*'Capacity By Company'!F47,2)</f>
        <v>1287</v>
      </c>
      <c r="G47" s="22">
        <f>ROUND('Operating Efficiency'!G47*'Capacity By Company'!G47,2)</f>
        <v>1221</v>
      </c>
      <c r="H47" s="22">
        <f>ROUND('Operating Efficiency'!H47*'Capacity By Company'!H47,2)</f>
        <v>1254</v>
      </c>
      <c r="I47" s="114">
        <f>ROUND('Operating Efficiency'!I47*'Capacity By Company'!I47,2)</f>
        <v>309.38</v>
      </c>
      <c r="J47" s="114">
        <f>ROUND('Operating Efficiency'!J47*'Capacity By Company'!J47,2)</f>
        <v>317.63</v>
      </c>
      <c r="K47" s="114">
        <f>ROUND('Operating Efficiency'!K47*'Capacity By Company'!K47,2)</f>
        <v>321.75</v>
      </c>
      <c r="L47" s="114">
        <f t="shared" si="0"/>
        <v>338.24</v>
      </c>
      <c r="M47" s="22">
        <f>ROUND('Operating Efficiency'!M47*'Capacity By Company'!M47,2)</f>
        <v>1287</v>
      </c>
      <c r="N47" s="22">
        <f>ROUND('Operating Efficiency'!N47*'Capacity By Company'!N47,2)</f>
        <v>1287</v>
      </c>
      <c r="O47" s="22">
        <f>ROUND('Operating Efficiency'!O47*'Capacity By Company'!O47,2)</f>
        <v>1320</v>
      </c>
      <c r="P47" s="22">
        <f>ROUND('Operating Efficiency'!P47*'Capacity By Company'!P47,2)</f>
        <v>1336.5</v>
      </c>
      <c r="Q47" s="22">
        <f>ROUND('Operating Efficiency'!Q47*'Capacity By Company'!Q47,2)</f>
        <v>1353</v>
      </c>
      <c r="R47" s="22">
        <f>ROUND('Operating Efficiency'!R47*'Capacity By Company'!R47,2)</f>
        <v>1353</v>
      </c>
      <c r="S47" s="22">
        <f>ROUND('Operating Efficiency'!S47*'Capacity By Company'!S47,2)</f>
        <v>1369.5</v>
      </c>
      <c r="T47" s="22">
        <f>ROUND('Operating Efficiency'!T47*'Capacity By Company'!T47,2)</f>
        <v>1386</v>
      </c>
      <c r="U47" s="22">
        <f>ROUND('Operating Efficiency'!U47*'Capacity By Company'!U47,2)</f>
        <v>1386</v>
      </c>
      <c r="V47" s="22">
        <f>ROUND('Operating Efficiency'!V47*'Capacity By Company'!V47,2)</f>
        <v>1386</v>
      </c>
      <c r="W47" s="22">
        <f>ROUND('Operating Efficiency'!W47*'Capacity By Company'!W47,2)</f>
        <v>1386</v>
      </c>
    </row>
    <row r="48" spans="1:23" x14ac:dyDescent="0.25">
      <c r="A48" s="22" t="str">
        <f>'Capacity By Location'!D60</f>
        <v>QAFAC</v>
      </c>
      <c r="B48" s="22">
        <f>ROUND('Operating Efficiency'!B48*'Capacity By Company'!B48,2)</f>
        <v>648.12</v>
      </c>
      <c r="C48" s="22">
        <f>ROUND('Operating Efficiency'!C48*'Capacity By Company'!C48,2)</f>
        <v>687.4</v>
      </c>
      <c r="D48" s="22">
        <f>ROUND('Operating Efficiency'!D48*'Capacity By Company'!D48,2)</f>
        <v>707.04</v>
      </c>
      <c r="E48" s="22">
        <f>ROUND('Operating Efficiency'!E48*'Capacity By Company'!E48,2)</f>
        <v>726.68</v>
      </c>
      <c r="F48" s="22">
        <f>ROUND('Operating Efficiency'!F48*'Capacity By Company'!F48,2)</f>
        <v>746.32</v>
      </c>
      <c r="G48" s="22">
        <f>ROUND('Operating Efficiency'!G48*'Capacity By Company'!G48,2)</f>
        <v>726.68</v>
      </c>
      <c r="H48" s="22">
        <f>ROUND('Operating Efficiency'!H48*'Capacity By Company'!H48,2)</f>
        <v>746.32</v>
      </c>
      <c r="I48" s="114">
        <f>ROUND('Operating Efficiency'!I48*'Capacity By Company'!I48,2)</f>
        <v>181.67</v>
      </c>
      <c r="J48" s="114">
        <f>ROUND('Operating Efficiency'!J48*'Capacity By Company'!J48,2)</f>
        <v>193.95</v>
      </c>
      <c r="K48" s="114">
        <f>ROUND('Operating Efficiency'!K48*'Capacity By Company'!K48,2)</f>
        <v>196.4</v>
      </c>
      <c r="L48" s="114">
        <f t="shared" si="0"/>
        <v>213.58000000000004</v>
      </c>
      <c r="M48" s="22">
        <f>ROUND('Operating Efficiency'!M48*'Capacity By Company'!M48,2)</f>
        <v>785.6</v>
      </c>
      <c r="N48" s="22">
        <f>ROUND('Operating Efficiency'!N48*'Capacity By Company'!N48,2)</f>
        <v>785.6</v>
      </c>
      <c r="O48" s="22">
        <f>ROUND('Operating Efficiency'!O48*'Capacity By Company'!O48,2)</f>
        <v>805.24</v>
      </c>
      <c r="P48" s="22">
        <f>ROUND('Operating Efficiency'!P48*'Capacity By Company'!P48,2)</f>
        <v>815.06</v>
      </c>
      <c r="Q48" s="22">
        <f>ROUND('Operating Efficiency'!Q48*'Capacity By Company'!Q48,2)</f>
        <v>824.88</v>
      </c>
      <c r="R48" s="22">
        <f>ROUND('Operating Efficiency'!R48*'Capacity By Company'!R48,2)</f>
        <v>824.88</v>
      </c>
      <c r="S48" s="22">
        <f>ROUND('Operating Efficiency'!S48*'Capacity By Company'!S48,2)</f>
        <v>834.7</v>
      </c>
      <c r="T48" s="22">
        <f>ROUND('Operating Efficiency'!T48*'Capacity By Company'!T48,2)</f>
        <v>834.7</v>
      </c>
      <c r="U48" s="22">
        <f>ROUND('Operating Efficiency'!U48*'Capacity By Company'!U48,2)</f>
        <v>834.7</v>
      </c>
      <c r="V48" s="22">
        <f>ROUND('Operating Efficiency'!V48*'Capacity By Company'!V48,2)</f>
        <v>834.7</v>
      </c>
      <c r="W48" s="22">
        <f>ROUND('Operating Efficiency'!W48*'Capacity By Company'!W48,2)</f>
        <v>834.7</v>
      </c>
    </row>
    <row r="49" spans="1:23" x14ac:dyDescent="0.25">
      <c r="A49" s="22" t="str">
        <f>'Capacity By Location'!D61</f>
        <v>Chemanol</v>
      </c>
      <c r="B49" s="22">
        <f>ROUND('Operating Efficiency'!B49*'Capacity By Company'!B49,2)</f>
        <v>147.19999999999999</v>
      </c>
      <c r="C49" s="22">
        <f>ROUND('Operating Efficiency'!C49*'Capacity By Company'!C49,2)</f>
        <v>156.4</v>
      </c>
      <c r="D49" s="22">
        <f>ROUND('Operating Efficiency'!D49*'Capacity By Company'!D49,2)</f>
        <v>161</v>
      </c>
      <c r="E49" s="22">
        <f>ROUND('Operating Efficiency'!E49*'Capacity By Company'!E49,2)</f>
        <v>165.6</v>
      </c>
      <c r="F49" s="22">
        <f>ROUND('Operating Efficiency'!F49*'Capacity By Company'!F49,2)</f>
        <v>174.8</v>
      </c>
      <c r="G49" s="22">
        <f>ROUND('Operating Efficiency'!G49*'Capacity By Company'!G49,2)</f>
        <v>165.6</v>
      </c>
      <c r="H49" s="22">
        <f>ROUND('Operating Efficiency'!H49*'Capacity By Company'!H49,2)</f>
        <v>170.2</v>
      </c>
      <c r="I49" s="114">
        <f>ROUND('Operating Efficiency'!I49*'Capacity By Company'!I49,2)</f>
        <v>43.13</v>
      </c>
      <c r="J49" s="114">
        <f>ROUND('Operating Efficiency'!J49*'Capacity By Company'!J49,2)</f>
        <v>44.28</v>
      </c>
      <c r="K49" s="114">
        <f>ROUND('Operating Efficiency'!K49*'Capacity By Company'!K49,2)</f>
        <v>44.85</v>
      </c>
      <c r="L49" s="114">
        <f t="shared" si="0"/>
        <v>47.140000000000015</v>
      </c>
      <c r="M49" s="22">
        <f>ROUND('Operating Efficiency'!M49*'Capacity By Company'!M49,2)</f>
        <v>179.4</v>
      </c>
      <c r="N49" s="22">
        <f>ROUND('Operating Efficiency'!N49*'Capacity By Company'!N49,2)</f>
        <v>179.4</v>
      </c>
      <c r="O49" s="22">
        <f>ROUND('Operating Efficiency'!O49*'Capacity By Company'!O49,2)</f>
        <v>184</v>
      </c>
      <c r="P49" s="22">
        <f>ROUND('Operating Efficiency'!P49*'Capacity By Company'!P49,2)</f>
        <v>184</v>
      </c>
      <c r="Q49" s="22">
        <f>ROUND('Operating Efficiency'!Q49*'Capacity By Company'!Q49,2)</f>
        <v>188.6</v>
      </c>
      <c r="R49" s="22">
        <f>ROUND('Operating Efficiency'!R49*'Capacity By Company'!R49,2)</f>
        <v>190.9</v>
      </c>
      <c r="S49" s="22">
        <f>ROUND('Operating Efficiency'!S49*'Capacity By Company'!S49,2)</f>
        <v>193.2</v>
      </c>
      <c r="T49" s="22">
        <f>ROUND('Operating Efficiency'!T49*'Capacity By Company'!T49,2)</f>
        <v>193.2</v>
      </c>
      <c r="U49" s="22">
        <f>ROUND('Operating Efficiency'!U49*'Capacity By Company'!U49,2)</f>
        <v>193.2</v>
      </c>
      <c r="V49" s="22">
        <f>ROUND('Operating Efficiency'!V49*'Capacity By Company'!V49,2)</f>
        <v>193.2</v>
      </c>
      <c r="W49" s="22">
        <f>ROUND('Operating Efficiency'!W49*'Capacity By Company'!W49,2)</f>
        <v>193.2</v>
      </c>
    </row>
    <row r="50" spans="1:23" x14ac:dyDescent="0.25">
      <c r="A50" s="22" t="str">
        <f>'Capacity By Location'!D62</f>
        <v>Oman Methanol Company</v>
      </c>
      <c r="B50" s="22">
        <f>ROUND('Operating Efficiency'!B50*'Capacity By Company'!B50,2)</f>
        <v>828</v>
      </c>
      <c r="C50" s="22">
        <f>ROUND('Operating Efficiency'!C50*'Capacity By Company'!C50,2)</f>
        <v>839.5</v>
      </c>
      <c r="D50" s="22">
        <f>ROUND('Operating Efficiency'!D50*'Capacity By Company'!D50,2)</f>
        <v>851</v>
      </c>
      <c r="E50" s="22">
        <f>ROUND('Operating Efficiency'!E50*'Capacity By Company'!E50,2)</f>
        <v>874</v>
      </c>
      <c r="F50" s="22">
        <f>ROUND('Operating Efficiency'!F50*'Capacity By Company'!F50,2)</f>
        <v>897</v>
      </c>
      <c r="G50" s="22">
        <f>ROUND('Operating Efficiency'!G50*'Capacity By Company'!G50,2)</f>
        <v>805</v>
      </c>
      <c r="H50" s="22">
        <f>ROUND('Operating Efficiency'!H50*'Capacity By Company'!H50,2)</f>
        <v>851</v>
      </c>
      <c r="I50" s="114">
        <f>ROUND('Operating Efficiency'!I50*'Capacity By Company'!I50,2)</f>
        <v>215.63</v>
      </c>
      <c r="J50" s="114">
        <f>ROUND('Operating Efficiency'!J50*'Capacity By Company'!J50,2)</f>
        <v>224.25</v>
      </c>
      <c r="K50" s="114">
        <f>ROUND('Operating Efficiency'!K50*'Capacity By Company'!K50,2)</f>
        <v>224.25</v>
      </c>
      <c r="L50" s="114">
        <f t="shared" si="0"/>
        <v>232.87</v>
      </c>
      <c r="M50" s="22">
        <f>ROUND('Operating Efficiency'!M50*'Capacity By Company'!M50,2)</f>
        <v>897</v>
      </c>
      <c r="N50" s="22">
        <f>ROUND('Operating Efficiency'!N50*'Capacity By Company'!N50,2)</f>
        <v>920</v>
      </c>
      <c r="O50" s="22">
        <f>ROUND('Operating Efficiency'!O50*'Capacity By Company'!O50,2)</f>
        <v>920</v>
      </c>
      <c r="P50" s="22">
        <f>ROUND('Operating Efficiency'!P50*'Capacity By Company'!P50,2)</f>
        <v>943</v>
      </c>
      <c r="Q50" s="22">
        <f>ROUND('Operating Efficiency'!Q50*'Capacity By Company'!Q50,2)</f>
        <v>943</v>
      </c>
      <c r="R50" s="22">
        <f>ROUND('Operating Efficiency'!R50*'Capacity By Company'!R50,2)</f>
        <v>966</v>
      </c>
      <c r="S50" s="22">
        <f>ROUND('Operating Efficiency'!S50*'Capacity By Company'!S50,2)</f>
        <v>966</v>
      </c>
      <c r="T50" s="22">
        <f>ROUND('Operating Efficiency'!T50*'Capacity By Company'!T50,2)</f>
        <v>989</v>
      </c>
      <c r="U50" s="22">
        <f>ROUND('Operating Efficiency'!U50*'Capacity By Company'!U50,2)</f>
        <v>989</v>
      </c>
      <c r="V50" s="22">
        <f>ROUND('Operating Efficiency'!V50*'Capacity By Company'!V50,2)</f>
        <v>989</v>
      </c>
      <c r="W50" s="22">
        <f>ROUND('Operating Efficiency'!W50*'Capacity By Company'!W50,2)</f>
        <v>989</v>
      </c>
    </row>
    <row r="51" spans="1:23" x14ac:dyDescent="0.25">
      <c r="A51" s="22" t="str">
        <f>'Capacity By Location'!D63</f>
        <v xml:space="preserve">Salalah Methanol  </v>
      </c>
      <c r="B51" s="22">
        <f>ROUND('Operating Efficiency'!B51*'Capacity By Company'!B51,2)</f>
        <v>806</v>
      </c>
      <c r="C51" s="22">
        <f>ROUND('Operating Efficiency'!C51*'Capacity By Company'!C51,2)</f>
        <v>832</v>
      </c>
      <c r="D51" s="22">
        <f>ROUND('Operating Efficiency'!D51*'Capacity By Company'!D51,2)</f>
        <v>858</v>
      </c>
      <c r="E51" s="22">
        <f>ROUND('Operating Efficiency'!E51*'Capacity By Company'!E51,2)</f>
        <v>910</v>
      </c>
      <c r="F51" s="22">
        <f>ROUND('Operating Efficiency'!F51*'Capacity By Company'!F51,2)</f>
        <v>936</v>
      </c>
      <c r="G51" s="22">
        <f>ROUND('Operating Efficiency'!G51*'Capacity By Company'!G51,2)</f>
        <v>884</v>
      </c>
      <c r="H51" s="22">
        <f>ROUND('Operating Efficiency'!H51*'Capacity By Company'!H51,2)</f>
        <v>910</v>
      </c>
      <c r="I51" s="114">
        <f>ROUND('Operating Efficiency'!I51*'Capacity By Company'!I51,2)</f>
        <v>224.25</v>
      </c>
      <c r="J51" s="114">
        <f>ROUND('Operating Efficiency'!J51*'Capacity By Company'!J51,2)</f>
        <v>230.75</v>
      </c>
      <c r="K51" s="114">
        <f>ROUND('Operating Efficiency'!K51*'Capacity By Company'!K51,2)</f>
        <v>234</v>
      </c>
      <c r="L51" s="114">
        <f t="shared" si="0"/>
        <v>247</v>
      </c>
      <c r="M51" s="22">
        <f>ROUND('Operating Efficiency'!M51*'Capacity By Company'!M51,2)</f>
        <v>936</v>
      </c>
      <c r="N51" s="22">
        <f>ROUND('Operating Efficiency'!N51*'Capacity By Company'!N51,2)</f>
        <v>962</v>
      </c>
      <c r="O51" s="22">
        <f>ROUND('Operating Efficiency'!O51*'Capacity By Company'!O51,2)</f>
        <v>988</v>
      </c>
      <c r="P51" s="22">
        <f>ROUND('Operating Efficiency'!P51*'Capacity By Company'!P51,2)</f>
        <v>1014</v>
      </c>
      <c r="Q51" s="22">
        <f>ROUND('Operating Efficiency'!Q51*'Capacity By Company'!Q51,2)</f>
        <v>1040</v>
      </c>
      <c r="R51" s="22">
        <f>ROUND('Operating Efficiency'!R51*'Capacity By Company'!R51,2)</f>
        <v>1040</v>
      </c>
      <c r="S51" s="22">
        <f>ROUND('Operating Efficiency'!S51*'Capacity By Company'!S51,2)</f>
        <v>1066</v>
      </c>
      <c r="T51" s="22">
        <f>ROUND('Operating Efficiency'!T51*'Capacity By Company'!T51,2)</f>
        <v>1066</v>
      </c>
      <c r="U51" s="22">
        <f>ROUND('Operating Efficiency'!U51*'Capacity By Company'!U51,2)</f>
        <v>1066</v>
      </c>
      <c r="V51" s="22">
        <f>ROUND('Operating Efficiency'!V51*'Capacity By Company'!V51,2)</f>
        <v>1092</v>
      </c>
      <c r="W51" s="22">
        <f>ROUND('Operating Efficiency'!W51*'Capacity By Company'!W51,2)</f>
        <v>1092</v>
      </c>
    </row>
    <row r="52" spans="1:23" x14ac:dyDescent="0.25">
      <c r="A52" s="22" t="str">
        <f>'Capacity By Location'!D64</f>
        <v>Khark Petrochemical (Shakhark)</v>
      </c>
      <c r="B52" s="22">
        <f>ROUND('Operating Efficiency'!B52*'Capacity By Company'!B52,2)</f>
        <v>422.4</v>
      </c>
      <c r="C52" s="22">
        <f>ROUND('Operating Efficiency'!C52*'Capacity By Company'!C52,2)</f>
        <v>448.8</v>
      </c>
      <c r="D52" s="22">
        <f>ROUND('Operating Efficiency'!D52*'Capacity By Company'!D52,2)</f>
        <v>462</v>
      </c>
      <c r="E52" s="22">
        <f>ROUND('Operating Efficiency'!E52*'Capacity By Company'!E52,2)</f>
        <v>475.2</v>
      </c>
      <c r="F52" s="22">
        <f>ROUND('Operating Efficiency'!F52*'Capacity By Company'!F52,2)</f>
        <v>481.8</v>
      </c>
      <c r="G52" s="22">
        <f>ROUND('Operating Efficiency'!G52*'Capacity By Company'!G52,2)</f>
        <v>435.6</v>
      </c>
      <c r="H52" s="22">
        <f>ROUND('Operating Efficiency'!H52*'Capacity By Company'!H52,2)</f>
        <v>475.2</v>
      </c>
      <c r="I52" s="114">
        <f>ROUND('Operating Efficiency'!I52*'Capacity By Company'!I52,2)</f>
        <v>117.15</v>
      </c>
      <c r="J52" s="114">
        <f>ROUND('Operating Efficiency'!J52*'Capacity By Company'!J52,2)</f>
        <v>120.45</v>
      </c>
      <c r="K52" s="114">
        <f>ROUND('Operating Efficiency'!K52*'Capacity By Company'!K52,2)</f>
        <v>122.1</v>
      </c>
      <c r="L52" s="114">
        <f t="shared" si="0"/>
        <v>128.69999999999993</v>
      </c>
      <c r="M52" s="22">
        <f>ROUND('Operating Efficiency'!M52*'Capacity By Company'!M52,2)</f>
        <v>488.4</v>
      </c>
      <c r="N52" s="22">
        <f>ROUND('Operating Efficiency'!N52*'Capacity By Company'!N52,2)</f>
        <v>501.6</v>
      </c>
      <c r="O52" s="22">
        <f>ROUND('Operating Efficiency'!O52*'Capacity By Company'!O52,2)</f>
        <v>501.6</v>
      </c>
      <c r="P52" s="22">
        <f>ROUND('Operating Efficiency'!P52*'Capacity By Company'!P52,2)</f>
        <v>514.79999999999995</v>
      </c>
      <c r="Q52" s="22">
        <f>ROUND('Operating Efficiency'!Q52*'Capacity By Company'!Q52,2)</f>
        <v>514.79999999999995</v>
      </c>
      <c r="R52" s="22">
        <f>ROUND('Operating Efficiency'!R52*'Capacity By Company'!R52,2)</f>
        <v>528</v>
      </c>
      <c r="S52" s="22">
        <f>ROUND('Operating Efficiency'!S52*'Capacity By Company'!S52,2)</f>
        <v>528</v>
      </c>
      <c r="T52" s="22">
        <f>ROUND('Operating Efficiency'!T52*'Capacity By Company'!T52,2)</f>
        <v>541.20000000000005</v>
      </c>
      <c r="U52" s="22">
        <f>ROUND('Operating Efficiency'!U52*'Capacity By Company'!U52,2)</f>
        <v>547.79999999999995</v>
      </c>
      <c r="V52" s="22">
        <f>ROUND('Operating Efficiency'!V52*'Capacity By Company'!V52,2)</f>
        <v>554.4</v>
      </c>
      <c r="W52" s="22">
        <f>ROUND('Operating Efficiency'!W52*'Capacity By Company'!W52,2)</f>
        <v>554.4</v>
      </c>
    </row>
    <row r="53" spans="1:23" x14ac:dyDescent="0.25">
      <c r="A53" s="22" t="str">
        <f>'Capacity By Location'!D65</f>
        <v>Abu Dhabi National Oil Company (ADNOC)</v>
      </c>
      <c r="B53" s="22">
        <f>ROUND('Operating Efficiency'!B53*'Capacity By Company'!B53,2)</f>
        <v>0</v>
      </c>
      <c r="C53" s="22">
        <f>ROUND('Operating Efficiency'!C53*'Capacity By Company'!C53,2)</f>
        <v>0</v>
      </c>
      <c r="D53" s="22">
        <f>ROUND('Operating Efficiency'!D53*'Capacity By Company'!D53,2)</f>
        <v>0</v>
      </c>
      <c r="E53" s="22">
        <f>ROUND('Operating Efficiency'!E53*'Capacity By Company'!E53,2)</f>
        <v>0</v>
      </c>
      <c r="F53" s="22">
        <f>ROUND('Operating Efficiency'!F53*'Capacity By Company'!F53,2)</f>
        <v>0</v>
      </c>
      <c r="G53" s="22">
        <f>ROUND('Operating Efficiency'!G53*'Capacity By Company'!G53,2)</f>
        <v>0</v>
      </c>
      <c r="H53" s="22">
        <f>ROUND('Operating Efficiency'!H53*'Capacity By Company'!H53,2)</f>
        <v>0</v>
      </c>
      <c r="I53" s="114">
        <f>ROUND('Operating Efficiency'!I53*'Capacity By Company'!I53,2)</f>
        <v>0</v>
      </c>
      <c r="J53" s="114">
        <f>ROUND('Operating Efficiency'!J53*'Capacity By Company'!J53,2)</f>
        <v>0</v>
      </c>
      <c r="K53" s="114">
        <f>ROUND('Operating Efficiency'!K53*'Capacity By Company'!K53,2)</f>
        <v>0</v>
      </c>
      <c r="L53" s="114">
        <f t="shared" si="0"/>
        <v>0</v>
      </c>
      <c r="M53" s="22">
        <f>ROUND('Operating Efficiency'!M53*'Capacity By Company'!M53,2)</f>
        <v>0</v>
      </c>
      <c r="N53" s="22">
        <f>ROUND('Operating Efficiency'!N53*'Capacity By Company'!N53,2)</f>
        <v>0</v>
      </c>
      <c r="O53" s="22">
        <f>ROUND('Operating Efficiency'!O53*'Capacity By Company'!O53,2)</f>
        <v>0</v>
      </c>
      <c r="P53" s="22">
        <f>ROUND('Operating Efficiency'!P53*'Capacity By Company'!P53,2)</f>
        <v>0</v>
      </c>
      <c r="Q53" s="22">
        <f>ROUND('Operating Efficiency'!Q53*'Capacity By Company'!Q53,2)</f>
        <v>1116</v>
      </c>
      <c r="R53" s="22">
        <f>ROUND('Operating Efficiency'!R53*'Capacity By Company'!R53,2)</f>
        <v>1260</v>
      </c>
      <c r="S53" s="22">
        <f>ROUND('Operating Efficiency'!S53*'Capacity By Company'!S53,2)</f>
        <v>1332</v>
      </c>
      <c r="T53" s="22">
        <f>ROUND('Operating Efficiency'!T53*'Capacity By Company'!T53,2)</f>
        <v>1404</v>
      </c>
      <c r="U53" s="22">
        <f>ROUND('Operating Efficiency'!U53*'Capacity By Company'!U53,2)</f>
        <v>1476</v>
      </c>
      <c r="V53" s="22">
        <f>ROUND('Operating Efficiency'!V53*'Capacity By Company'!V53,2)</f>
        <v>1512</v>
      </c>
      <c r="W53" s="22">
        <f>ROUND('Operating Efficiency'!W53*'Capacity By Company'!W53,2)</f>
        <v>1548</v>
      </c>
    </row>
    <row r="54" spans="1:23" x14ac:dyDescent="0.25">
      <c r="A54" s="22" t="str">
        <f>'Capacity By Location'!D66</f>
        <v>Assam Petro-Chemicals Ltd</v>
      </c>
      <c r="B54" s="22">
        <f>ROUND('Operating Efficiency'!B54*'Capacity By Company'!B54,2)</f>
        <v>23.76</v>
      </c>
      <c r="C54" s="22">
        <f>ROUND('Operating Efficiency'!C54*'Capacity By Company'!C54,2)</f>
        <v>24.42</v>
      </c>
      <c r="D54" s="22">
        <f>ROUND('Operating Efficiency'!D54*'Capacity By Company'!D54,2)</f>
        <v>25.08</v>
      </c>
      <c r="E54" s="22">
        <f>ROUND('Operating Efficiency'!E54*'Capacity By Company'!E54,2)</f>
        <v>25.74</v>
      </c>
      <c r="F54" s="22">
        <f>ROUND('Operating Efficiency'!F54*'Capacity By Company'!F54,2)</f>
        <v>26.4</v>
      </c>
      <c r="G54" s="22">
        <f>ROUND('Operating Efficiency'!G54*'Capacity By Company'!G54,2)</f>
        <v>23.76</v>
      </c>
      <c r="H54" s="22">
        <f>ROUND('Operating Efficiency'!H54*'Capacity By Company'!H54,2)</f>
        <v>24.42</v>
      </c>
      <c r="I54" s="114">
        <f>ROUND('Operating Efficiency'!I54*'Capacity By Company'!I54,2)</f>
        <v>6.19</v>
      </c>
      <c r="J54" s="114">
        <f>ROUND('Operating Efficiency'!J54*'Capacity By Company'!J54,2)</f>
        <v>6.35</v>
      </c>
      <c r="K54" s="114">
        <f>ROUND('Operating Efficiency'!K54*'Capacity By Company'!K54,2)</f>
        <v>6.44</v>
      </c>
      <c r="L54" s="114">
        <f t="shared" si="0"/>
        <v>6.759999999999998</v>
      </c>
      <c r="M54" s="22">
        <f>ROUND('Operating Efficiency'!M54*'Capacity By Company'!M54,2)</f>
        <v>25.74</v>
      </c>
      <c r="N54" s="22">
        <f>ROUND('Operating Efficiency'!N54*'Capacity By Company'!N54,2)</f>
        <v>154.44</v>
      </c>
      <c r="O54" s="22">
        <f>ROUND('Operating Efficiency'!O54*'Capacity By Company'!O54,2)</f>
        <v>158.4</v>
      </c>
      <c r="P54" s="22">
        <f>ROUND('Operating Efficiency'!P54*'Capacity By Company'!P54,2)</f>
        <v>158.4</v>
      </c>
      <c r="Q54" s="22">
        <f>ROUND('Operating Efficiency'!Q54*'Capacity By Company'!Q54,2)</f>
        <v>162.36000000000001</v>
      </c>
      <c r="R54" s="22">
        <f>ROUND('Operating Efficiency'!R54*'Capacity By Company'!R54,2)</f>
        <v>162.36000000000001</v>
      </c>
      <c r="S54" s="22">
        <f>ROUND('Operating Efficiency'!S54*'Capacity By Company'!S54,2)</f>
        <v>164.34</v>
      </c>
      <c r="T54" s="22">
        <f>ROUND('Operating Efficiency'!T54*'Capacity By Company'!T54,2)</f>
        <v>166.32</v>
      </c>
      <c r="U54" s="22">
        <f>ROUND('Operating Efficiency'!U54*'Capacity By Company'!U54,2)</f>
        <v>166.32</v>
      </c>
      <c r="V54" s="22">
        <f>ROUND('Operating Efficiency'!V54*'Capacity By Company'!V54,2)</f>
        <v>166.32</v>
      </c>
      <c r="W54" s="22">
        <f>ROUND('Operating Efficiency'!W54*'Capacity By Company'!W54,2)</f>
        <v>166.32</v>
      </c>
    </row>
    <row r="55" spans="1:23" x14ac:dyDescent="0.25">
      <c r="A55" s="22" t="str">
        <f>'Capacity By Location'!D67</f>
        <v xml:space="preserve">Gujarat Narmada Valley Fertilizers and Chemicals Ltd </v>
      </c>
      <c r="B55" s="22">
        <f>ROUND('Operating Efficiency'!B55*'Capacity By Company'!B55,2)</f>
        <v>188.3</v>
      </c>
      <c r="C55" s="22">
        <f>ROUND('Operating Efficiency'!C55*'Capacity By Company'!C55,2)</f>
        <v>193.68</v>
      </c>
      <c r="D55" s="22">
        <f>ROUND('Operating Efficiency'!D55*'Capacity By Company'!D55,2)</f>
        <v>199.06</v>
      </c>
      <c r="E55" s="22">
        <f>ROUND('Operating Efficiency'!E55*'Capacity By Company'!E55,2)</f>
        <v>204.44</v>
      </c>
      <c r="F55" s="22">
        <f>ROUND('Operating Efficiency'!F55*'Capacity By Company'!F55,2)</f>
        <v>209.82</v>
      </c>
      <c r="G55" s="22">
        <f>ROUND('Operating Efficiency'!G55*'Capacity By Company'!G55,2)</f>
        <v>188.3</v>
      </c>
      <c r="H55" s="22">
        <f>ROUND('Operating Efficiency'!H55*'Capacity By Company'!H55,2)</f>
        <v>193.68</v>
      </c>
      <c r="I55" s="114">
        <f>ROUND('Operating Efficiency'!I55*'Capacity By Company'!I55,2)</f>
        <v>48.42</v>
      </c>
      <c r="J55" s="114">
        <f>ROUND('Operating Efficiency'!J55*'Capacity By Company'!J55,2)</f>
        <v>49.77</v>
      </c>
      <c r="K55" s="114">
        <f>ROUND('Operating Efficiency'!K55*'Capacity By Company'!K55,2)</f>
        <v>49.77</v>
      </c>
      <c r="L55" s="114">
        <f t="shared" si="0"/>
        <v>51.099999999999994</v>
      </c>
      <c r="M55" s="22">
        <f>ROUND('Operating Efficiency'!M55*'Capacity By Company'!M55,2)</f>
        <v>199.06</v>
      </c>
      <c r="N55" s="22">
        <f>ROUND('Operating Efficiency'!N55*'Capacity By Company'!N55,2)</f>
        <v>204.44</v>
      </c>
      <c r="O55" s="22">
        <f>ROUND('Operating Efficiency'!O55*'Capacity By Company'!O55,2)</f>
        <v>209.82</v>
      </c>
      <c r="P55" s="22">
        <f>ROUND('Operating Efficiency'!P55*'Capacity By Company'!P55,2)</f>
        <v>209.82</v>
      </c>
      <c r="Q55" s="22">
        <f>ROUND('Operating Efficiency'!Q55*'Capacity By Company'!Q55,2)</f>
        <v>209.82</v>
      </c>
      <c r="R55" s="22">
        <f>ROUND('Operating Efficiency'!R55*'Capacity By Company'!R55,2)</f>
        <v>215.2</v>
      </c>
      <c r="S55" s="22">
        <f>ROUND('Operating Efficiency'!S55*'Capacity By Company'!S55,2)</f>
        <v>215.2</v>
      </c>
      <c r="T55" s="22">
        <f>ROUND('Operating Efficiency'!T55*'Capacity By Company'!T55,2)</f>
        <v>220.58</v>
      </c>
      <c r="U55" s="22">
        <f>ROUND('Operating Efficiency'!U55*'Capacity By Company'!U55,2)</f>
        <v>220.58</v>
      </c>
      <c r="V55" s="22">
        <f>ROUND('Operating Efficiency'!V55*'Capacity By Company'!V55,2)</f>
        <v>225.96</v>
      </c>
      <c r="W55" s="22">
        <f>ROUND('Operating Efficiency'!W55*'Capacity By Company'!W55,2)</f>
        <v>225.96</v>
      </c>
    </row>
    <row r="56" spans="1:23" x14ac:dyDescent="0.25">
      <c r="A56" s="22" t="str">
        <f>'Capacity By Location'!D68</f>
        <v xml:space="preserve">Rashtriya Chemicals &amp; Fertilizers  </v>
      </c>
      <c r="B56" s="22">
        <f>ROUND('Operating Efficiency'!B56*'Capacity By Company'!B56,2)</f>
        <v>0</v>
      </c>
      <c r="C56" s="22">
        <f>ROUND('Operating Efficiency'!C56*'Capacity By Company'!C56,2)</f>
        <v>0</v>
      </c>
      <c r="D56" s="22">
        <f>ROUND('Operating Efficiency'!D56*'Capacity By Company'!D56,2)</f>
        <v>0</v>
      </c>
      <c r="E56" s="22">
        <f>ROUND('Operating Efficiency'!E56*'Capacity By Company'!E56,2)</f>
        <v>0</v>
      </c>
      <c r="F56" s="22">
        <f>ROUND('Operating Efficiency'!F56*'Capacity By Company'!F56,2)</f>
        <v>0</v>
      </c>
      <c r="G56" s="22">
        <f>ROUND('Operating Efficiency'!G56*'Capacity By Company'!G56,2)</f>
        <v>48</v>
      </c>
      <c r="H56" s="22">
        <f>ROUND('Operating Efficiency'!H56*'Capacity By Company'!H56,2)</f>
        <v>56</v>
      </c>
      <c r="I56" s="114">
        <f>ROUND('Operating Efficiency'!I56*'Capacity By Company'!I56,2)</f>
        <v>14.2</v>
      </c>
      <c r="J56" s="114">
        <f>ROUND('Operating Efficiency'!J56*'Capacity By Company'!J56,2)</f>
        <v>14.6</v>
      </c>
      <c r="K56" s="114">
        <f>ROUND('Operating Efficiency'!K56*'Capacity By Company'!K56,2)</f>
        <v>14.8</v>
      </c>
      <c r="L56" s="114">
        <f t="shared" si="0"/>
        <v>15.600000000000009</v>
      </c>
      <c r="M56" s="22">
        <f>ROUND('Operating Efficiency'!M56*'Capacity By Company'!M56,2)</f>
        <v>59.2</v>
      </c>
      <c r="N56" s="22">
        <f>ROUND('Operating Efficiency'!N56*'Capacity By Company'!N56,2)</f>
        <v>60.8</v>
      </c>
      <c r="O56" s="22">
        <f>ROUND('Operating Efficiency'!O56*'Capacity By Company'!O56,2)</f>
        <v>64</v>
      </c>
      <c r="P56" s="22">
        <f>ROUND('Operating Efficiency'!P56*'Capacity By Company'!P56,2)</f>
        <v>65.599999999999994</v>
      </c>
      <c r="Q56" s="22">
        <f>ROUND('Operating Efficiency'!Q56*'Capacity By Company'!Q56,2)</f>
        <v>67.2</v>
      </c>
      <c r="R56" s="22">
        <f>ROUND('Operating Efficiency'!R56*'Capacity By Company'!R56,2)</f>
        <v>68.8</v>
      </c>
      <c r="S56" s="22">
        <f>ROUND('Operating Efficiency'!S56*'Capacity By Company'!S56,2)</f>
        <v>68.8</v>
      </c>
      <c r="T56" s="22">
        <f>ROUND('Operating Efficiency'!T56*'Capacity By Company'!T56,2)</f>
        <v>68.8</v>
      </c>
      <c r="U56" s="22">
        <f>ROUND('Operating Efficiency'!U56*'Capacity By Company'!U56,2)</f>
        <v>70.400000000000006</v>
      </c>
      <c r="V56" s="22">
        <f>ROUND('Operating Efficiency'!V56*'Capacity By Company'!V56,2)</f>
        <v>70.400000000000006</v>
      </c>
      <c r="W56" s="22">
        <f>ROUND('Operating Efficiency'!W56*'Capacity By Company'!W56,2)</f>
        <v>70.400000000000006</v>
      </c>
    </row>
    <row r="57" spans="1:23" x14ac:dyDescent="0.25">
      <c r="A57" s="22" t="str">
        <f>'Capacity By Location'!D69</f>
        <v>Deepak Fertilizer &amp; Chemicals Ltd</v>
      </c>
      <c r="B57" s="22">
        <f>ROUND('Operating Efficiency'!B57*'Capacity By Company'!B57,2)</f>
        <v>66</v>
      </c>
      <c r="C57" s="22">
        <f>ROUND('Operating Efficiency'!C57*'Capacity By Company'!C57,2)</f>
        <v>70</v>
      </c>
      <c r="D57" s="22">
        <f>ROUND('Operating Efficiency'!D57*'Capacity By Company'!D57,2)</f>
        <v>72</v>
      </c>
      <c r="E57" s="22">
        <f>ROUND('Operating Efficiency'!E57*'Capacity By Company'!E57,2)</f>
        <v>74</v>
      </c>
      <c r="F57" s="22">
        <f>ROUND('Operating Efficiency'!F57*'Capacity By Company'!F57,2)</f>
        <v>76</v>
      </c>
      <c r="G57" s="22">
        <f>ROUND('Operating Efficiency'!G57*'Capacity By Company'!G57,2)</f>
        <v>64</v>
      </c>
      <c r="H57" s="22">
        <f>ROUND('Operating Efficiency'!H57*'Capacity By Company'!H57,2)</f>
        <v>70</v>
      </c>
      <c r="I57" s="114">
        <f>ROUND('Operating Efficiency'!I57*'Capacity By Company'!I57,2)</f>
        <v>17.5</v>
      </c>
      <c r="J57" s="114">
        <f>ROUND('Operating Efficiency'!J57*'Capacity By Company'!J57,2)</f>
        <v>17.75</v>
      </c>
      <c r="K57" s="114">
        <f>ROUND('Operating Efficiency'!K57*'Capacity By Company'!K57,2)</f>
        <v>18</v>
      </c>
      <c r="L57" s="114">
        <f t="shared" si="0"/>
        <v>18.75</v>
      </c>
      <c r="M57" s="22">
        <f>ROUND('Operating Efficiency'!M57*'Capacity By Company'!M57,2)</f>
        <v>72</v>
      </c>
      <c r="N57" s="22">
        <f>ROUND('Operating Efficiency'!N57*'Capacity By Company'!N57,2)</f>
        <v>74</v>
      </c>
      <c r="O57" s="22">
        <f>ROUND('Operating Efficiency'!O57*'Capacity By Company'!O57,2)</f>
        <v>76</v>
      </c>
      <c r="P57" s="22">
        <f>ROUND('Operating Efficiency'!P57*'Capacity By Company'!P57,2)</f>
        <v>78</v>
      </c>
      <c r="Q57" s="22">
        <f>ROUND('Operating Efficiency'!Q57*'Capacity By Company'!Q57,2)</f>
        <v>80</v>
      </c>
      <c r="R57" s="22">
        <f>ROUND('Operating Efficiency'!R57*'Capacity By Company'!R57,2)</f>
        <v>80</v>
      </c>
      <c r="S57" s="22">
        <f>ROUND('Operating Efficiency'!S57*'Capacity By Company'!S57,2)</f>
        <v>82</v>
      </c>
      <c r="T57" s="22">
        <f>ROUND('Operating Efficiency'!T57*'Capacity By Company'!T57,2)</f>
        <v>82</v>
      </c>
      <c r="U57" s="22">
        <f>ROUND('Operating Efficiency'!U57*'Capacity By Company'!U57,2)</f>
        <v>82</v>
      </c>
      <c r="V57" s="22">
        <f>ROUND('Operating Efficiency'!V57*'Capacity By Company'!V57,2)</f>
        <v>84</v>
      </c>
      <c r="W57" s="22">
        <f>ROUND('Operating Efficiency'!W57*'Capacity By Company'!W57,2)</f>
        <v>84</v>
      </c>
    </row>
    <row r="58" spans="1:23" x14ac:dyDescent="0.25">
      <c r="A58" s="22" t="str">
        <f>'Capacity By Location'!D70</f>
        <v>Gujarat State Fertilizers &amp; Chemicals Ltd</v>
      </c>
      <c r="B58" s="22">
        <f>ROUND('Operating Efficiency'!B58*'Capacity By Company'!B58,2)</f>
        <v>0</v>
      </c>
      <c r="C58" s="22">
        <f>ROUND('Operating Efficiency'!C58*'Capacity By Company'!C58,2)</f>
        <v>0</v>
      </c>
      <c r="D58" s="22">
        <f>ROUND('Operating Efficiency'!D58*'Capacity By Company'!D58,2)</f>
        <v>0</v>
      </c>
      <c r="E58" s="22">
        <f>ROUND('Operating Efficiency'!E58*'Capacity By Company'!E58,2)</f>
        <v>0</v>
      </c>
      <c r="F58" s="22">
        <f>ROUND('Operating Efficiency'!F58*'Capacity By Company'!F58,2)</f>
        <v>0</v>
      </c>
      <c r="G58" s="22">
        <f>ROUND('Operating Efficiency'!G58*'Capacity By Company'!G58,2)</f>
        <v>103.8</v>
      </c>
      <c r="H58" s="22">
        <f>ROUND('Operating Efficiency'!H58*'Capacity By Company'!H58,2)</f>
        <v>114.18</v>
      </c>
      <c r="I58" s="114">
        <f>ROUND('Operating Efficiency'!I58*'Capacity By Company'!I58,2)</f>
        <v>28.98</v>
      </c>
      <c r="J58" s="114">
        <f>ROUND('Operating Efficiency'!J58*'Capacity By Company'!J58,2)</f>
        <v>29.84</v>
      </c>
      <c r="K58" s="114">
        <f>ROUND('Operating Efficiency'!K58*'Capacity By Company'!K58,2)</f>
        <v>30.28</v>
      </c>
      <c r="L58" s="114">
        <f t="shared" si="0"/>
        <v>32</v>
      </c>
      <c r="M58" s="22">
        <f>ROUND('Operating Efficiency'!M58*'Capacity By Company'!M58,2)</f>
        <v>121.1</v>
      </c>
      <c r="N58" s="22">
        <f>ROUND('Operating Efficiency'!N58*'Capacity By Company'!N58,2)</f>
        <v>124.56</v>
      </c>
      <c r="O58" s="22">
        <f>ROUND('Operating Efficiency'!O58*'Capacity By Company'!O58,2)</f>
        <v>131.47999999999999</v>
      </c>
      <c r="P58" s="22">
        <f>ROUND('Operating Efficiency'!P58*'Capacity By Company'!P58,2)</f>
        <v>138.4</v>
      </c>
      <c r="Q58" s="22">
        <f>ROUND('Operating Efficiency'!Q58*'Capacity By Company'!Q58,2)</f>
        <v>141.86000000000001</v>
      </c>
      <c r="R58" s="22">
        <f>ROUND('Operating Efficiency'!R58*'Capacity By Company'!R58,2)</f>
        <v>145.32</v>
      </c>
      <c r="S58" s="22">
        <f>ROUND('Operating Efficiency'!S58*'Capacity By Company'!S58,2)</f>
        <v>148.78</v>
      </c>
      <c r="T58" s="22">
        <f>ROUND('Operating Efficiency'!T58*'Capacity By Company'!T58,2)</f>
        <v>148.78</v>
      </c>
      <c r="U58" s="22">
        <f>ROUND('Operating Efficiency'!U58*'Capacity By Company'!U58,2)</f>
        <v>148.78</v>
      </c>
      <c r="V58" s="22">
        <f>ROUND('Operating Efficiency'!V58*'Capacity By Company'!V58,2)</f>
        <v>152.24</v>
      </c>
      <c r="W58" s="22">
        <f>ROUND('Operating Efficiency'!W58*'Capacity By Company'!W58,2)</f>
        <v>152.24</v>
      </c>
    </row>
    <row r="59" spans="1:23" x14ac:dyDescent="0.25">
      <c r="A59" s="22" t="str">
        <f>'Capacity By Location'!D71</f>
        <v>Shenhua Ningxia Coal Industry Company</v>
      </c>
      <c r="B59" s="22">
        <f>ROUND('Operating Efficiency'!B59*'Capacity By Company'!B59,2)</f>
        <v>180</v>
      </c>
      <c r="C59" s="22">
        <f>ROUND('Operating Efficiency'!C59*'Capacity By Company'!C59,2)</f>
        <v>182.5</v>
      </c>
      <c r="D59" s="22">
        <f>ROUND('Operating Efficiency'!D59*'Capacity By Company'!D59,2)</f>
        <v>185</v>
      </c>
      <c r="E59" s="22">
        <f>ROUND('Operating Efficiency'!E59*'Capacity By Company'!E59,2)</f>
        <v>190</v>
      </c>
      <c r="F59" s="22">
        <f>ROUND('Operating Efficiency'!F59*'Capacity By Company'!F59,2)</f>
        <v>200</v>
      </c>
      <c r="G59" s="22">
        <f>ROUND('Operating Efficiency'!G59*'Capacity By Company'!G59,2)</f>
        <v>170</v>
      </c>
      <c r="H59" s="22">
        <f>ROUND('Operating Efficiency'!H59*'Capacity By Company'!H59,2)</f>
        <v>175</v>
      </c>
      <c r="I59" s="114">
        <f>ROUND('Operating Efficiency'!I59*'Capacity By Company'!I59,2)</f>
        <v>43.13</v>
      </c>
      <c r="J59" s="114">
        <f>ROUND('Operating Efficiency'!J59*'Capacity By Company'!J59,2)</f>
        <v>45</v>
      </c>
      <c r="K59" s="114">
        <f>ROUND('Operating Efficiency'!K59*'Capacity By Company'!K59,2)</f>
        <v>45</v>
      </c>
      <c r="L59" s="114">
        <f t="shared" si="0"/>
        <v>46.870000000000005</v>
      </c>
      <c r="M59" s="22">
        <f>ROUND('Operating Efficiency'!M59*'Capacity By Company'!M59,2)</f>
        <v>180</v>
      </c>
      <c r="N59" s="22">
        <f>ROUND('Operating Efficiency'!N59*'Capacity By Company'!N59,2)</f>
        <v>182.5</v>
      </c>
      <c r="O59" s="22">
        <f>ROUND('Operating Efficiency'!O59*'Capacity By Company'!O59,2)</f>
        <v>185</v>
      </c>
      <c r="P59" s="22">
        <f>ROUND('Operating Efficiency'!P59*'Capacity By Company'!P59,2)</f>
        <v>190</v>
      </c>
      <c r="Q59" s="22">
        <f>ROUND('Operating Efficiency'!Q59*'Capacity By Company'!Q59,2)</f>
        <v>195</v>
      </c>
      <c r="R59" s="22">
        <f>ROUND('Operating Efficiency'!R59*'Capacity By Company'!R59,2)</f>
        <v>200</v>
      </c>
      <c r="S59" s="22">
        <f>ROUND('Operating Efficiency'!S59*'Capacity By Company'!S59,2)</f>
        <v>205</v>
      </c>
      <c r="T59" s="22">
        <f>ROUND('Operating Efficiency'!T59*'Capacity By Company'!T59,2)</f>
        <v>205</v>
      </c>
      <c r="U59" s="22">
        <f>ROUND('Operating Efficiency'!U59*'Capacity By Company'!U59,2)</f>
        <v>210</v>
      </c>
      <c r="V59" s="22">
        <f>ROUND('Operating Efficiency'!V59*'Capacity By Company'!V59,2)</f>
        <v>210</v>
      </c>
      <c r="W59" s="22">
        <f>ROUND('Operating Efficiency'!W59*'Capacity By Company'!W59,2)</f>
        <v>210</v>
      </c>
    </row>
    <row r="60" spans="1:23" x14ac:dyDescent="0.25">
      <c r="A60" s="22" t="str">
        <f>'Capacity By Location'!D72</f>
        <v>Hami Hengyou Energy Chemical Tech Co Ltd</v>
      </c>
      <c r="B60" s="22">
        <f>ROUND('Operating Efficiency'!B60*'Capacity By Company'!B60,2)</f>
        <v>476</v>
      </c>
      <c r="C60" s="22">
        <f>ROUND('Operating Efficiency'!C60*'Capacity By Company'!C60,2)</f>
        <v>490</v>
      </c>
      <c r="D60" s="22">
        <f>ROUND('Operating Efficiency'!D60*'Capacity By Company'!D60,2)</f>
        <v>504</v>
      </c>
      <c r="E60" s="22">
        <f>ROUND('Operating Efficiency'!E60*'Capacity By Company'!E60,2)</f>
        <v>511</v>
      </c>
      <c r="F60" s="22">
        <f>ROUND('Operating Efficiency'!F60*'Capacity By Company'!F60,2)</f>
        <v>518</v>
      </c>
      <c r="G60" s="22">
        <f>ROUND('Operating Efficiency'!G60*'Capacity By Company'!G60,2)</f>
        <v>462</v>
      </c>
      <c r="H60" s="22">
        <f>ROUND('Operating Efficiency'!H60*'Capacity By Company'!H60,2)</f>
        <v>490</v>
      </c>
      <c r="I60" s="114">
        <f>ROUND('Operating Efficiency'!I60*'Capacity By Company'!I60,2)</f>
        <v>119</v>
      </c>
      <c r="J60" s="114">
        <f>ROUND('Operating Efficiency'!J60*'Capacity By Company'!J60,2)</f>
        <v>127.75</v>
      </c>
      <c r="K60" s="114">
        <f>ROUND('Operating Efficiency'!K60*'Capacity By Company'!K60,2)</f>
        <v>129.5</v>
      </c>
      <c r="L60" s="114">
        <f t="shared" si="0"/>
        <v>141.75</v>
      </c>
      <c r="M60" s="22">
        <f>ROUND('Operating Efficiency'!M60*'Capacity By Company'!M60,2)</f>
        <v>518</v>
      </c>
      <c r="N60" s="22">
        <f>ROUND('Operating Efficiency'!N60*'Capacity By Company'!N60,2)</f>
        <v>532</v>
      </c>
      <c r="O60" s="22">
        <f>ROUND('Operating Efficiency'!O60*'Capacity By Company'!O60,2)</f>
        <v>546</v>
      </c>
      <c r="P60" s="22">
        <f>ROUND('Operating Efficiency'!P60*'Capacity By Company'!P60,2)</f>
        <v>560</v>
      </c>
      <c r="Q60" s="22">
        <f>ROUND('Operating Efficiency'!Q60*'Capacity By Company'!Q60,2)</f>
        <v>574</v>
      </c>
      <c r="R60" s="22">
        <f>ROUND('Operating Efficiency'!R60*'Capacity By Company'!R60,2)</f>
        <v>581</v>
      </c>
      <c r="S60" s="22">
        <f>ROUND('Operating Efficiency'!S60*'Capacity By Company'!S60,2)</f>
        <v>588</v>
      </c>
      <c r="T60" s="22">
        <f>ROUND('Operating Efficiency'!T60*'Capacity By Company'!T60,2)</f>
        <v>588</v>
      </c>
      <c r="U60" s="22">
        <f>ROUND('Operating Efficiency'!U60*'Capacity By Company'!U60,2)</f>
        <v>595</v>
      </c>
      <c r="V60" s="22">
        <f>ROUND('Operating Efficiency'!V60*'Capacity By Company'!V60,2)</f>
        <v>595</v>
      </c>
      <c r="W60" s="22">
        <f>ROUND('Operating Efficiency'!W60*'Capacity By Company'!W60,2)</f>
        <v>595</v>
      </c>
    </row>
    <row r="61" spans="1:23" x14ac:dyDescent="0.25">
      <c r="A61" s="22" t="str">
        <f>'Capacity By Location'!D73</f>
        <v>Shanxi Coking Coal Group</v>
      </c>
      <c r="B61" s="22">
        <f>ROUND('Operating Efficiency'!B61*'Capacity By Company'!B61,2)</f>
        <v>210</v>
      </c>
      <c r="C61" s="22">
        <f>ROUND('Operating Efficiency'!C61*'Capacity By Company'!C61,2)</f>
        <v>216</v>
      </c>
      <c r="D61" s="22">
        <f>ROUND('Operating Efficiency'!D61*'Capacity By Company'!D61,2)</f>
        <v>219</v>
      </c>
      <c r="E61" s="22">
        <f>ROUND('Operating Efficiency'!E61*'Capacity By Company'!E61,2)</f>
        <v>222</v>
      </c>
      <c r="F61" s="22">
        <f>ROUND('Operating Efficiency'!F61*'Capacity By Company'!F61,2)</f>
        <v>228</v>
      </c>
      <c r="G61" s="22">
        <f>ROUND('Operating Efficiency'!G61*'Capacity By Company'!G61,2)</f>
        <v>210</v>
      </c>
      <c r="H61" s="22">
        <f>ROUND('Operating Efficiency'!H61*'Capacity By Company'!H61,2)</f>
        <v>648</v>
      </c>
      <c r="I61" s="114">
        <f>ROUND('Operating Efficiency'!I61*'Capacity By Company'!I61,2)</f>
        <v>164.25</v>
      </c>
      <c r="J61" s="114">
        <f>ROUND('Operating Efficiency'!J61*'Capacity By Company'!J61,2)</f>
        <v>168.75</v>
      </c>
      <c r="K61" s="114">
        <f>ROUND('Operating Efficiency'!K61*'Capacity By Company'!K61,2)</f>
        <v>171</v>
      </c>
      <c r="L61" s="114">
        <f t="shared" si="0"/>
        <v>180</v>
      </c>
      <c r="M61" s="22">
        <f>ROUND('Operating Efficiency'!M61*'Capacity By Company'!M61,2)</f>
        <v>684</v>
      </c>
      <c r="N61" s="22">
        <f>ROUND('Operating Efficiency'!N61*'Capacity By Company'!N61,2)</f>
        <v>702</v>
      </c>
      <c r="O61" s="22">
        <f>ROUND('Operating Efficiency'!O61*'Capacity By Company'!O61,2)</f>
        <v>702</v>
      </c>
      <c r="P61" s="22">
        <f>ROUND('Operating Efficiency'!P61*'Capacity By Company'!P61,2)</f>
        <v>720</v>
      </c>
      <c r="Q61" s="22">
        <f>ROUND('Operating Efficiency'!Q61*'Capacity By Company'!Q61,2)</f>
        <v>720</v>
      </c>
      <c r="R61" s="22">
        <f>ROUND('Operating Efficiency'!R61*'Capacity By Company'!R61,2)</f>
        <v>738</v>
      </c>
      <c r="S61" s="22">
        <f>ROUND('Operating Efficiency'!S61*'Capacity By Company'!S61,2)</f>
        <v>738</v>
      </c>
      <c r="T61" s="22">
        <f>ROUND('Operating Efficiency'!T61*'Capacity By Company'!T61,2)</f>
        <v>756</v>
      </c>
      <c r="U61" s="22">
        <f>ROUND('Operating Efficiency'!U61*'Capacity By Company'!U61,2)</f>
        <v>756</v>
      </c>
      <c r="V61" s="22">
        <f>ROUND('Operating Efficiency'!V61*'Capacity By Company'!V61,2)</f>
        <v>756</v>
      </c>
      <c r="W61" s="22">
        <f>ROUND('Operating Efficiency'!W61*'Capacity By Company'!W61,2)</f>
        <v>756</v>
      </c>
    </row>
    <row r="62" spans="1:23" x14ac:dyDescent="0.25">
      <c r="A62" s="22" t="str">
        <f>'Capacity By Location'!D74</f>
        <v>China Coal Ordos</v>
      </c>
      <c r="B62" s="22">
        <f>ROUND('Operating Efficiency'!B62*'Capacity By Company'!B62,2)</f>
        <v>700</v>
      </c>
      <c r="C62" s="22">
        <f>ROUND('Operating Efficiency'!C62*'Capacity By Company'!C62,2)</f>
        <v>720</v>
      </c>
      <c r="D62" s="22">
        <f>ROUND('Operating Efficiency'!D62*'Capacity By Company'!D62,2)</f>
        <v>740</v>
      </c>
      <c r="E62" s="22">
        <f>ROUND('Operating Efficiency'!E62*'Capacity By Company'!E62,2)</f>
        <v>760</v>
      </c>
      <c r="F62" s="22">
        <f>ROUND('Operating Efficiency'!F62*'Capacity By Company'!F62,2)</f>
        <v>780</v>
      </c>
      <c r="G62" s="22">
        <f>ROUND('Operating Efficiency'!G62*'Capacity By Company'!G62,2)</f>
        <v>720</v>
      </c>
      <c r="H62" s="22">
        <f>ROUND('Operating Efficiency'!H62*'Capacity By Company'!H62,2)</f>
        <v>740</v>
      </c>
      <c r="I62" s="114">
        <f>ROUND('Operating Efficiency'!I62*'Capacity By Company'!I62,2)</f>
        <v>182.5</v>
      </c>
      <c r="J62" s="114">
        <f>ROUND('Operating Efficiency'!J62*'Capacity By Company'!J62,2)</f>
        <v>187.5</v>
      </c>
      <c r="K62" s="114">
        <f>ROUND('Operating Efficiency'!K62*'Capacity By Company'!K62,2)</f>
        <v>190</v>
      </c>
      <c r="L62" s="114">
        <f t="shared" si="0"/>
        <v>200</v>
      </c>
      <c r="M62" s="22">
        <f>ROUND('Operating Efficiency'!M62*'Capacity By Company'!M62,2)</f>
        <v>760</v>
      </c>
      <c r="N62" s="22">
        <f>ROUND('Operating Efficiency'!N62*'Capacity By Company'!N62,2)</f>
        <v>780</v>
      </c>
      <c r="O62" s="22">
        <f>ROUND('Operating Efficiency'!O62*'Capacity By Company'!O62,2)</f>
        <v>780</v>
      </c>
      <c r="P62" s="22">
        <f>ROUND('Operating Efficiency'!P62*'Capacity By Company'!P62,2)</f>
        <v>780</v>
      </c>
      <c r="Q62" s="22">
        <f>ROUND('Operating Efficiency'!Q62*'Capacity By Company'!Q62,2)</f>
        <v>800</v>
      </c>
      <c r="R62" s="22">
        <f>ROUND('Operating Efficiency'!R62*'Capacity By Company'!R62,2)</f>
        <v>800</v>
      </c>
      <c r="S62" s="22">
        <f>ROUND('Operating Efficiency'!S62*'Capacity By Company'!S62,2)</f>
        <v>820</v>
      </c>
      <c r="T62" s="22">
        <f>ROUND('Operating Efficiency'!T62*'Capacity By Company'!T62,2)</f>
        <v>820</v>
      </c>
      <c r="U62" s="22">
        <f>ROUND('Operating Efficiency'!U62*'Capacity By Company'!U62,2)</f>
        <v>820</v>
      </c>
      <c r="V62" s="22">
        <f>ROUND('Operating Efficiency'!V62*'Capacity By Company'!V62,2)</f>
        <v>820</v>
      </c>
      <c r="W62" s="22">
        <f>ROUND('Operating Efficiency'!W62*'Capacity By Company'!W62,2)</f>
        <v>820</v>
      </c>
    </row>
    <row r="63" spans="1:23" x14ac:dyDescent="0.25">
      <c r="A63" s="22" t="str">
        <f>'Capacity By Location'!D75</f>
        <v>Jiutai Energy Inner Mongolia Co., Ltd.</v>
      </c>
      <c r="B63" s="22">
        <f>ROUND('Operating Efficiency'!B63*'Capacity By Company'!B63,2)</f>
        <v>720</v>
      </c>
      <c r="C63" s="22">
        <f>ROUND('Operating Efficiency'!C63*'Capacity By Company'!C63,2)</f>
        <v>740</v>
      </c>
      <c r="D63" s="22">
        <f>ROUND('Operating Efficiency'!D63*'Capacity By Company'!D63,2)</f>
        <v>750</v>
      </c>
      <c r="E63" s="22">
        <f>ROUND('Operating Efficiency'!E63*'Capacity By Company'!E63,2)</f>
        <v>760</v>
      </c>
      <c r="F63" s="22">
        <f>ROUND('Operating Efficiency'!F63*'Capacity By Company'!F63,2)</f>
        <v>800</v>
      </c>
      <c r="G63" s="22">
        <f>ROUND('Operating Efficiency'!G63*'Capacity By Company'!G63,2)</f>
        <v>740</v>
      </c>
      <c r="H63" s="22">
        <f>ROUND('Operating Efficiency'!H63*'Capacity By Company'!H63,2)</f>
        <v>760</v>
      </c>
      <c r="I63" s="114">
        <f>ROUND('Operating Efficiency'!I63*'Capacity By Company'!I63,2)</f>
        <v>187.5</v>
      </c>
      <c r="J63" s="114">
        <f>ROUND('Operating Efficiency'!J63*'Capacity By Company'!J63,2)</f>
        <v>195</v>
      </c>
      <c r="K63" s="114">
        <f>ROUND('Operating Efficiency'!K63*'Capacity By Company'!K63,2)</f>
        <v>195</v>
      </c>
      <c r="L63" s="114">
        <f t="shared" si="0"/>
        <v>202.5</v>
      </c>
      <c r="M63" s="22">
        <f>ROUND('Operating Efficiency'!M63*'Capacity By Company'!M63,2)</f>
        <v>780</v>
      </c>
      <c r="N63" s="22">
        <f>ROUND('Operating Efficiency'!N63*'Capacity By Company'!N63,2)</f>
        <v>800</v>
      </c>
      <c r="O63" s="22">
        <f>ROUND('Operating Efficiency'!O63*'Capacity By Company'!O63,2)</f>
        <v>800</v>
      </c>
      <c r="P63" s="22">
        <f>ROUND('Operating Efficiency'!P63*'Capacity By Company'!P63,2)</f>
        <v>820</v>
      </c>
      <c r="Q63" s="22">
        <f>ROUND('Operating Efficiency'!Q63*'Capacity By Company'!Q63,2)</f>
        <v>820</v>
      </c>
      <c r="R63" s="22">
        <f>ROUND('Operating Efficiency'!R63*'Capacity By Company'!R63,2)</f>
        <v>840</v>
      </c>
      <c r="S63" s="22">
        <f>ROUND('Operating Efficiency'!S63*'Capacity By Company'!S63,2)</f>
        <v>840</v>
      </c>
      <c r="T63" s="22">
        <f>ROUND('Operating Efficiency'!T63*'Capacity By Company'!T63,2)</f>
        <v>860</v>
      </c>
      <c r="U63" s="22">
        <f>ROUND('Operating Efficiency'!U63*'Capacity By Company'!U63,2)</f>
        <v>860</v>
      </c>
      <c r="V63" s="22">
        <f>ROUND('Operating Efficiency'!V63*'Capacity By Company'!V63,2)</f>
        <v>860</v>
      </c>
      <c r="W63" s="22">
        <f>ROUND('Operating Efficiency'!W63*'Capacity By Company'!W63,2)</f>
        <v>860</v>
      </c>
    </row>
    <row r="64" spans="1:23" x14ac:dyDescent="0.25">
      <c r="A64" s="22" t="str">
        <f>'Capacity By Location'!D76</f>
        <v>Yankuang Group Company Limited</v>
      </c>
      <c r="B64" s="22">
        <f>ROUND('Operating Efficiency'!B64*'Capacity By Company'!B64,2)</f>
        <v>1148</v>
      </c>
      <c r="C64" s="22">
        <f>ROUND('Operating Efficiency'!C64*'Capacity By Company'!C64,2)</f>
        <v>1180.8</v>
      </c>
      <c r="D64" s="22">
        <f>ROUND('Operating Efficiency'!D64*'Capacity By Company'!D64,2)</f>
        <v>1213.5999999999999</v>
      </c>
      <c r="E64" s="22">
        <f>ROUND('Operating Efficiency'!E64*'Capacity By Company'!E64,2)</f>
        <v>1246.4000000000001</v>
      </c>
      <c r="F64" s="22">
        <f>ROUND('Operating Efficiency'!F64*'Capacity By Company'!F64,2)</f>
        <v>1312</v>
      </c>
      <c r="G64" s="22">
        <f>ROUND('Operating Efficiency'!G64*'Capacity By Company'!G64,2)</f>
        <v>1246.4000000000001</v>
      </c>
      <c r="H64" s="22">
        <f>ROUND('Operating Efficiency'!H64*'Capacity By Company'!H64,2)</f>
        <v>1279.2</v>
      </c>
      <c r="I64" s="114">
        <f>ROUND('Operating Efficiency'!I64*'Capacity By Company'!I64,2)</f>
        <v>315.7</v>
      </c>
      <c r="J64" s="114">
        <f>ROUND('Operating Efficiency'!J64*'Capacity By Company'!J64,2)</f>
        <v>323.89999999999998</v>
      </c>
      <c r="K64" s="114">
        <f>ROUND('Operating Efficiency'!K64*'Capacity By Company'!K64,2)</f>
        <v>328</v>
      </c>
      <c r="L64" s="114">
        <f t="shared" si="0"/>
        <v>344.40000000000009</v>
      </c>
      <c r="M64" s="22">
        <f>ROUND('Operating Efficiency'!M64*'Capacity By Company'!M64,2)</f>
        <v>1312</v>
      </c>
      <c r="N64" s="22">
        <f>ROUND('Operating Efficiency'!N64*'Capacity By Company'!N64,2)</f>
        <v>1344.8</v>
      </c>
      <c r="O64" s="22">
        <f>ROUND('Operating Efficiency'!O64*'Capacity By Company'!O64,2)</f>
        <v>1344.8</v>
      </c>
      <c r="P64" s="22">
        <f>ROUND('Operating Efficiency'!P64*'Capacity By Company'!P64,2)</f>
        <v>1377.6</v>
      </c>
      <c r="Q64" s="22">
        <f>ROUND('Operating Efficiency'!Q64*'Capacity By Company'!Q64,2)</f>
        <v>1394</v>
      </c>
      <c r="R64" s="22">
        <f>ROUND('Operating Efficiency'!R64*'Capacity By Company'!R64,2)</f>
        <v>1394</v>
      </c>
      <c r="S64" s="22">
        <f>ROUND('Operating Efficiency'!S64*'Capacity By Company'!S64,2)</f>
        <v>1410.4</v>
      </c>
      <c r="T64" s="22">
        <f>ROUND('Operating Efficiency'!T64*'Capacity By Company'!T64,2)</f>
        <v>1410.4</v>
      </c>
      <c r="U64" s="22">
        <f>ROUND('Operating Efficiency'!U64*'Capacity By Company'!U64,2)</f>
        <v>1443.2</v>
      </c>
      <c r="V64" s="22">
        <f>ROUND('Operating Efficiency'!V64*'Capacity By Company'!V64,2)</f>
        <v>1443.2</v>
      </c>
      <c r="W64" s="22">
        <f>ROUND('Operating Efficiency'!W64*'Capacity By Company'!W64,2)</f>
        <v>1443.2</v>
      </c>
    </row>
    <row r="65" spans="1:23" x14ac:dyDescent="0.25">
      <c r="A65" s="22" t="str">
        <f>'Capacity By Location'!D77</f>
        <v>China BlueChemical Ltd.</v>
      </c>
      <c r="B65" s="22">
        <f>ROUND('Operating Efficiency'!B65*'Capacity By Company'!B65,2)</f>
        <v>528</v>
      </c>
      <c r="C65" s="22">
        <f>ROUND('Operating Efficiency'!C65*'Capacity By Company'!C65,2)</f>
        <v>560</v>
      </c>
      <c r="D65" s="22">
        <f>ROUND('Operating Efficiency'!D65*'Capacity By Company'!D65,2)</f>
        <v>576</v>
      </c>
      <c r="E65" s="22">
        <f>ROUND('Operating Efficiency'!E65*'Capacity By Company'!E65,2)</f>
        <v>1184</v>
      </c>
      <c r="F65" s="22">
        <f>ROUND('Operating Efficiency'!F65*'Capacity By Company'!F65,2)</f>
        <v>1216</v>
      </c>
      <c r="G65" s="22">
        <f>ROUND('Operating Efficiency'!G65*'Capacity By Company'!G65,2)</f>
        <v>1024</v>
      </c>
      <c r="H65" s="22">
        <f>ROUND('Operating Efficiency'!H65*'Capacity By Company'!H65,2)</f>
        <v>1120</v>
      </c>
      <c r="I65" s="114">
        <f>ROUND('Operating Efficiency'!I65*'Capacity By Company'!I65,2)</f>
        <v>268</v>
      </c>
      <c r="J65" s="114">
        <f>ROUND('Operating Efficiency'!J65*'Capacity By Company'!J65,2)</f>
        <v>284</v>
      </c>
      <c r="K65" s="114">
        <f>ROUND('Operating Efficiency'!K65*'Capacity By Company'!K65,2)</f>
        <v>288</v>
      </c>
      <c r="L65" s="114">
        <f t="shared" si="0"/>
        <v>312</v>
      </c>
      <c r="M65" s="22">
        <f>ROUND('Operating Efficiency'!M65*'Capacity By Company'!M65,2)</f>
        <v>1152</v>
      </c>
      <c r="N65" s="22">
        <f>ROUND('Operating Efficiency'!N65*'Capacity By Company'!N65,2)</f>
        <v>1184</v>
      </c>
      <c r="O65" s="22">
        <f>ROUND('Operating Efficiency'!O65*'Capacity By Company'!O65,2)</f>
        <v>1216</v>
      </c>
      <c r="P65" s="22">
        <f>ROUND('Operating Efficiency'!P65*'Capacity By Company'!P65,2)</f>
        <v>1248</v>
      </c>
      <c r="Q65" s="22">
        <f>ROUND('Operating Efficiency'!Q65*'Capacity By Company'!Q65,2)</f>
        <v>1280</v>
      </c>
      <c r="R65" s="22">
        <f>ROUND('Operating Efficiency'!R65*'Capacity By Company'!R65,2)</f>
        <v>1280</v>
      </c>
      <c r="S65" s="22">
        <f>ROUND('Operating Efficiency'!S65*'Capacity By Company'!S65,2)</f>
        <v>1312</v>
      </c>
      <c r="T65" s="22">
        <f>ROUND('Operating Efficiency'!T65*'Capacity By Company'!T65,2)</f>
        <v>1312</v>
      </c>
      <c r="U65" s="22">
        <f>ROUND('Operating Efficiency'!U65*'Capacity By Company'!U65,2)</f>
        <v>1312</v>
      </c>
      <c r="V65" s="22">
        <f>ROUND('Operating Efficiency'!V65*'Capacity By Company'!V65,2)</f>
        <v>1344</v>
      </c>
      <c r="W65" s="22">
        <f>ROUND('Operating Efficiency'!W65*'Capacity By Company'!W65,2)</f>
        <v>1344</v>
      </c>
    </row>
    <row r="66" spans="1:23" x14ac:dyDescent="0.25">
      <c r="A66" s="22" t="str">
        <f>'Capacity By Location'!D78</f>
        <v>State Power Investment Corporation</v>
      </c>
      <c r="B66" s="22">
        <f>ROUND('Operating Efficiency'!B66*'Capacity By Company'!B66,2)</f>
        <v>0</v>
      </c>
      <c r="C66" s="22">
        <f>ROUND('Operating Efficiency'!C66*'Capacity By Company'!C66,2)</f>
        <v>0</v>
      </c>
      <c r="D66" s="22">
        <f>ROUND('Operating Efficiency'!D66*'Capacity By Company'!D66,2)</f>
        <v>0</v>
      </c>
      <c r="E66" s="22">
        <f>ROUND('Operating Efficiency'!E66*'Capacity By Company'!E66,2)</f>
        <v>0</v>
      </c>
      <c r="F66" s="22">
        <f>ROUND('Operating Efficiency'!F66*'Capacity By Company'!F66,2)</f>
        <v>0</v>
      </c>
      <c r="G66" s="22">
        <f>ROUND('Operating Efficiency'!G66*'Capacity By Company'!G66,2)</f>
        <v>0</v>
      </c>
      <c r="H66" s="22">
        <f>ROUND('Operating Efficiency'!H66*'Capacity By Company'!H66,2)</f>
        <v>0</v>
      </c>
      <c r="I66" s="114">
        <f>ROUND('Operating Efficiency'!I66*'Capacity By Company'!I66,2)</f>
        <v>0</v>
      </c>
      <c r="J66" s="114">
        <f>ROUND('Operating Efficiency'!J66*'Capacity By Company'!J66,2)</f>
        <v>0</v>
      </c>
      <c r="K66" s="114">
        <f>ROUND('Operating Efficiency'!K66*'Capacity By Company'!K66,2)</f>
        <v>0</v>
      </c>
      <c r="L66" s="114">
        <f t="shared" si="0"/>
        <v>0</v>
      </c>
      <c r="M66" s="22">
        <f>ROUND('Operating Efficiency'!M66*'Capacity By Company'!M66,2)</f>
        <v>0</v>
      </c>
      <c r="N66" s="22">
        <f>ROUND('Operating Efficiency'!N66*'Capacity By Company'!N66,2)</f>
        <v>1116</v>
      </c>
      <c r="O66" s="22">
        <f>ROUND('Operating Efficiency'!O66*'Capacity By Company'!O66,2)</f>
        <v>1224</v>
      </c>
      <c r="P66" s="22">
        <f>ROUND('Operating Efficiency'!P66*'Capacity By Company'!P66,2)</f>
        <v>1332</v>
      </c>
      <c r="Q66" s="22">
        <f>ROUND('Operating Efficiency'!Q66*'Capacity By Company'!Q66,2)</f>
        <v>1350</v>
      </c>
      <c r="R66" s="22">
        <f>ROUND('Operating Efficiency'!R66*'Capacity By Company'!R66,2)</f>
        <v>1368</v>
      </c>
      <c r="S66" s="22">
        <f>ROUND('Operating Efficiency'!S66*'Capacity By Company'!S66,2)</f>
        <v>1440</v>
      </c>
      <c r="T66" s="22">
        <f>ROUND('Operating Efficiency'!T66*'Capacity By Company'!T66,2)</f>
        <v>1476</v>
      </c>
      <c r="U66" s="22">
        <f>ROUND('Operating Efficiency'!U66*'Capacity By Company'!U66,2)</f>
        <v>1512</v>
      </c>
      <c r="V66" s="22">
        <f>ROUND('Operating Efficiency'!V66*'Capacity By Company'!V66,2)</f>
        <v>1512</v>
      </c>
      <c r="W66" s="22">
        <f>ROUND('Operating Efficiency'!W66*'Capacity By Company'!W66,2)</f>
        <v>1512</v>
      </c>
    </row>
    <row r="67" spans="1:23" x14ac:dyDescent="0.25">
      <c r="A67" s="22" t="str">
        <f>'Capacity By Location'!D79</f>
        <v>Ordos Jinchengtai Chemical Co., Ltd.</v>
      </c>
      <c r="B67" s="22">
        <f>ROUND('Operating Efficiency'!B67*'Capacity By Company'!B67,2)</f>
        <v>210</v>
      </c>
      <c r="C67" s="22">
        <f>ROUND('Operating Efficiency'!C67*'Capacity By Company'!C67,2)</f>
        <v>216</v>
      </c>
      <c r="D67" s="22">
        <f>ROUND('Operating Efficiency'!D67*'Capacity By Company'!D67,2)</f>
        <v>222</v>
      </c>
      <c r="E67" s="22">
        <f>ROUND('Operating Efficiency'!E67*'Capacity By Company'!E67,2)</f>
        <v>228</v>
      </c>
      <c r="F67" s="22">
        <f>ROUND('Operating Efficiency'!F67*'Capacity By Company'!F67,2)</f>
        <v>234</v>
      </c>
      <c r="G67" s="22">
        <f>ROUND('Operating Efficiency'!G67*'Capacity By Company'!G67,2)</f>
        <v>210</v>
      </c>
      <c r="H67" s="22">
        <f>ROUND('Operating Efficiency'!H67*'Capacity By Company'!H67,2)</f>
        <v>228</v>
      </c>
      <c r="I67" s="114">
        <f>ROUND('Operating Efficiency'!I67*'Capacity By Company'!I67,2)</f>
        <v>56.25</v>
      </c>
      <c r="J67" s="114">
        <f>ROUND('Operating Efficiency'!J67*'Capacity By Company'!J67,2)</f>
        <v>58.5</v>
      </c>
      <c r="K67" s="114">
        <f>ROUND('Operating Efficiency'!K67*'Capacity By Company'!K67,2)</f>
        <v>60.75</v>
      </c>
      <c r="L67" s="114">
        <f t="shared" ref="L67:L83" si="1">M67-SUM(I67:K67)</f>
        <v>58.5</v>
      </c>
      <c r="M67" s="22">
        <f>ROUND('Operating Efficiency'!M67*'Capacity By Company'!M67,2)</f>
        <v>234</v>
      </c>
      <c r="N67" s="22">
        <f>ROUND('Operating Efficiency'!N67*'Capacity By Company'!N67,2)</f>
        <v>234</v>
      </c>
      <c r="O67" s="22">
        <f>ROUND('Operating Efficiency'!O67*'Capacity By Company'!O67,2)</f>
        <v>240</v>
      </c>
      <c r="P67" s="22">
        <f>ROUND('Operating Efficiency'!P67*'Capacity By Company'!P67,2)</f>
        <v>243</v>
      </c>
      <c r="Q67" s="22">
        <f>ROUND('Operating Efficiency'!Q67*'Capacity By Company'!Q67,2)</f>
        <v>246</v>
      </c>
      <c r="R67" s="22">
        <f>ROUND('Operating Efficiency'!R67*'Capacity By Company'!R67,2)</f>
        <v>246</v>
      </c>
      <c r="S67" s="22">
        <f>ROUND('Operating Efficiency'!S67*'Capacity By Company'!S67,2)</f>
        <v>249</v>
      </c>
      <c r="T67" s="22">
        <f>ROUND('Operating Efficiency'!T67*'Capacity By Company'!T67,2)</f>
        <v>252</v>
      </c>
      <c r="U67" s="22">
        <f>ROUND('Operating Efficiency'!U67*'Capacity By Company'!U67,2)</f>
        <v>252</v>
      </c>
      <c r="V67" s="22">
        <f>ROUND('Operating Efficiency'!V67*'Capacity By Company'!V67,2)</f>
        <v>252</v>
      </c>
      <c r="W67" s="22">
        <f>ROUND('Operating Efficiency'!W67*'Capacity By Company'!W67,2)</f>
        <v>252</v>
      </c>
    </row>
    <row r="68" spans="1:23" x14ac:dyDescent="0.25">
      <c r="A68" s="22" t="str">
        <f>'Capacity By Location'!D80</f>
        <v>Datang International Kttengtengqi Coal To Natural Gas Co., Ltd</v>
      </c>
      <c r="B68" s="22">
        <f>ROUND('Operating Efficiency'!B68*'Capacity By Company'!B68,2)</f>
        <v>0</v>
      </c>
      <c r="C68" s="22">
        <f>ROUND('Operating Efficiency'!C68*'Capacity By Company'!C68,2)</f>
        <v>0</v>
      </c>
      <c r="D68" s="22">
        <f>ROUND('Operating Efficiency'!D68*'Capacity By Company'!D68,2)</f>
        <v>0</v>
      </c>
      <c r="E68" s="22">
        <f>ROUND('Operating Efficiency'!E68*'Capacity By Company'!E68,2)</f>
        <v>0</v>
      </c>
      <c r="F68" s="22">
        <f>ROUND('Operating Efficiency'!F68*'Capacity By Company'!F68,2)</f>
        <v>0</v>
      </c>
      <c r="G68" s="22">
        <f>ROUND('Operating Efficiency'!G68*'Capacity By Company'!G68,2)</f>
        <v>464</v>
      </c>
      <c r="H68" s="22">
        <f>ROUND('Operating Efficiency'!H68*'Capacity By Company'!H68,2)</f>
        <v>528</v>
      </c>
      <c r="I68" s="114">
        <f>ROUND('Operating Efficiency'!I68*'Capacity By Company'!I68,2)</f>
        <v>138</v>
      </c>
      <c r="J68" s="114">
        <f>ROUND('Operating Efficiency'!J68*'Capacity By Company'!J68,2)</f>
        <v>142</v>
      </c>
      <c r="K68" s="114">
        <f>ROUND('Operating Efficiency'!K68*'Capacity By Company'!K68,2)</f>
        <v>146</v>
      </c>
      <c r="L68" s="114">
        <f t="shared" si="1"/>
        <v>150</v>
      </c>
      <c r="M68" s="22">
        <f>ROUND('Operating Efficiency'!M68*'Capacity By Company'!M68,2)</f>
        <v>576</v>
      </c>
      <c r="N68" s="22">
        <f>ROUND('Operating Efficiency'!N68*'Capacity By Company'!N68,2)</f>
        <v>600</v>
      </c>
      <c r="O68" s="22">
        <f>ROUND('Operating Efficiency'!O68*'Capacity By Company'!O68,2)</f>
        <v>608</v>
      </c>
      <c r="P68" s="22">
        <f>ROUND('Operating Efficiency'!P68*'Capacity By Company'!P68,2)</f>
        <v>624</v>
      </c>
      <c r="Q68" s="22">
        <f>ROUND('Operating Efficiency'!Q68*'Capacity By Company'!Q68,2)</f>
        <v>656</v>
      </c>
      <c r="R68" s="22">
        <f>ROUND('Operating Efficiency'!R68*'Capacity By Company'!R68,2)</f>
        <v>656</v>
      </c>
      <c r="S68" s="22">
        <f>ROUND('Operating Efficiency'!S68*'Capacity By Company'!S68,2)</f>
        <v>672</v>
      </c>
      <c r="T68" s="22">
        <f>ROUND('Operating Efficiency'!T68*'Capacity By Company'!T68,2)</f>
        <v>672</v>
      </c>
      <c r="U68" s="22">
        <f>ROUND('Operating Efficiency'!U68*'Capacity By Company'!U68,2)</f>
        <v>688</v>
      </c>
      <c r="V68" s="22">
        <f>ROUND('Operating Efficiency'!V68*'Capacity By Company'!V68,2)</f>
        <v>688</v>
      </c>
      <c r="W68" s="22">
        <f>ROUND('Operating Efficiency'!W68*'Capacity By Company'!W68,2)</f>
        <v>688</v>
      </c>
    </row>
    <row r="69" spans="1:23" x14ac:dyDescent="0.25">
      <c r="A69" s="22" t="str">
        <f>'Capacity By Location'!D81</f>
        <v>Anhui Haoyuan Chemical Group Co., Ltd</v>
      </c>
      <c r="B69" s="22">
        <f>ROUND('Operating Efficiency'!B69*'Capacity By Company'!B69,2)</f>
        <v>896</v>
      </c>
      <c r="C69" s="22">
        <f>ROUND('Operating Efficiency'!C69*'Capacity By Company'!C69,2)</f>
        <v>952</v>
      </c>
      <c r="D69" s="22">
        <f>ROUND('Operating Efficiency'!D69*'Capacity By Company'!D69,2)</f>
        <v>980</v>
      </c>
      <c r="E69" s="22">
        <f>ROUND('Operating Efficiency'!E69*'Capacity By Company'!E69,2)</f>
        <v>1008</v>
      </c>
      <c r="F69" s="22">
        <f>ROUND('Operating Efficiency'!F69*'Capacity By Company'!F69,2)</f>
        <v>1036</v>
      </c>
      <c r="G69" s="22">
        <f>ROUND('Operating Efficiency'!G69*'Capacity By Company'!G69,2)</f>
        <v>924</v>
      </c>
      <c r="H69" s="22">
        <f>ROUND('Operating Efficiency'!H69*'Capacity By Company'!H69,2)</f>
        <v>952</v>
      </c>
      <c r="I69" s="114">
        <f>ROUND('Operating Efficiency'!I69*'Capacity By Company'!I69,2)</f>
        <v>241.5</v>
      </c>
      <c r="J69" s="114">
        <f>ROUND('Operating Efficiency'!J69*'Capacity By Company'!J69,2)</f>
        <v>252</v>
      </c>
      <c r="K69" s="114">
        <f>ROUND('Operating Efficiency'!K69*'Capacity By Company'!K69,2)</f>
        <v>255.5</v>
      </c>
      <c r="L69" s="114">
        <f t="shared" si="1"/>
        <v>259</v>
      </c>
      <c r="M69" s="22">
        <f>ROUND('Operating Efficiency'!M69*'Capacity By Company'!M69,2)</f>
        <v>1008</v>
      </c>
      <c r="N69" s="22">
        <f>ROUND('Operating Efficiency'!N69*'Capacity By Company'!N69,2)</f>
        <v>1036</v>
      </c>
      <c r="O69" s="22">
        <f>ROUND('Operating Efficiency'!O69*'Capacity By Company'!O69,2)</f>
        <v>1036</v>
      </c>
      <c r="P69" s="22">
        <f>ROUND('Operating Efficiency'!P69*'Capacity By Company'!P69,2)</f>
        <v>1064</v>
      </c>
      <c r="Q69" s="22">
        <f>ROUND('Operating Efficiency'!Q69*'Capacity By Company'!Q69,2)</f>
        <v>1092</v>
      </c>
      <c r="R69" s="22">
        <f>ROUND('Operating Efficiency'!R69*'Capacity By Company'!R69,2)</f>
        <v>1120</v>
      </c>
      <c r="S69" s="22">
        <f>ROUND('Operating Efficiency'!S69*'Capacity By Company'!S69,2)</f>
        <v>1148</v>
      </c>
      <c r="T69" s="22">
        <f>ROUND('Operating Efficiency'!T69*'Capacity By Company'!T69,2)</f>
        <v>1148</v>
      </c>
      <c r="U69" s="22">
        <f>ROUND('Operating Efficiency'!U69*'Capacity By Company'!U69,2)</f>
        <v>1176</v>
      </c>
      <c r="V69" s="22">
        <f>ROUND('Operating Efficiency'!V69*'Capacity By Company'!V69,2)</f>
        <v>1176</v>
      </c>
      <c r="W69" s="22">
        <f>ROUND('Operating Efficiency'!W69*'Capacity By Company'!W69,2)</f>
        <v>1176</v>
      </c>
    </row>
    <row r="70" spans="1:23" x14ac:dyDescent="0.25">
      <c r="A70" s="22" t="str">
        <f>'Capacity By Location'!D82</f>
        <v>Ningxia Baofeng Energy Group</v>
      </c>
      <c r="B70" s="22">
        <f>ROUND('Operating Efficiency'!B70*'Capacity By Company'!B70,2)</f>
        <v>952</v>
      </c>
      <c r="C70" s="22">
        <f>ROUND('Operating Efficiency'!C70*'Capacity By Company'!C70,2)</f>
        <v>980</v>
      </c>
      <c r="D70" s="22">
        <f>ROUND('Operating Efficiency'!D70*'Capacity By Company'!D70,2)</f>
        <v>1008</v>
      </c>
      <c r="E70" s="22">
        <f>ROUND('Operating Efficiency'!E70*'Capacity By Company'!E70,2)</f>
        <v>1008</v>
      </c>
      <c r="F70" s="22">
        <f>ROUND('Operating Efficiency'!F70*'Capacity By Company'!F70,2)</f>
        <v>1036</v>
      </c>
      <c r="G70" s="22">
        <f>ROUND('Operating Efficiency'!G70*'Capacity By Company'!G70,2)</f>
        <v>2800</v>
      </c>
      <c r="H70" s="22">
        <f>ROUND('Operating Efficiency'!H70*'Capacity By Company'!H70,2)</f>
        <v>2880</v>
      </c>
      <c r="I70" s="114">
        <f>ROUND('Operating Efficiency'!I70*'Capacity By Company'!I70,2)</f>
        <v>730</v>
      </c>
      <c r="J70" s="114">
        <f>ROUND('Operating Efficiency'!J70*'Capacity By Company'!J70,2)</f>
        <v>760</v>
      </c>
      <c r="K70" s="114">
        <f>ROUND('Operating Efficiency'!K70*'Capacity By Company'!K70,2)</f>
        <v>770</v>
      </c>
      <c r="L70" s="114">
        <f t="shared" si="1"/>
        <v>780</v>
      </c>
      <c r="M70" s="22">
        <f>ROUND('Operating Efficiency'!M70*'Capacity By Company'!M70,2)</f>
        <v>3040</v>
      </c>
      <c r="N70" s="22">
        <f>ROUND('Operating Efficiency'!N70*'Capacity By Company'!N70,2)</f>
        <v>3040</v>
      </c>
      <c r="O70" s="22">
        <f>ROUND('Operating Efficiency'!O70*'Capacity By Company'!O70,2)</f>
        <v>3120</v>
      </c>
      <c r="P70" s="22">
        <f>ROUND('Operating Efficiency'!P70*'Capacity By Company'!P70,2)</f>
        <v>3200</v>
      </c>
      <c r="Q70" s="22">
        <f>ROUND('Operating Efficiency'!Q70*'Capacity By Company'!Q70,2)</f>
        <v>3280</v>
      </c>
      <c r="R70" s="22">
        <f>ROUND('Operating Efficiency'!R70*'Capacity By Company'!R70,2)</f>
        <v>3320</v>
      </c>
      <c r="S70" s="22">
        <f>ROUND('Operating Efficiency'!S70*'Capacity By Company'!S70,2)</f>
        <v>3360</v>
      </c>
      <c r="T70" s="22">
        <f>ROUND('Operating Efficiency'!T70*'Capacity By Company'!T70,2)</f>
        <v>3360</v>
      </c>
      <c r="U70" s="22">
        <f>ROUND('Operating Efficiency'!U70*'Capacity By Company'!U70,2)</f>
        <v>3400</v>
      </c>
      <c r="V70" s="22">
        <f>ROUND('Operating Efficiency'!V70*'Capacity By Company'!V70,2)</f>
        <v>3400</v>
      </c>
      <c r="W70" s="22">
        <f>ROUND('Operating Efficiency'!W70*'Capacity By Company'!W70,2)</f>
        <v>3400</v>
      </c>
    </row>
    <row r="71" spans="1:23" x14ac:dyDescent="0.25">
      <c r="A71" s="22" t="str">
        <f>'Capacity By Location'!D83</f>
        <v>Shaanxi Shenmu Chemical Industry Co. Ltd</v>
      </c>
      <c r="B71" s="22">
        <f>ROUND('Operating Efficiency'!B71*'Capacity By Company'!B71,2)</f>
        <v>128</v>
      </c>
      <c r="C71" s="22">
        <f>ROUND('Operating Efficiency'!C71*'Capacity By Company'!C71,2)</f>
        <v>132</v>
      </c>
      <c r="D71" s="22">
        <f>ROUND('Operating Efficiency'!D71*'Capacity By Company'!D71,2)</f>
        <v>140</v>
      </c>
      <c r="E71" s="22">
        <f>ROUND('Operating Efficiency'!E71*'Capacity By Company'!E71,2)</f>
        <v>144</v>
      </c>
      <c r="F71" s="22">
        <f>ROUND('Operating Efficiency'!F71*'Capacity By Company'!F71,2)</f>
        <v>148</v>
      </c>
      <c r="G71" s="22">
        <f>ROUND('Operating Efficiency'!G71*'Capacity By Company'!G71,2)</f>
        <v>136</v>
      </c>
      <c r="H71" s="22">
        <f>ROUND('Operating Efficiency'!H71*'Capacity By Company'!H71,2)</f>
        <v>144</v>
      </c>
      <c r="I71" s="114">
        <f>ROUND('Operating Efficiency'!I71*'Capacity By Company'!I71,2)</f>
        <v>36.5</v>
      </c>
      <c r="J71" s="114">
        <f>ROUND('Operating Efficiency'!J71*'Capacity By Company'!J71,2)</f>
        <v>37.5</v>
      </c>
      <c r="K71" s="114">
        <f>ROUND('Operating Efficiency'!K71*'Capacity By Company'!K71,2)</f>
        <v>40</v>
      </c>
      <c r="L71" s="114">
        <f t="shared" si="1"/>
        <v>38</v>
      </c>
      <c r="M71" s="22">
        <f>ROUND('Operating Efficiency'!M71*'Capacity By Company'!M71,2)</f>
        <v>152</v>
      </c>
      <c r="N71" s="22">
        <f>ROUND('Operating Efficiency'!N71*'Capacity By Company'!N71,2)</f>
        <v>156</v>
      </c>
      <c r="O71" s="22">
        <f>ROUND('Operating Efficiency'!O71*'Capacity By Company'!O71,2)</f>
        <v>156</v>
      </c>
      <c r="P71" s="22">
        <f>ROUND('Operating Efficiency'!P71*'Capacity By Company'!P71,2)</f>
        <v>160</v>
      </c>
      <c r="Q71" s="22">
        <f>ROUND('Operating Efficiency'!Q71*'Capacity By Company'!Q71,2)</f>
        <v>160</v>
      </c>
      <c r="R71" s="22">
        <f>ROUND('Operating Efficiency'!R71*'Capacity By Company'!R71,2)</f>
        <v>164</v>
      </c>
      <c r="S71" s="22">
        <f>ROUND('Operating Efficiency'!S71*'Capacity By Company'!S71,2)</f>
        <v>164</v>
      </c>
      <c r="T71" s="22">
        <f>ROUND('Operating Efficiency'!T71*'Capacity By Company'!T71,2)</f>
        <v>168</v>
      </c>
      <c r="U71" s="22">
        <f>ROUND('Operating Efficiency'!U71*'Capacity By Company'!U71,2)</f>
        <v>168</v>
      </c>
      <c r="V71" s="22">
        <f>ROUND('Operating Efficiency'!V71*'Capacity By Company'!V71,2)</f>
        <v>168</v>
      </c>
      <c r="W71" s="22">
        <f>ROUND('Operating Efficiency'!W71*'Capacity By Company'!W71,2)</f>
        <v>168</v>
      </c>
    </row>
    <row r="72" spans="1:23" x14ac:dyDescent="0.25">
      <c r="A72" s="22" t="str">
        <f>'Capacity By Location'!D84</f>
        <v>Shangdong Hualu Hengsheng Group Co., Ltd</v>
      </c>
      <c r="B72" s="22">
        <f>ROUND('Operating Efficiency'!B72*'Capacity By Company'!B72,2)</f>
        <v>144</v>
      </c>
      <c r="C72" s="22">
        <f>ROUND('Operating Efficiency'!C72*'Capacity By Company'!C72,2)</f>
        <v>148</v>
      </c>
      <c r="D72" s="22">
        <f>ROUND('Operating Efficiency'!D72*'Capacity By Company'!D72,2)</f>
        <v>152</v>
      </c>
      <c r="E72" s="22">
        <f>ROUND('Operating Efficiency'!E72*'Capacity By Company'!E72,2)</f>
        <v>156</v>
      </c>
      <c r="F72" s="22">
        <f>ROUND('Operating Efficiency'!F72*'Capacity By Company'!F72,2)</f>
        <v>160</v>
      </c>
      <c r="G72" s="22">
        <f>ROUND('Operating Efficiency'!G72*'Capacity By Company'!G72,2)</f>
        <v>144</v>
      </c>
      <c r="H72" s="22">
        <f>ROUND('Operating Efficiency'!H72*'Capacity By Company'!H72,2)</f>
        <v>152</v>
      </c>
      <c r="I72" s="114">
        <f>ROUND('Operating Efficiency'!I72*'Capacity By Company'!I72,2)</f>
        <v>38.5</v>
      </c>
      <c r="J72" s="114">
        <f>ROUND('Operating Efficiency'!J72*'Capacity By Company'!J72,2)</f>
        <v>41.5</v>
      </c>
      <c r="K72" s="114">
        <f>ROUND('Operating Efficiency'!K72*'Capacity By Company'!K72,2)</f>
        <v>40</v>
      </c>
      <c r="L72" s="114">
        <f t="shared" si="1"/>
        <v>36</v>
      </c>
      <c r="M72" s="22">
        <f>ROUND('Operating Efficiency'!M72*'Capacity By Company'!M72,2)</f>
        <v>156</v>
      </c>
      <c r="N72" s="22">
        <f>ROUND('Operating Efficiency'!N72*'Capacity By Company'!N72,2)</f>
        <v>160</v>
      </c>
      <c r="O72" s="22">
        <f>ROUND('Operating Efficiency'!O72*'Capacity By Company'!O72,2)</f>
        <v>160</v>
      </c>
      <c r="P72" s="22">
        <f>ROUND('Operating Efficiency'!P72*'Capacity By Company'!P72,2)</f>
        <v>160</v>
      </c>
      <c r="Q72" s="22">
        <f>ROUND('Operating Efficiency'!Q72*'Capacity By Company'!Q72,2)</f>
        <v>164</v>
      </c>
      <c r="R72" s="22">
        <f>ROUND('Operating Efficiency'!R72*'Capacity By Company'!R72,2)</f>
        <v>164</v>
      </c>
      <c r="S72" s="22">
        <f>ROUND('Operating Efficiency'!S72*'Capacity By Company'!S72,2)</f>
        <v>168</v>
      </c>
      <c r="T72" s="22">
        <f>ROUND('Operating Efficiency'!T72*'Capacity By Company'!T72,2)</f>
        <v>168</v>
      </c>
      <c r="U72" s="22">
        <f>ROUND('Operating Efficiency'!U72*'Capacity By Company'!U72,2)</f>
        <v>168</v>
      </c>
      <c r="V72" s="22">
        <f>ROUND('Operating Efficiency'!V72*'Capacity By Company'!V72,2)</f>
        <v>168</v>
      </c>
      <c r="W72" s="22">
        <f>ROUND('Operating Efficiency'!W72*'Capacity By Company'!W72,2)</f>
        <v>168</v>
      </c>
    </row>
    <row r="73" spans="1:23" x14ac:dyDescent="0.25">
      <c r="A73" s="22" t="str">
        <f>'Capacity By Location'!D85</f>
        <v>Zhongyuan Fertilizer Group Corp.</v>
      </c>
      <c r="B73" s="22">
        <f>ROUND('Operating Efficiency'!B73*'Capacity By Company'!B73,2)</f>
        <v>210</v>
      </c>
      <c r="C73" s="22">
        <f>ROUND('Operating Efficiency'!C73*'Capacity By Company'!C73,2)</f>
        <v>216</v>
      </c>
      <c r="D73" s="22">
        <f>ROUND('Operating Efficiency'!D73*'Capacity By Company'!D73,2)</f>
        <v>222</v>
      </c>
      <c r="E73" s="22">
        <f>ROUND('Operating Efficiency'!E73*'Capacity By Company'!E73,2)</f>
        <v>228</v>
      </c>
      <c r="F73" s="22">
        <f>ROUND('Operating Efficiency'!F73*'Capacity By Company'!F73,2)</f>
        <v>234</v>
      </c>
      <c r="G73" s="22">
        <f>ROUND('Operating Efficiency'!G73*'Capacity By Company'!G73,2)</f>
        <v>210</v>
      </c>
      <c r="H73" s="22">
        <f>ROUND('Operating Efficiency'!H73*'Capacity By Company'!H73,2)</f>
        <v>234</v>
      </c>
      <c r="I73" s="114">
        <f>ROUND('Operating Efficiency'!I73*'Capacity By Company'!I73,2)</f>
        <v>57.75</v>
      </c>
      <c r="J73" s="114">
        <f>ROUND('Operating Efficiency'!J73*'Capacity By Company'!J73,2)</f>
        <v>60.75</v>
      </c>
      <c r="K73" s="114">
        <f>ROUND('Operating Efficiency'!K73*'Capacity By Company'!K73,2)</f>
        <v>61.5</v>
      </c>
      <c r="L73" s="114">
        <f t="shared" si="1"/>
        <v>60</v>
      </c>
      <c r="M73" s="22">
        <f>ROUND('Operating Efficiency'!M73*'Capacity By Company'!M73,2)</f>
        <v>240</v>
      </c>
      <c r="N73" s="22">
        <f>ROUND('Operating Efficiency'!N73*'Capacity By Company'!N73,2)</f>
        <v>240</v>
      </c>
      <c r="O73" s="22">
        <f>ROUND('Operating Efficiency'!O73*'Capacity By Company'!O73,2)</f>
        <v>246</v>
      </c>
      <c r="P73" s="22">
        <f>ROUND('Operating Efficiency'!P73*'Capacity By Company'!P73,2)</f>
        <v>246</v>
      </c>
      <c r="Q73" s="22">
        <f>ROUND('Operating Efficiency'!Q73*'Capacity By Company'!Q73,2)</f>
        <v>252</v>
      </c>
      <c r="R73" s="22">
        <f>ROUND('Operating Efficiency'!R73*'Capacity By Company'!R73,2)</f>
        <v>255</v>
      </c>
      <c r="S73" s="22">
        <f>ROUND('Operating Efficiency'!S73*'Capacity By Company'!S73,2)</f>
        <v>255</v>
      </c>
      <c r="T73" s="22">
        <f>ROUND('Operating Efficiency'!T73*'Capacity By Company'!T73,2)</f>
        <v>258</v>
      </c>
      <c r="U73" s="22">
        <f>ROUND('Operating Efficiency'!U73*'Capacity By Company'!U73,2)</f>
        <v>258</v>
      </c>
      <c r="V73" s="22">
        <f>ROUND('Operating Efficiency'!V73*'Capacity By Company'!V73,2)</f>
        <v>258</v>
      </c>
      <c r="W73" s="22">
        <f>ROUND('Operating Efficiency'!W73*'Capacity By Company'!W73,2)</f>
        <v>258</v>
      </c>
    </row>
    <row r="74" spans="1:23" x14ac:dyDescent="0.25">
      <c r="A74" s="22" t="str">
        <f>'Capacity By Location'!D86</f>
        <v>Yongcheng Coal - electricity Group</v>
      </c>
      <c r="B74" s="22">
        <f>ROUND('Operating Efficiency'!B74*'Capacity By Company'!B74,2)</f>
        <v>560</v>
      </c>
      <c r="C74" s="22">
        <f>ROUND('Operating Efficiency'!C74*'Capacity By Company'!C74,2)</f>
        <v>576</v>
      </c>
      <c r="D74" s="22">
        <f>ROUND('Operating Efficiency'!D74*'Capacity By Company'!D74,2)</f>
        <v>592</v>
      </c>
      <c r="E74" s="22">
        <f>ROUND('Operating Efficiency'!E74*'Capacity By Company'!E74,2)</f>
        <v>608</v>
      </c>
      <c r="F74" s="22">
        <f>ROUND('Operating Efficiency'!F74*'Capacity By Company'!F74,2)</f>
        <v>624</v>
      </c>
      <c r="G74" s="22">
        <f>ROUND('Operating Efficiency'!G74*'Capacity By Company'!G74,2)</f>
        <v>576</v>
      </c>
      <c r="H74" s="22">
        <f>ROUND('Operating Efficiency'!H74*'Capacity By Company'!H74,2)</f>
        <v>592</v>
      </c>
      <c r="I74" s="114">
        <f>ROUND('Operating Efficiency'!I74*'Capacity By Company'!I74,2)</f>
        <v>150</v>
      </c>
      <c r="J74" s="114">
        <f>ROUND('Operating Efficiency'!J74*'Capacity By Company'!J74,2)</f>
        <v>156</v>
      </c>
      <c r="K74" s="114">
        <f>ROUND('Operating Efficiency'!K74*'Capacity By Company'!K74,2)</f>
        <v>156</v>
      </c>
      <c r="L74" s="114">
        <f t="shared" si="1"/>
        <v>162</v>
      </c>
      <c r="M74" s="22">
        <f>ROUND('Operating Efficiency'!M74*'Capacity By Company'!M74,2)</f>
        <v>624</v>
      </c>
      <c r="N74" s="22">
        <f>ROUND('Operating Efficiency'!N74*'Capacity By Company'!N74,2)</f>
        <v>624</v>
      </c>
      <c r="O74" s="22">
        <f>ROUND('Operating Efficiency'!O74*'Capacity By Company'!O74,2)</f>
        <v>640</v>
      </c>
      <c r="P74" s="22">
        <f>ROUND('Operating Efficiency'!P74*'Capacity By Company'!P74,2)</f>
        <v>648</v>
      </c>
      <c r="Q74" s="22">
        <f>ROUND('Operating Efficiency'!Q74*'Capacity By Company'!Q74,2)</f>
        <v>656</v>
      </c>
      <c r="R74" s="22">
        <f>ROUND('Operating Efficiency'!R74*'Capacity By Company'!R74,2)</f>
        <v>656</v>
      </c>
      <c r="S74" s="22">
        <f>ROUND('Operating Efficiency'!S74*'Capacity By Company'!S74,2)</f>
        <v>664</v>
      </c>
      <c r="T74" s="22">
        <f>ROUND('Operating Efficiency'!T74*'Capacity By Company'!T74,2)</f>
        <v>672</v>
      </c>
      <c r="U74" s="22">
        <f>ROUND('Operating Efficiency'!U74*'Capacity By Company'!U74,2)</f>
        <v>672</v>
      </c>
      <c r="V74" s="22">
        <f>ROUND('Operating Efficiency'!V74*'Capacity By Company'!V74,2)</f>
        <v>672</v>
      </c>
      <c r="W74" s="22">
        <f>ROUND('Operating Efficiency'!W74*'Capacity By Company'!W74,2)</f>
        <v>672</v>
      </c>
    </row>
    <row r="75" spans="1:23" x14ac:dyDescent="0.25">
      <c r="A75" s="22" t="str">
        <f>'Capacity By Location'!D87</f>
        <v>Henan Kaixiang Electric Power Industry Co., Ltd.</v>
      </c>
      <c r="B75" s="22">
        <f>ROUND('Operating Efficiency'!B75*'Capacity By Company'!B75,2)</f>
        <v>360</v>
      </c>
      <c r="C75" s="22">
        <f>ROUND('Operating Efficiency'!C75*'Capacity By Company'!C75,2)</f>
        <v>365</v>
      </c>
      <c r="D75" s="22">
        <f>ROUND('Operating Efficiency'!D75*'Capacity By Company'!D75,2)</f>
        <v>370</v>
      </c>
      <c r="E75" s="22">
        <f>ROUND('Operating Efficiency'!E75*'Capacity By Company'!E75,2)</f>
        <v>380</v>
      </c>
      <c r="F75" s="22">
        <f>ROUND('Operating Efficiency'!F75*'Capacity By Company'!F75,2)</f>
        <v>400</v>
      </c>
      <c r="G75" s="22">
        <f>ROUND('Operating Efficiency'!G75*'Capacity By Company'!G75,2)</f>
        <v>340</v>
      </c>
      <c r="H75" s="22">
        <f>ROUND('Operating Efficiency'!H75*'Capacity By Company'!H75,2)</f>
        <v>350</v>
      </c>
      <c r="I75" s="114">
        <f>ROUND('Operating Efficiency'!I75*'Capacity By Company'!I75,2)</f>
        <v>87.5</v>
      </c>
      <c r="J75" s="114">
        <f>ROUND('Operating Efficiency'!J75*'Capacity By Company'!J75,2)</f>
        <v>90</v>
      </c>
      <c r="K75" s="114">
        <f>ROUND('Operating Efficiency'!K75*'Capacity By Company'!K75,2)</f>
        <v>90</v>
      </c>
      <c r="L75" s="114">
        <f t="shared" si="1"/>
        <v>92.5</v>
      </c>
      <c r="M75" s="22">
        <f>ROUND('Operating Efficiency'!M75*'Capacity By Company'!M75,2)</f>
        <v>360</v>
      </c>
      <c r="N75" s="22">
        <f>ROUND('Operating Efficiency'!N75*'Capacity By Company'!N75,2)</f>
        <v>365</v>
      </c>
      <c r="O75" s="22">
        <f>ROUND('Operating Efficiency'!O75*'Capacity By Company'!O75,2)</f>
        <v>370</v>
      </c>
      <c r="P75" s="22">
        <f>ROUND('Operating Efficiency'!P75*'Capacity By Company'!P75,2)</f>
        <v>380</v>
      </c>
      <c r="Q75" s="22">
        <f>ROUND('Operating Efficiency'!Q75*'Capacity By Company'!Q75,2)</f>
        <v>390</v>
      </c>
      <c r="R75" s="22">
        <f>ROUND('Operating Efficiency'!R75*'Capacity By Company'!R75,2)</f>
        <v>400</v>
      </c>
      <c r="S75" s="22">
        <f>ROUND('Operating Efficiency'!S75*'Capacity By Company'!S75,2)</f>
        <v>410</v>
      </c>
      <c r="T75" s="22">
        <f>ROUND('Operating Efficiency'!T75*'Capacity By Company'!T75,2)</f>
        <v>410</v>
      </c>
      <c r="U75" s="22">
        <f>ROUND('Operating Efficiency'!U75*'Capacity By Company'!U75,2)</f>
        <v>420</v>
      </c>
      <c r="V75" s="22">
        <f>ROUND('Operating Efficiency'!V75*'Capacity By Company'!V75,2)</f>
        <v>420</v>
      </c>
      <c r="W75" s="22">
        <f>ROUND('Operating Efficiency'!W75*'Capacity By Company'!W75,2)</f>
        <v>420</v>
      </c>
    </row>
    <row r="76" spans="1:23" x14ac:dyDescent="0.25">
      <c r="A76" s="22" t="str">
        <f>'Capacity By Location'!D88</f>
        <v>Shenhua Group</v>
      </c>
      <c r="B76" s="22">
        <f>ROUND('Operating Efficiency'!B76*'Capacity By Company'!B76,2)</f>
        <v>1224</v>
      </c>
      <c r="C76" s="22">
        <f>ROUND('Operating Efficiency'!C76*'Capacity By Company'!C76,2)</f>
        <v>1260</v>
      </c>
      <c r="D76" s="22">
        <f>ROUND('Operating Efficiency'!D76*'Capacity By Company'!D76,2)</f>
        <v>1296</v>
      </c>
      <c r="E76" s="22">
        <f>ROUND('Operating Efficiency'!E76*'Capacity By Company'!E76,2)</f>
        <v>1314</v>
      </c>
      <c r="F76" s="22">
        <f>ROUND('Operating Efficiency'!F76*'Capacity By Company'!F76,2)</f>
        <v>1332</v>
      </c>
      <c r="G76" s="22">
        <f>ROUND('Operating Efficiency'!G76*'Capacity By Company'!G76,2)</f>
        <v>1260</v>
      </c>
      <c r="H76" s="22">
        <f>ROUND('Operating Efficiency'!H76*'Capacity By Company'!H76,2)</f>
        <v>1296</v>
      </c>
      <c r="I76" s="114">
        <f>ROUND('Operating Efficiency'!I76*'Capacity By Company'!I76,2)</f>
        <v>328.5</v>
      </c>
      <c r="J76" s="114">
        <f>ROUND('Operating Efficiency'!J76*'Capacity By Company'!J76,2)</f>
        <v>342</v>
      </c>
      <c r="K76" s="114">
        <f>ROUND('Operating Efficiency'!K76*'Capacity By Company'!K76,2)</f>
        <v>351</v>
      </c>
      <c r="L76" s="114">
        <f t="shared" si="1"/>
        <v>346.5</v>
      </c>
      <c r="M76" s="22">
        <f>ROUND('Operating Efficiency'!M76*'Capacity By Company'!M76,2)</f>
        <v>1368</v>
      </c>
      <c r="N76" s="22">
        <f>ROUND('Operating Efficiency'!N76*'Capacity By Company'!N76,2)</f>
        <v>1368</v>
      </c>
      <c r="O76" s="22">
        <f>ROUND('Operating Efficiency'!O76*'Capacity By Company'!O76,2)</f>
        <v>1404</v>
      </c>
      <c r="P76" s="22">
        <f>ROUND('Operating Efficiency'!P76*'Capacity By Company'!P76,2)</f>
        <v>1440</v>
      </c>
      <c r="Q76" s="22">
        <f>ROUND('Operating Efficiency'!Q76*'Capacity By Company'!Q76,2)</f>
        <v>1476</v>
      </c>
      <c r="R76" s="22">
        <f>ROUND('Operating Efficiency'!R76*'Capacity By Company'!R76,2)</f>
        <v>1494</v>
      </c>
      <c r="S76" s="22">
        <f>ROUND('Operating Efficiency'!S76*'Capacity By Company'!S76,2)</f>
        <v>1512</v>
      </c>
      <c r="T76" s="22">
        <f>ROUND('Operating Efficiency'!T76*'Capacity By Company'!T76,2)</f>
        <v>1512</v>
      </c>
      <c r="U76" s="22">
        <f>ROUND('Operating Efficiency'!U76*'Capacity By Company'!U76,2)</f>
        <v>1530</v>
      </c>
      <c r="V76" s="22">
        <f>ROUND('Operating Efficiency'!V76*'Capacity By Company'!V76,2)</f>
        <v>1530</v>
      </c>
      <c r="W76" s="22">
        <f>ROUND('Operating Efficiency'!W76*'Capacity By Company'!W76,2)</f>
        <v>1530</v>
      </c>
    </row>
    <row r="77" spans="1:23" x14ac:dyDescent="0.25">
      <c r="A77" s="22" t="str">
        <f>'Capacity By Location'!D89</f>
        <v>Sinopec Zhongyuan Petroleum</v>
      </c>
      <c r="B77" s="22">
        <f>ROUND('Operating Efficiency'!B77*'Capacity By Company'!B77,2)</f>
        <v>384</v>
      </c>
      <c r="C77" s="22">
        <f>ROUND('Operating Efficiency'!C77*'Capacity By Company'!C77,2)</f>
        <v>408</v>
      </c>
      <c r="D77" s="22">
        <f>ROUND('Operating Efficiency'!D77*'Capacity By Company'!D77,2)</f>
        <v>420</v>
      </c>
      <c r="E77" s="22">
        <f>ROUND('Operating Efficiency'!E77*'Capacity By Company'!E77,2)</f>
        <v>432</v>
      </c>
      <c r="F77" s="22">
        <f>ROUND('Operating Efficiency'!F77*'Capacity By Company'!F77,2)</f>
        <v>444</v>
      </c>
      <c r="G77" s="22">
        <f>ROUND('Operating Efficiency'!G77*'Capacity By Company'!G77,2)</f>
        <v>414</v>
      </c>
      <c r="H77" s="22">
        <f>ROUND('Operating Efficiency'!H77*'Capacity By Company'!H77,2)</f>
        <v>432</v>
      </c>
      <c r="I77" s="114">
        <f>ROUND('Operating Efficiency'!I77*'Capacity By Company'!I77,2)</f>
        <v>109.5</v>
      </c>
      <c r="J77" s="114">
        <f>ROUND('Operating Efficiency'!J77*'Capacity By Company'!J77,2)</f>
        <v>111</v>
      </c>
      <c r="K77" s="114">
        <f>ROUND('Operating Efficiency'!K77*'Capacity By Company'!K77,2)</f>
        <v>111</v>
      </c>
      <c r="L77" s="114">
        <f t="shared" si="1"/>
        <v>112.5</v>
      </c>
      <c r="M77" s="22">
        <f>ROUND('Operating Efficiency'!M77*'Capacity By Company'!M77,2)</f>
        <v>444</v>
      </c>
      <c r="N77" s="22">
        <f>ROUND('Operating Efficiency'!N77*'Capacity By Company'!N77,2)</f>
        <v>456</v>
      </c>
      <c r="O77" s="22">
        <f>ROUND('Operating Efficiency'!O77*'Capacity By Company'!O77,2)</f>
        <v>456</v>
      </c>
      <c r="P77" s="22">
        <f>ROUND('Operating Efficiency'!P77*'Capacity By Company'!P77,2)</f>
        <v>468</v>
      </c>
      <c r="Q77" s="22">
        <f>ROUND('Operating Efficiency'!Q77*'Capacity By Company'!Q77,2)</f>
        <v>468</v>
      </c>
      <c r="R77" s="22">
        <f>ROUND('Operating Efficiency'!R77*'Capacity By Company'!R77,2)</f>
        <v>480</v>
      </c>
      <c r="S77" s="22">
        <f>ROUND('Operating Efficiency'!S77*'Capacity By Company'!S77,2)</f>
        <v>480</v>
      </c>
      <c r="T77" s="22">
        <f>ROUND('Operating Efficiency'!T77*'Capacity By Company'!T77,2)</f>
        <v>492</v>
      </c>
      <c r="U77" s="22">
        <f>ROUND('Operating Efficiency'!U77*'Capacity By Company'!U77,2)</f>
        <v>498</v>
      </c>
      <c r="V77" s="22">
        <f>ROUND('Operating Efficiency'!V77*'Capacity By Company'!V77,2)</f>
        <v>504</v>
      </c>
      <c r="W77" s="22">
        <f>ROUND('Operating Efficiency'!W77*'Capacity By Company'!W77,2)</f>
        <v>504</v>
      </c>
    </row>
    <row r="78" spans="1:23" x14ac:dyDescent="0.25">
      <c r="A78" s="22" t="str">
        <f>'Capacity By Location'!D90</f>
        <v>Fund Energy</v>
      </c>
      <c r="B78" s="22">
        <f>ROUND('Operating Efficiency'!B78*'Capacity By Company'!B78,2)</f>
        <v>1296</v>
      </c>
      <c r="C78" s="22">
        <f>ROUND('Operating Efficiency'!C78*'Capacity By Company'!C78,2)</f>
        <v>1332</v>
      </c>
      <c r="D78" s="22">
        <f>ROUND('Operating Efficiency'!D78*'Capacity By Company'!D78,2)</f>
        <v>1368</v>
      </c>
      <c r="E78" s="22">
        <f>ROUND('Operating Efficiency'!E78*'Capacity By Company'!E78,2)</f>
        <v>1404</v>
      </c>
      <c r="F78" s="22">
        <f>ROUND('Operating Efficiency'!F78*'Capacity By Company'!F78,2)</f>
        <v>1440</v>
      </c>
      <c r="G78" s="22">
        <f>ROUND('Operating Efficiency'!G78*'Capacity By Company'!G78,2)</f>
        <v>1332</v>
      </c>
      <c r="H78" s="22">
        <f>ROUND('Operating Efficiency'!H78*'Capacity By Company'!H78,2)</f>
        <v>1368</v>
      </c>
      <c r="I78" s="114">
        <f>ROUND('Operating Efficiency'!I78*'Capacity By Company'!I78,2)</f>
        <v>337.5</v>
      </c>
      <c r="J78" s="114">
        <f>ROUND('Operating Efficiency'!J78*'Capacity By Company'!J78,2)</f>
        <v>346.5</v>
      </c>
      <c r="K78" s="114">
        <f>ROUND('Operating Efficiency'!K78*'Capacity By Company'!K78,2)</f>
        <v>360</v>
      </c>
      <c r="L78" s="114">
        <f t="shared" si="1"/>
        <v>360</v>
      </c>
      <c r="M78" s="22">
        <f>ROUND('Operating Efficiency'!M78*'Capacity By Company'!M78,2)</f>
        <v>1404</v>
      </c>
      <c r="N78" s="22">
        <f>ROUND('Operating Efficiency'!N78*'Capacity By Company'!N78,2)</f>
        <v>1440</v>
      </c>
      <c r="O78" s="22">
        <f>ROUND('Operating Efficiency'!O78*'Capacity By Company'!O78,2)</f>
        <v>1440</v>
      </c>
      <c r="P78" s="22">
        <f>ROUND('Operating Efficiency'!P78*'Capacity By Company'!P78,2)</f>
        <v>1476</v>
      </c>
      <c r="Q78" s="22">
        <f>ROUND('Operating Efficiency'!Q78*'Capacity By Company'!Q78,2)</f>
        <v>1512</v>
      </c>
      <c r="R78" s="22">
        <f>ROUND('Operating Efficiency'!R78*'Capacity By Company'!R78,2)</f>
        <v>1512</v>
      </c>
      <c r="S78" s="22">
        <f>ROUND('Operating Efficiency'!S78*'Capacity By Company'!S78,2)</f>
        <v>1512</v>
      </c>
      <c r="T78" s="22">
        <f>ROUND('Operating Efficiency'!T78*'Capacity By Company'!T78,2)</f>
        <v>1530</v>
      </c>
      <c r="U78" s="22">
        <f>ROUND('Operating Efficiency'!U78*'Capacity By Company'!U78,2)</f>
        <v>1530</v>
      </c>
      <c r="V78" s="22">
        <f>ROUND('Operating Efficiency'!V78*'Capacity By Company'!V78,2)</f>
        <v>1530</v>
      </c>
      <c r="W78" s="22">
        <f>ROUND('Operating Efficiency'!W78*'Capacity By Company'!W78,2)</f>
        <v>1530</v>
      </c>
    </row>
    <row r="79" spans="1:23" x14ac:dyDescent="0.25">
      <c r="A79" s="22" t="str">
        <f>'Capacity By Company'!A79</f>
        <v>PETRONAS Chemicals Group Berhad</v>
      </c>
      <c r="B79" s="22">
        <f>ROUND('Capacity By Company'!B79*'Operating Efficiency'!B79,2)</f>
        <v>1656</v>
      </c>
      <c r="C79" s="22">
        <f>ROUND('Capacity By Company'!C79*'Operating Efficiency'!C79,2)</f>
        <v>1704</v>
      </c>
      <c r="D79" s="22">
        <f>ROUND('Capacity By Company'!D79*'Operating Efficiency'!D79,2)</f>
        <v>1752</v>
      </c>
      <c r="E79" s="22">
        <f>ROUND('Capacity By Company'!E79*'Operating Efficiency'!E79,2)</f>
        <v>1800</v>
      </c>
      <c r="F79" s="22">
        <f>ROUND('Capacity By Company'!F79*'Operating Efficiency'!F79,2)</f>
        <v>1848</v>
      </c>
      <c r="G79" s="22">
        <f>ROUND('Capacity By Company'!G79*'Operating Efficiency'!G79,2)</f>
        <v>1704</v>
      </c>
      <c r="H79" s="22">
        <f>ROUND('Capacity By Company'!H79*'Operating Efficiency'!H79,2)</f>
        <v>1752</v>
      </c>
      <c r="I79" s="114">
        <f>ROUND('Capacity By Company'!I79*'Operating Efficiency'!I79,2)</f>
        <v>438</v>
      </c>
      <c r="J79" s="114">
        <f>ROUND('Capacity By Company'!J79*'Operating Efficiency'!J79,2)</f>
        <v>450</v>
      </c>
      <c r="K79" s="114">
        <f>ROUND('Capacity By Company'!K79*'Operating Efficiency'!K79,2)</f>
        <v>456</v>
      </c>
      <c r="L79" s="114">
        <f>ROUND('Capacity By Company'!L79*'Operating Efficiency'!L79,2)</f>
        <v>480</v>
      </c>
      <c r="M79" s="22">
        <f>ROUND('Capacity By Company'!M79*'Operating Efficiency'!M79,2)</f>
        <v>1824</v>
      </c>
      <c r="N79" s="22">
        <f>ROUND('Capacity By Company'!N79*'Operating Efficiency'!N79,2)</f>
        <v>1848</v>
      </c>
      <c r="O79" s="22">
        <f>ROUND('Capacity By Company'!O79*'Operating Efficiency'!O79,2)</f>
        <v>1872</v>
      </c>
      <c r="P79" s="22">
        <f>ROUND('Capacity By Company'!P79*'Operating Efficiency'!P79,2)</f>
        <v>1896</v>
      </c>
      <c r="Q79" s="22">
        <f>ROUND('Capacity By Company'!Q79*'Operating Efficiency'!Q79,2)</f>
        <v>1944</v>
      </c>
      <c r="R79" s="22">
        <f>ROUND('Capacity By Company'!R79*'Operating Efficiency'!R79,2)</f>
        <v>1968</v>
      </c>
      <c r="S79" s="22">
        <f>ROUND('Capacity By Company'!S79*'Operating Efficiency'!S79,2)</f>
        <v>1992</v>
      </c>
      <c r="T79" s="22">
        <f>ROUND('Capacity By Company'!T79*'Operating Efficiency'!T79,2)</f>
        <v>1992</v>
      </c>
      <c r="U79" s="22">
        <f>ROUND('Capacity By Company'!U79*'Operating Efficiency'!U79,2)</f>
        <v>2016</v>
      </c>
      <c r="V79" s="22">
        <f>ROUND('Capacity By Company'!V79*'Operating Efficiency'!V79,2)</f>
        <v>2016</v>
      </c>
      <c r="W79" s="22">
        <f>ROUND('Capacity By Company'!W79*'Operating Efficiency'!W79,2)</f>
        <v>2016</v>
      </c>
    </row>
    <row r="80" spans="1:23" x14ac:dyDescent="0.25">
      <c r="A80" s="22" t="str">
        <f>'Capacity By Company'!A80</f>
        <v>PT Kaltim Methanol Industry</v>
      </c>
      <c r="B80" s="22">
        <f>ROUND('Capacity By Company'!B80*'Operating Efficiency'!B80,2)</f>
        <v>468.6</v>
      </c>
      <c r="C80" s="22">
        <f>ROUND('Capacity By Company'!C80*'Operating Efficiency'!C80,2)</f>
        <v>481.8</v>
      </c>
      <c r="D80" s="22">
        <f>ROUND('Capacity By Company'!D80*'Operating Efficiency'!D80,2)</f>
        <v>501.6</v>
      </c>
      <c r="E80" s="22">
        <f>ROUND('Capacity By Company'!E80*'Operating Efficiency'!E80,2)</f>
        <v>514.79999999999995</v>
      </c>
      <c r="F80" s="22">
        <f>ROUND('Capacity By Company'!F80*'Operating Efficiency'!F80,2)</f>
        <v>528</v>
      </c>
      <c r="G80" s="22">
        <f>ROUND('Capacity By Company'!G80*'Operating Efficiency'!G80,2)</f>
        <v>475.2</v>
      </c>
      <c r="H80" s="22">
        <f>ROUND('Capacity By Company'!H80*'Operating Efficiency'!H80,2)</f>
        <v>488.4</v>
      </c>
      <c r="I80" s="114">
        <f>ROUND('Capacity By Company'!I80*'Operating Efficiency'!I80,2)</f>
        <v>122.1</v>
      </c>
      <c r="J80" s="114">
        <f>ROUND('Capacity By Company'!J80*'Operating Efficiency'!J80,2)</f>
        <v>123.75</v>
      </c>
      <c r="K80" s="114">
        <f>ROUND('Capacity By Company'!K80*'Operating Efficiency'!K80,2)</f>
        <v>125.4</v>
      </c>
      <c r="L80" s="114">
        <f>ROUND('Capacity By Company'!L80*'Operating Efficiency'!L80,2)</f>
        <v>122.1</v>
      </c>
      <c r="M80" s="22">
        <f>ROUND('Capacity By Company'!M80*'Operating Efficiency'!M80,2)</f>
        <v>495</v>
      </c>
      <c r="N80" s="22">
        <f>ROUND('Capacity By Company'!N80*'Operating Efficiency'!N80,2)</f>
        <v>501.6</v>
      </c>
      <c r="O80" s="22">
        <f>ROUND('Capacity By Company'!O80*'Operating Efficiency'!O80,2)</f>
        <v>521.4</v>
      </c>
      <c r="P80" s="22">
        <f>ROUND('Capacity By Company'!P80*'Operating Efficiency'!P80,2)</f>
        <v>528</v>
      </c>
      <c r="Q80" s="22">
        <f>ROUND('Capacity By Company'!Q80*'Operating Efficiency'!Q80,2)</f>
        <v>528</v>
      </c>
      <c r="R80" s="22">
        <f>ROUND('Capacity By Company'!R80*'Operating Efficiency'!R80,2)</f>
        <v>541.20000000000005</v>
      </c>
      <c r="S80" s="22">
        <f>ROUND('Capacity By Company'!S80*'Operating Efficiency'!S80,2)</f>
        <v>541.20000000000005</v>
      </c>
      <c r="T80" s="22">
        <f>ROUND('Capacity By Company'!T80*'Operating Efficiency'!T80,2)</f>
        <v>554.4</v>
      </c>
      <c r="U80" s="22">
        <f>ROUND('Capacity By Company'!U80*'Operating Efficiency'!U80,2)</f>
        <v>554.4</v>
      </c>
      <c r="V80" s="22">
        <f>ROUND('Capacity By Company'!V80*'Operating Efficiency'!V80,2)</f>
        <v>567.6</v>
      </c>
      <c r="W80" s="22">
        <f>ROUND('Capacity By Company'!W80*'Operating Efficiency'!W80,2)</f>
        <v>567.6</v>
      </c>
    </row>
    <row r="81" spans="1:23" x14ac:dyDescent="0.25">
      <c r="A81" s="22" t="str">
        <f>'Capacity By Company'!A81</f>
        <v>Methanol Australia Limited</v>
      </c>
      <c r="B81" s="22">
        <f>ROUND('Capacity By Company'!B81*'Operating Efficiency'!B81,2)</f>
        <v>2310</v>
      </c>
      <c r="C81" s="22">
        <f>ROUND('Capacity By Company'!C81*'Operating Efficiency'!C81,2)</f>
        <v>2450</v>
      </c>
      <c r="D81" s="22">
        <f>ROUND('Capacity By Company'!D81*'Operating Efficiency'!D81,2)</f>
        <v>2520</v>
      </c>
      <c r="E81" s="22">
        <f>ROUND('Capacity By Company'!E81*'Operating Efficiency'!E81,2)</f>
        <v>2590</v>
      </c>
      <c r="F81" s="22">
        <f>ROUND('Capacity By Company'!F81*'Operating Efficiency'!F81,2)</f>
        <v>2660</v>
      </c>
      <c r="G81" s="22">
        <f>ROUND('Capacity By Company'!G81*'Operating Efficiency'!G81,2)</f>
        <v>2450</v>
      </c>
      <c r="H81" s="22">
        <f>ROUND('Capacity By Company'!H81*'Operating Efficiency'!H81,2)</f>
        <v>2520</v>
      </c>
      <c r="I81" s="114">
        <f>ROUND('Capacity By Company'!I81*'Operating Efficiency'!I81,2)</f>
        <v>638.75</v>
      </c>
      <c r="J81" s="114">
        <f>ROUND('Capacity By Company'!J81*'Operating Efficiency'!J81,2)</f>
        <v>665</v>
      </c>
      <c r="K81" s="114">
        <f>ROUND('Capacity By Company'!K81*'Operating Efficiency'!K81,2)</f>
        <v>673.75</v>
      </c>
      <c r="L81" s="114">
        <f>ROUND('Capacity By Company'!L81*'Operating Efficiency'!L81,2)</f>
        <v>682.5</v>
      </c>
      <c r="M81" s="22">
        <f>ROUND('Capacity By Company'!M81*'Operating Efficiency'!M81,2)</f>
        <v>2660</v>
      </c>
      <c r="N81" s="22">
        <f>ROUND('Capacity By Company'!N81*'Operating Efficiency'!N81,2)</f>
        <v>2730</v>
      </c>
      <c r="O81" s="22">
        <f>ROUND('Capacity By Company'!O81*'Operating Efficiency'!O81,2)</f>
        <v>2800</v>
      </c>
      <c r="P81" s="22">
        <f>ROUND('Capacity By Company'!P81*'Operating Efficiency'!P81,2)</f>
        <v>2800</v>
      </c>
      <c r="Q81" s="22">
        <f>ROUND('Capacity By Company'!Q81*'Operating Efficiency'!Q81,2)</f>
        <v>2870</v>
      </c>
      <c r="R81" s="22">
        <f>ROUND('Capacity By Company'!R81*'Operating Efficiency'!R81,2)</f>
        <v>2870</v>
      </c>
      <c r="S81" s="22">
        <f>ROUND('Capacity By Company'!S81*'Operating Efficiency'!S81,2)</f>
        <v>2870</v>
      </c>
      <c r="T81" s="22">
        <f>ROUND('Capacity By Company'!T81*'Operating Efficiency'!T81,2)</f>
        <v>2940</v>
      </c>
      <c r="U81" s="22">
        <f>ROUND('Capacity By Company'!U81*'Operating Efficiency'!U81,2)</f>
        <v>2940</v>
      </c>
      <c r="V81" s="22">
        <f>ROUND('Capacity By Company'!V81*'Operating Efficiency'!V81,2)</f>
        <v>2940</v>
      </c>
      <c r="W81" s="22">
        <f>ROUND('Capacity By Company'!W81*'Operating Efficiency'!W81,2)</f>
        <v>2940</v>
      </c>
    </row>
    <row r="82" spans="1:23" x14ac:dyDescent="0.25">
      <c r="A82" s="22" t="str">
        <f>'Capacity By Company'!A82</f>
        <v>Coogee</v>
      </c>
      <c r="B82" s="22">
        <f>ROUND('Capacity By Company'!B82*'Operating Efficiency'!B82,2)</f>
        <v>49</v>
      </c>
      <c r="C82" s="22">
        <f>ROUND('Capacity By Company'!C82*'Operating Efficiency'!C82,2)</f>
        <v>50.4</v>
      </c>
      <c r="D82" s="22">
        <f>ROUND('Capacity By Company'!D82*'Operating Efficiency'!D82,2)</f>
        <v>51.8</v>
      </c>
      <c r="E82" s="22">
        <f>ROUND('Capacity By Company'!E82*'Operating Efficiency'!E82,2)</f>
        <v>53.2</v>
      </c>
      <c r="F82" s="22">
        <f>ROUND('Capacity By Company'!F82*'Operating Efficiency'!F82,2)</f>
        <v>54.6</v>
      </c>
      <c r="G82" s="22">
        <f>ROUND('Capacity By Company'!G82*'Operating Efficiency'!G82,2)</f>
        <v>49.7</v>
      </c>
      <c r="H82" s="22">
        <f>ROUND('Capacity By Company'!H82*'Operating Efficiency'!H82,2)</f>
        <v>51.1</v>
      </c>
      <c r="I82" s="114">
        <f>ROUND('Capacity By Company'!I82*'Operating Efficiency'!I82,2)</f>
        <v>12.78</v>
      </c>
      <c r="J82" s="114">
        <f>ROUND('Capacity By Company'!J82*'Operating Efficiency'!J82,2)</f>
        <v>13.13</v>
      </c>
      <c r="K82" s="114">
        <f>ROUND('Capacity By Company'!K82*'Operating Efficiency'!K82,2)</f>
        <v>14</v>
      </c>
      <c r="L82" s="114">
        <f>ROUND('Capacity By Company'!L82*'Operating Efficiency'!L82,2)</f>
        <v>13.3</v>
      </c>
      <c r="M82" s="22">
        <f>ROUND('Capacity By Company'!M82*'Operating Efficiency'!M82,2)</f>
        <v>53.2</v>
      </c>
      <c r="N82" s="22">
        <f>ROUND('Capacity By Company'!N82*'Operating Efficiency'!N82,2)</f>
        <v>54.6</v>
      </c>
      <c r="O82" s="22">
        <f>ROUND('Capacity By Company'!O82*'Operating Efficiency'!O82,2)</f>
        <v>56</v>
      </c>
      <c r="P82" s="22">
        <f>ROUND('Capacity By Company'!P82*'Operating Efficiency'!P82,2)</f>
        <v>57.4</v>
      </c>
      <c r="Q82" s="22">
        <f>ROUND('Capacity By Company'!Q82*'Operating Efficiency'!Q82,2)</f>
        <v>58.1</v>
      </c>
      <c r="R82" s="22">
        <f>ROUND('Capacity By Company'!R82*'Operating Efficiency'!R82,2)</f>
        <v>58.1</v>
      </c>
      <c r="S82" s="22">
        <f>ROUND('Capacity By Company'!S82*'Operating Efficiency'!S82,2)</f>
        <v>58.1</v>
      </c>
      <c r="T82" s="22">
        <f>ROUND('Capacity By Company'!T82*'Operating Efficiency'!T82,2)</f>
        <v>58.8</v>
      </c>
      <c r="U82" s="22">
        <f>ROUND('Capacity By Company'!U82*'Operating Efficiency'!U82,2)</f>
        <v>58.8</v>
      </c>
      <c r="V82" s="22">
        <f>ROUND('Capacity By Company'!V82*'Operating Efficiency'!V82,2)</f>
        <v>58.8</v>
      </c>
      <c r="W82" s="22">
        <f>ROUND('Capacity By Company'!W82*'Operating Efficiency'!W82,2)</f>
        <v>58.8</v>
      </c>
    </row>
    <row r="83" spans="1:23" x14ac:dyDescent="0.25">
      <c r="A83" s="22" t="str">
        <f>'Capacity By Location'!D96</f>
        <v>Others</v>
      </c>
      <c r="B83" s="22">
        <f>ROUND('Operating Efficiency'!B83*'Capacity By Company'!B83,2)</f>
        <v>15295</v>
      </c>
      <c r="C83" s="22">
        <f>ROUND('Operating Efficiency'!C83*'Capacity By Company'!C83,2)</f>
        <v>15732</v>
      </c>
      <c r="D83" s="22">
        <f>ROUND('Operating Efficiency'!D83*'Capacity By Company'!D83,2)</f>
        <v>16169</v>
      </c>
      <c r="E83" s="22">
        <f>ROUND('Operating Efficiency'!E83*'Capacity By Company'!E83,2)</f>
        <v>16100</v>
      </c>
      <c r="F83" s="22">
        <f>ROUND('Operating Efficiency'!F83*'Capacity By Company'!F83,2)</f>
        <v>17480</v>
      </c>
      <c r="G83" s="22">
        <f>ROUND('Operating Efficiency'!G83*'Capacity By Company'!G83,2)</f>
        <v>17395</v>
      </c>
      <c r="H83" s="22">
        <f>ROUND('Operating Efficiency'!H83*'Capacity By Company'!H83,2)</f>
        <v>18204.400000000001</v>
      </c>
      <c r="I83" s="114">
        <f>ROUND('Operating Efficiency'!I83*'Capacity By Company'!I83,2)</f>
        <v>4615.2</v>
      </c>
      <c r="J83" s="114">
        <f>ROUND('Operating Efficiency'!J83*'Capacity By Company'!J83,2)</f>
        <v>4743.3999999999996</v>
      </c>
      <c r="K83" s="114">
        <f>ROUND('Operating Efficiency'!K83*'Capacity By Company'!K83,2)</f>
        <v>4807.5</v>
      </c>
      <c r="L83" s="114">
        <f t="shared" si="1"/>
        <v>4807.5</v>
      </c>
      <c r="M83" s="22">
        <f>ROUND('Operating Efficiency'!M83*'Capacity By Company'!M83,2)</f>
        <v>18973.599999999999</v>
      </c>
      <c r="N83" s="22">
        <f>ROUND('Operating Efficiency'!N83*'Capacity By Company'!N83,2)</f>
        <v>20520</v>
      </c>
      <c r="O83" s="22">
        <f>ROUND('Operating Efficiency'!O83*'Capacity By Company'!O83,2)</f>
        <v>21060</v>
      </c>
      <c r="P83" s="22">
        <f>ROUND('Operating Efficiency'!P83*'Capacity By Company'!P83,2)</f>
        <v>21060</v>
      </c>
      <c r="Q83" s="22">
        <f>ROUND('Operating Efficiency'!Q83*'Capacity By Company'!Q83,2)</f>
        <v>21600</v>
      </c>
      <c r="R83" s="22">
        <f>ROUND('Operating Efficiency'!R83*'Capacity By Company'!R83,2)</f>
        <v>22140</v>
      </c>
      <c r="S83" s="22">
        <f>ROUND('Operating Efficiency'!S83*'Capacity By Company'!S83,2)</f>
        <v>22140</v>
      </c>
      <c r="T83" s="22">
        <f>ROUND('Operating Efficiency'!T83*'Capacity By Company'!T83,2)</f>
        <v>22680</v>
      </c>
      <c r="U83" s="22">
        <f>ROUND('Operating Efficiency'!U83*'Capacity By Company'!U83,2)</f>
        <v>22680</v>
      </c>
      <c r="V83" s="22">
        <f>ROUND('Operating Efficiency'!V83*'Capacity By Company'!V83,2)</f>
        <v>22680</v>
      </c>
      <c r="W83" s="22">
        <f>ROUND('Operating Efficiency'!W83*'Capacity By Company'!W83,2)</f>
        <v>22680</v>
      </c>
    </row>
    <row r="84" spans="1:23" x14ac:dyDescent="0.25">
      <c r="A84" s="22" t="str">
        <f>'Capacity By Location'!D97</f>
        <v>Total</v>
      </c>
      <c r="B84" s="52">
        <f>SUM(B2:B83)</f>
        <v>75008.72</v>
      </c>
      <c r="C84" s="52">
        <f t="shared" ref="C84:W84" si="2">SUM(C2:C83)</f>
        <v>77457.720000000016</v>
      </c>
      <c r="D84" s="52">
        <f t="shared" si="2"/>
        <v>79820.800000000003</v>
      </c>
      <c r="E84" s="52">
        <f t="shared" si="2"/>
        <v>83884.159999999989</v>
      </c>
      <c r="F84" s="52">
        <f t="shared" si="2"/>
        <v>88443.580000000016</v>
      </c>
      <c r="G84" s="52">
        <f t="shared" si="2"/>
        <v>85541.46</v>
      </c>
      <c r="H84" s="52">
        <f t="shared" si="2"/>
        <v>89705.079999999987</v>
      </c>
      <c r="I84" s="115">
        <f>SUM(I2:I83)</f>
        <v>22391.969999999994</v>
      </c>
      <c r="J84" s="115">
        <f t="shared" ref="J84:L84" si="3">SUM(J2:J83)</f>
        <v>23123.43</v>
      </c>
      <c r="K84" s="115">
        <f t="shared" si="3"/>
        <v>23478.639999999999</v>
      </c>
      <c r="L84" s="115">
        <f t="shared" si="3"/>
        <v>24114.52</v>
      </c>
      <c r="M84" s="52">
        <f t="shared" si="2"/>
        <v>93110.199999999983</v>
      </c>
      <c r="N84" s="52">
        <f t="shared" si="2"/>
        <v>101458.20000000001</v>
      </c>
      <c r="O84" s="52">
        <f t="shared" si="2"/>
        <v>103866.04</v>
      </c>
      <c r="P84" s="52">
        <f t="shared" si="2"/>
        <v>105540.19</v>
      </c>
      <c r="Q84" s="52">
        <f t="shared" si="2"/>
        <v>108543.37999999999</v>
      </c>
      <c r="R84" s="52">
        <f t="shared" si="2"/>
        <v>110246.93000000001</v>
      </c>
      <c r="S84" s="52">
        <f t="shared" si="2"/>
        <v>111099.50999999998</v>
      </c>
      <c r="T84" s="52">
        <f t="shared" si="2"/>
        <v>112482.69999999998</v>
      </c>
      <c r="U84" s="52">
        <f t="shared" si="2"/>
        <v>113417.98</v>
      </c>
      <c r="V84" s="52">
        <f t="shared" si="2"/>
        <v>113591.32</v>
      </c>
      <c r="W84" s="52">
        <f t="shared" si="2"/>
        <v>113635.32</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B1EA44-F16E-4891-889F-B0E673BCF146}">
  <dimension ref="A1:W87"/>
  <sheetViews>
    <sheetView workbookViewId="0">
      <pane ySplit="1" topLeftCell="A2" activePane="bottomLeft" state="frozen"/>
      <selection pane="bottomLeft" activeCell="J5" sqref="J5"/>
    </sheetView>
  </sheetViews>
  <sheetFormatPr defaultRowHeight="15" x14ac:dyDescent="0.25"/>
  <cols>
    <col min="1" max="1" width="57.140625" bestFit="1" customWidth="1"/>
  </cols>
  <sheetData>
    <row r="1" spans="1:23" x14ac:dyDescent="0.25">
      <c r="A1" s="56" t="str">
        <f>'Capacity By Location'!D1</f>
        <v>Company</v>
      </c>
      <c r="B1" s="56">
        <f>'Capacity By Location'!E1</f>
        <v>2015</v>
      </c>
      <c r="C1" s="56">
        <f>'Capacity By Location'!F1</f>
        <v>2016</v>
      </c>
      <c r="D1" s="56">
        <f>'Capacity By Location'!G1</f>
        <v>2017</v>
      </c>
      <c r="E1" s="56">
        <f>'Capacity By Location'!H1</f>
        <v>2018</v>
      </c>
      <c r="F1" s="56">
        <f>'Capacity By Location'!I1</f>
        <v>2019</v>
      </c>
      <c r="G1" s="56">
        <f>'Capacity By Location'!J1</f>
        <v>2020</v>
      </c>
      <c r="H1" s="56" t="str">
        <f>'Capacity By Location'!K1</f>
        <v>2021E</v>
      </c>
      <c r="I1" s="56" t="s">
        <v>327</v>
      </c>
      <c r="J1" s="56" t="s">
        <v>328</v>
      </c>
      <c r="K1" s="56" t="s">
        <v>329</v>
      </c>
      <c r="L1" s="56" t="s">
        <v>330</v>
      </c>
      <c r="M1" s="56" t="str">
        <f>'Capacity By Location'!L1</f>
        <v>2022F</v>
      </c>
      <c r="N1" s="56" t="str">
        <f>'Capacity By Location'!M1</f>
        <v>2023F</v>
      </c>
      <c r="O1" s="56" t="str">
        <f>'Capacity By Location'!N1</f>
        <v>2024F</v>
      </c>
      <c r="P1" s="56" t="str">
        <f>'Capacity By Location'!O1</f>
        <v>2025F</v>
      </c>
      <c r="Q1" s="56" t="str">
        <f>'Capacity By Location'!P1</f>
        <v>2026F</v>
      </c>
      <c r="R1" s="56" t="str">
        <f>'Capacity By Location'!Q1</f>
        <v>2027F</v>
      </c>
      <c r="S1" s="56" t="str">
        <f>'Capacity By Location'!R1</f>
        <v>2028F</v>
      </c>
      <c r="T1" s="56" t="str">
        <f>'Capacity By Location'!S1</f>
        <v>2029F</v>
      </c>
      <c r="U1" s="56" t="str">
        <f>'Capacity By Location'!T1</f>
        <v>2030F</v>
      </c>
      <c r="V1" s="56" t="s">
        <v>293</v>
      </c>
      <c r="W1" s="56" t="s">
        <v>294</v>
      </c>
    </row>
    <row r="2" spans="1:23" s="18" customFormat="1" x14ac:dyDescent="0.25">
      <c r="A2" s="22" t="str">
        <f>'Capacity By Location'!D2</f>
        <v>Fairway LLC</v>
      </c>
      <c r="B2" s="59">
        <v>0.7</v>
      </c>
      <c r="C2" s="59">
        <v>0.72</v>
      </c>
      <c r="D2" s="59">
        <v>0.74</v>
      </c>
      <c r="E2" s="59">
        <v>0.75</v>
      </c>
      <c r="F2" s="59">
        <v>0.76</v>
      </c>
      <c r="G2" s="62">
        <v>0.72</v>
      </c>
      <c r="H2" s="59">
        <v>0.74</v>
      </c>
      <c r="I2" s="118">
        <v>0.74</v>
      </c>
      <c r="J2" s="118">
        <v>0.75</v>
      </c>
      <c r="K2" s="118">
        <v>0.76</v>
      </c>
      <c r="L2" s="118">
        <v>0.74</v>
      </c>
      <c r="M2" s="59">
        <v>0.75</v>
      </c>
      <c r="N2" s="59">
        <v>0.76</v>
      </c>
      <c r="O2" s="59">
        <v>0.76</v>
      </c>
      <c r="P2" s="59">
        <v>0.78</v>
      </c>
      <c r="Q2" s="59">
        <v>0.8</v>
      </c>
      <c r="R2" s="59">
        <v>0.82</v>
      </c>
      <c r="S2" s="59">
        <v>0.82</v>
      </c>
      <c r="T2" s="59">
        <v>0.84</v>
      </c>
      <c r="U2" s="59">
        <v>0.84</v>
      </c>
      <c r="V2" s="59">
        <v>0.84</v>
      </c>
      <c r="W2" s="59">
        <v>0.84</v>
      </c>
    </row>
    <row r="3" spans="1:23" s="18" customFormat="1" x14ac:dyDescent="0.25">
      <c r="A3" s="22" t="str">
        <f>'Capacity By Location'!D3</f>
        <v>US Methanol</v>
      </c>
      <c r="B3" s="65">
        <f>'Capacity By Location'!E3</f>
        <v>0</v>
      </c>
      <c r="C3" s="65">
        <f>'Capacity By Location'!F3</f>
        <v>0</v>
      </c>
      <c r="D3" s="65">
        <f>'Capacity By Location'!G3</f>
        <v>0</v>
      </c>
      <c r="E3" s="65">
        <f>'Capacity By Location'!H3</f>
        <v>0</v>
      </c>
      <c r="F3" s="65">
        <f>'Capacity By Location'!I3</f>
        <v>0</v>
      </c>
      <c r="G3" s="65">
        <f>'Capacity By Location'!J3</f>
        <v>0</v>
      </c>
      <c r="H3" s="65">
        <f>'Capacity By Location'!K3</f>
        <v>0</v>
      </c>
      <c r="I3" s="118">
        <v>0</v>
      </c>
      <c r="J3" s="118">
        <v>0</v>
      </c>
      <c r="K3" s="118">
        <v>0.55000000000000004</v>
      </c>
      <c r="L3" s="118">
        <v>0.68</v>
      </c>
      <c r="M3" s="58">
        <v>0.31</v>
      </c>
      <c r="N3" s="58">
        <v>0.55000000000000004</v>
      </c>
      <c r="O3" s="58">
        <v>0.62</v>
      </c>
      <c r="P3" s="58">
        <v>0.67</v>
      </c>
      <c r="Q3" s="58">
        <v>0.71</v>
      </c>
      <c r="R3" s="58">
        <v>0.71</v>
      </c>
      <c r="S3" s="58">
        <v>0.74</v>
      </c>
      <c r="T3" s="58">
        <v>0.74</v>
      </c>
      <c r="U3" s="58">
        <v>0.76</v>
      </c>
      <c r="V3" s="58">
        <v>0.76</v>
      </c>
      <c r="W3" s="58">
        <v>0.8</v>
      </c>
    </row>
    <row r="4" spans="1:23" s="18" customFormat="1" x14ac:dyDescent="0.25">
      <c r="A4" s="22" t="str">
        <f>'Capacity By Location'!D4</f>
        <v>Methanex Corporation</v>
      </c>
      <c r="B4" s="59">
        <v>0.71999999999999986</v>
      </c>
      <c r="C4" s="59">
        <v>0.73999999999999988</v>
      </c>
      <c r="D4" s="59">
        <v>0.7599999999999999</v>
      </c>
      <c r="E4" s="59">
        <v>0.77999999999999992</v>
      </c>
      <c r="F4" s="59">
        <v>0.79999999999999993</v>
      </c>
      <c r="G4" s="62">
        <v>0.71999999999999986</v>
      </c>
      <c r="H4" s="59">
        <v>0.73999999999999988</v>
      </c>
      <c r="I4" s="118">
        <v>0.73</v>
      </c>
      <c r="J4" s="118">
        <v>0.75</v>
      </c>
      <c r="K4" s="118">
        <v>0.76</v>
      </c>
      <c r="L4" s="118">
        <v>0.8</v>
      </c>
      <c r="M4" s="59">
        <v>0.7599999999999999</v>
      </c>
      <c r="N4" s="59">
        <v>0.77999999999999992</v>
      </c>
      <c r="O4" s="59">
        <v>0.77999999999999992</v>
      </c>
      <c r="P4" s="59">
        <v>0.79999999999999993</v>
      </c>
      <c r="Q4" s="59">
        <v>0.79999999999999993</v>
      </c>
      <c r="R4" s="59">
        <v>0.81999999999999984</v>
      </c>
      <c r="S4" s="59">
        <v>0.81999999999999984</v>
      </c>
      <c r="T4" s="59">
        <v>0.81999999999999984</v>
      </c>
      <c r="U4" s="59">
        <v>0.83999999999999986</v>
      </c>
      <c r="V4" s="59">
        <v>0.83999999999999986</v>
      </c>
      <c r="W4" s="59">
        <v>0.83999999999999986</v>
      </c>
    </row>
    <row r="5" spans="1:23" s="18" customFormat="1" x14ac:dyDescent="0.25">
      <c r="A5" s="22" t="str">
        <f>'Capacity By Location'!D5</f>
        <v>LyondellBasell Industries BV</v>
      </c>
      <c r="B5" s="59">
        <v>0.7</v>
      </c>
      <c r="C5" s="59">
        <v>0.72</v>
      </c>
      <c r="D5" s="59">
        <v>0.74</v>
      </c>
      <c r="E5" s="59">
        <v>0.76</v>
      </c>
      <c r="F5" s="59">
        <v>0.78</v>
      </c>
      <c r="G5" s="62">
        <v>0.74</v>
      </c>
      <c r="H5" s="59">
        <v>0.76</v>
      </c>
      <c r="I5" s="118">
        <v>0.76</v>
      </c>
      <c r="J5" s="118">
        <v>0.75</v>
      </c>
      <c r="K5" s="118">
        <v>0.78</v>
      </c>
      <c r="L5" s="118">
        <v>0.83</v>
      </c>
      <c r="M5" s="59">
        <v>0.78</v>
      </c>
      <c r="N5" s="59">
        <v>0.8</v>
      </c>
      <c r="O5" s="59">
        <v>0.82</v>
      </c>
      <c r="P5" s="59">
        <v>0.82</v>
      </c>
      <c r="Q5" s="59">
        <v>0.84</v>
      </c>
      <c r="R5" s="59">
        <v>0.84</v>
      </c>
      <c r="S5" s="59">
        <v>0.84</v>
      </c>
      <c r="T5" s="59">
        <v>0.86</v>
      </c>
      <c r="U5" s="59">
        <v>0.86</v>
      </c>
      <c r="V5" s="59">
        <v>0.86</v>
      </c>
      <c r="W5" s="59">
        <v>0.86</v>
      </c>
    </row>
    <row r="6" spans="1:23" s="18" customFormat="1" x14ac:dyDescent="0.25">
      <c r="A6" s="57" t="s">
        <v>295</v>
      </c>
      <c r="B6" s="59">
        <v>0.69999999999999984</v>
      </c>
      <c r="C6" s="59">
        <v>0.71999999999999986</v>
      </c>
      <c r="D6" s="59">
        <v>0.73999999999999988</v>
      </c>
      <c r="E6" s="59">
        <v>0.7599999999999999</v>
      </c>
      <c r="F6" s="59">
        <v>0.77999999999999992</v>
      </c>
      <c r="G6" s="62">
        <v>0.71999999999999986</v>
      </c>
      <c r="H6" s="59">
        <v>0.73999999999999988</v>
      </c>
      <c r="I6" s="118">
        <v>0.75</v>
      </c>
      <c r="J6" s="118">
        <v>0.76</v>
      </c>
      <c r="K6" s="118">
        <v>0.76</v>
      </c>
      <c r="L6" s="118">
        <v>0.77</v>
      </c>
      <c r="M6" s="59">
        <v>0.7599999999999999</v>
      </c>
      <c r="N6" s="59">
        <v>0.7599999999999999</v>
      </c>
      <c r="O6" s="59">
        <v>0.77999999999999992</v>
      </c>
      <c r="P6" s="59">
        <v>0.77999999999999992</v>
      </c>
      <c r="Q6" s="59">
        <v>0.8</v>
      </c>
      <c r="R6" s="59">
        <v>0.82</v>
      </c>
      <c r="S6" s="59">
        <v>0.81999999999999984</v>
      </c>
      <c r="T6" s="59">
        <v>0.84</v>
      </c>
      <c r="U6" s="59">
        <v>0.83999999999999986</v>
      </c>
      <c r="V6" s="59">
        <v>0.83999999999999986</v>
      </c>
      <c r="W6" s="59">
        <v>0.83999999999999986</v>
      </c>
    </row>
    <row r="7" spans="1:23" s="18" customFormat="1" x14ac:dyDescent="0.25">
      <c r="A7" s="22" t="str">
        <f>'Capacity By Location'!D7</f>
        <v>Eastman Chemical</v>
      </c>
      <c r="B7" s="59">
        <v>0.68</v>
      </c>
      <c r="C7" s="59">
        <v>0.7</v>
      </c>
      <c r="D7" s="59">
        <v>0.72</v>
      </c>
      <c r="E7" s="59">
        <v>0.74</v>
      </c>
      <c r="F7" s="59">
        <v>0.76</v>
      </c>
      <c r="G7" s="62">
        <v>0.73999999999999988</v>
      </c>
      <c r="H7" s="59">
        <v>0.7599999999999999</v>
      </c>
      <c r="I7" s="118">
        <v>0.75</v>
      </c>
      <c r="J7" s="118">
        <v>0.79</v>
      </c>
      <c r="K7" s="118">
        <v>0.85</v>
      </c>
      <c r="L7" s="118">
        <v>0.73</v>
      </c>
      <c r="M7" s="59">
        <v>0.77999999999999992</v>
      </c>
      <c r="N7" s="59">
        <v>0.79999999999999993</v>
      </c>
      <c r="O7" s="59">
        <v>0.82</v>
      </c>
      <c r="P7" s="59">
        <v>0.81999999999999984</v>
      </c>
      <c r="Q7" s="59">
        <v>0.84</v>
      </c>
      <c r="R7" s="59">
        <v>0.83999999999999986</v>
      </c>
      <c r="S7" s="59">
        <v>0.83999999999999986</v>
      </c>
      <c r="T7" s="59">
        <v>0.86</v>
      </c>
      <c r="U7" s="59">
        <v>0.86</v>
      </c>
      <c r="V7" s="59">
        <v>0.86</v>
      </c>
      <c r="W7" s="59">
        <v>0.86</v>
      </c>
    </row>
    <row r="8" spans="1:23" s="18" customFormat="1" x14ac:dyDescent="0.25">
      <c r="A8" s="22" t="str">
        <f>'Capacity By Location'!D8</f>
        <v>Yuhuang Chemical Industries Inc.</v>
      </c>
      <c r="B8" s="65">
        <f>'Capacity By Location'!E8</f>
        <v>0</v>
      </c>
      <c r="C8" s="65">
        <f>'Capacity By Location'!F8</f>
        <v>0</v>
      </c>
      <c r="D8" s="65">
        <f>'Capacity By Location'!G8</f>
        <v>0</v>
      </c>
      <c r="E8" s="63">
        <v>0.5</v>
      </c>
      <c r="F8" s="63">
        <v>0.66</v>
      </c>
      <c r="G8" s="59">
        <v>0.64</v>
      </c>
      <c r="H8" s="58">
        <v>0.7</v>
      </c>
      <c r="I8" s="118">
        <v>0.7</v>
      </c>
      <c r="J8" s="118">
        <v>0.7</v>
      </c>
      <c r="K8" s="118">
        <v>0.73</v>
      </c>
      <c r="L8" s="118">
        <v>0.75</v>
      </c>
      <c r="M8" s="59">
        <v>0.72</v>
      </c>
      <c r="N8" s="59">
        <v>0.74</v>
      </c>
      <c r="O8" s="59">
        <v>0.76</v>
      </c>
      <c r="P8" s="59">
        <v>0.8</v>
      </c>
      <c r="Q8" s="59">
        <v>0.82</v>
      </c>
      <c r="R8" s="59">
        <v>0.82</v>
      </c>
      <c r="S8" s="59">
        <v>0.84</v>
      </c>
      <c r="T8" s="59">
        <v>0.84</v>
      </c>
      <c r="U8" s="59">
        <v>0.86</v>
      </c>
      <c r="V8" s="59">
        <v>0.86</v>
      </c>
      <c r="W8" s="59">
        <v>0.86</v>
      </c>
    </row>
    <row r="9" spans="1:23" s="18" customFormat="1" x14ac:dyDescent="0.25">
      <c r="A9" s="22" t="str">
        <f>'Capacity By Location'!D10</f>
        <v>Nauticol Energy</v>
      </c>
      <c r="B9" s="65">
        <f>'Capacity By Location'!E10</f>
        <v>0</v>
      </c>
      <c r="C9" s="65">
        <f>'Capacity By Location'!F10</f>
        <v>0</v>
      </c>
      <c r="D9" s="65">
        <f>'Capacity By Location'!G10</f>
        <v>0</v>
      </c>
      <c r="E9" s="65">
        <f>'Capacity By Location'!H10</f>
        <v>0</v>
      </c>
      <c r="F9" s="65">
        <f>'Capacity By Location'!I10</f>
        <v>0</v>
      </c>
      <c r="G9" s="65">
        <f>'Capacity By Location'!J10</f>
        <v>0</v>
      </c>
      <c r="H9" s="65">
        <f>'Capacity By Location'!K10</f>
        <v>0</v>
      </c>
      <c r="I9" s="118">
        <v>0</v>
      </c>
      <c r="J9" s="118">
        <v>0</v>
      </c>
      <c r="K9" s="118">
        <v>0</v>
      </c>
      <c r="L9" s="118">
        <v>0</v>
      </c>
      <c r="M9" s="65">
        <f>'Capacity By Location'!L10</f>
        <v>0</v>
      </c>
      <c r="N9" s="59">
        <v>0.6</v>
      </c>
      <c r="O9" s="59">
        <v>0.72</v>
      </c>
      <c r="P9" s="59">
        <v>0.74</v>
      </c>
      <c r="Q9" s="59">
        <v>0.76</v>
      </c>
      <c r="R9" s="59">
        <v>0.8</v>
      </c>
      <c r="S9" s="59">
        <v>0.82</v>
      </c>
      <c r="T9" s="59">
        <v>0.84</v>
      </c>
      <c r="U9" s="59">
        <v>0.86</v>
      </c>
      <c r="V9" s="59">
        <v>0.86</v>
      </c>
      <c r="W9" s="59">
        <v>0.86</v>
      </c>
    </row>
    <row r="10" spans="1:23" s="18" customFormat="1" x14ac:dyDescent="0.25">
      <c r="A10" s="22" t="str">
        <f>'Capacity By Location'!D11</f>
        <v>Pemex</v>
      </c>
      <c r="B10" s="59">
        <v>0.7</v>
      </c>
      <c r="C10" s="59">
        <v>0.72</v>
      </c>
      <c r="D10" s="59">
        <v>0.74</v>
      </c>
      <c r="E10" s="59">
        <v>0.76</v>
      </c>
      <c r="F10" s="59">
        <v>0.78</v>
      </c>
      <c r="G10" s="62">
        <v>0.74</v>
      </c>
      <c r="H10" s="59">
        <v>0.76</v>
      </c>
      <c r="I10" s="118">
        <v>0.77</v>
      </c>
      <c r="J10" s="118">
        <v>0.79</v>
      </c>
      <c r="K10" s="118">
        <v>0.84</v>
      </c>
      <c r="L10" s="118">
        <v>0.81</v>
      </c>
      <c r="M10" s="59">
        <v>0.8</v>
      </c>
      <c r="N10" s="59">
        <v>0.82</v>
      </c>
      <c r="O10" s="59">
        <v>0.82</v>
      </c>
      <c r="P10" s="59">
        <v>0.84</v>
      </c>
      <c r="Q10" s="59">
        <v>0.85</v>
      </c>
      <c r="R10" s="59">
        <v>0.86</v>
      </c>
      <c r="S10" s="59">
        <v>0.86</v>
      </c>
      <c r="T10" s="59">
        <v>0.86</v>
      </c>
      <c r="U10" s="59">
        <v>0.88</v>
      </c>
      <c r="V10" s="59">
        <v>0.88</v>
      </c>
      <c r="W10" s="59">
        <v>0.88</v>
      </c>
    </row>
    <row r="11" spans="1:23" s="18" customFormat="1" x14ac:dyDescent="0.25">
      <c r="A11" s="57" t="str">
        <f>'Capacity By Location'!D12</f>
        <v>Natgasoline LLC</v>
      </c>
      <c r="B11" s="58">
        <f>'Capacity By Location'!E12</f>
        <v>0</v>
      </c>
      <c r="C11" s="58">
        <f>'Capacity By Location'!F12</f>
        <v>0</v>
      </c>
      <c r="D11" s="58">
        <f>'Capacity By Location'!G12</f>
        <v>0</v>
      </c>
      <c r="E11" s="59">
        <v>0.52</v>
      </c>
      <c r="F11" s="59">
        <v>0.72</v>
      </c>
      <c r="G11" s="59">
        <v>0.7</v>
      </c>
      <c r="H11" s="59">
        <v>0.74</v>
      </c>
      <c r="I11" s="118">
        <v>0.73</v>
      </c>
      <c r="J11" s="118">
        <v>0.75</v>
      </c>
      <c r="K11" s="118">
        <v>0.76</v>
      </c>
      <c r="L11" s="118">
        <v>0.8</v>
      </c>
      <c r="M11" s="58">
        <v>0.76</v>
      </c>
      <c r="N11" s="58">
        <v>0.78</v>
      </c>
      <c r="O11" s="58">
        <v>0.8</v>
      </c>
      <c r="P11" s="58">
        <v>0.82</v>
      </c>
      <c r="Q11" s="58">
        <v>0.84</v>
      </c>
      <c r="R11" s="58">
        <v>0.85</v>
      </c>
      <c r="S11" s="58">
        <v>0.86</v>
      </c>
      <c r="T11" s="58">
        <v>0.86</v>
      </c>
      <c r="U11" s="58">
        <v>0.88</v>
      </c>
      <c r="V11" s="58">
        <v>0.88</v>
      </c>
      <c r="W11" s="58">
        <v>0.88</v>
      </c>
    </row>
    <row r="12" spans="1:23" s="18" customFormat="1" x14ac:dyDescent="0.25">
      <c r="A12" s="22" t="str">
        <f>'Capacity By Location'!D13</f>
        <v xml:space="preserve">Pampa Fuels LLC  </v>
      </c>
      <c r="B12" s="59">
        <v>0.71999999999999986</v>
      </c>
      <c r="C12" s="59">
        <v>0.73999999999999988</v>
      </c>
      <c r="D12" s="59">
        <v>0.7599999999999999</v>
      </c>
      <c r="E12" s="59">
        <v>0.77999999999999992</v>
      </c>
      <c r="F12" s="59">
        <v>0.79999999999999993</v>
      </c>
      <c r="G12" s="62">
        <v>0.7599999999999999</v>
      </c>
      <c r="H12" s="59">
        <v>0.77999999999999992</v>
      </c>
      <c r="I12" s="118">
        <v>0.75</v>
      </c>
      <c r="J12" s="118">
        <v>0.8</v>
      </c>
      <c r="K12" s="118">
        <v>0.8</v>
      </c>
      <c r="L12" s="118">
        <v>0.77</v>
      </c>
      <c r="M12" s="59">
        <v>0.77999999999999992</v>
      </c>
      <c r="N12" s="59">
        <v>0.79999999999999993</v>
      </c>
      <c r="O12" s="59">
        <v>0.81999999999999984</v>
      </c>
      <c r="P12" s="59">
        <v>0.82999999999999985</v>
      </c>
      <c r="Q12" s="59">
        <v>0.83999999999999986</v>
      </c>
      <c r="R12" s="59">
        <v>0.83999999999999986</v>
      </c>
      <c r="S12" s="59">
        <v>0.84999999999999987</v>
      </c>
      <c r="T12" s="59">
        <v>0.84999999999999987</v>
      </c>
      <c r="U12" s="59">
        <v>0.84999999999999987</v>
      </c>
      <c r="V12" s="59">
        <v>0.84999999999999987</v>
      </c>
      <c r="W12" s="59">
        <v>0.84999999999999987</v>
      </c>
    </row>
    <row r="13" spans="1:23" s="18" customFormat="1" x14ac:dyDescent="0.25">
      <c r="A13" s="22" t="str">
        <f>'Capacity By Location'!D14</f>
        <v>Praxair</v>
      </c>
      <c r="B13" s="59">
        <v>0.65999999999999992</v>
      </c>
      <c r="C13" s="59">
        <v>0.67999999999999994</v>
      </c>
      <c r="D13" s="59">
        <v>0.69999999999999984</v>
      </c>
      <c r="E13" s="59">
        <v>0.71999999999999986</v>
      </c>
      <c r="F13" s="59">
        <v>0.73999999999999988</v>
      </c>
      <c r="G13" s="62">
        <v>0.7</v>
      </c>
      <c r="H13" s="59">
        <v>0.73999999999999988</v>
      </c>
      <c r="I13" s="118">
        <v>0.73</v>
      </c>
      <c r="J13" s="118">
        <v>0.75</v>
      </c>
      <c r="K13" s="118">
        <v>0.76</v>
      </c>
      <c r="L13" s="118">
        <v>0.8</v>
      </c>
      <c r="M13" s="59">
        <v>0.7599999999999999</v>
      </c>
      <c r="N13" s="59">
        <v>0.77999999999999992</v>
      </c>
      <c r="O13" s="59">
        <v>0.77999999999999992</v>
      </c>
      <c r="P13" s="59">
        <v>0.79999999999999993</v>
      </c>
      <c r="Q13" s="59">
        <v>0.81999999999999984</v>
      </c>
      <c r="R13" s="59">
        <v>0.81999999999999984</v>
      </c>
      <c r="S13" s="59">
        <v>0.82999999999999985</v>
      </c>
      <c r="T13" s="59">
        <v>0.83999999999999986</v>
      </c>
      <c r="U13" s="59">
        <v>0.83999999999999986</v>
      </c>
      <c r="V13" s="59">
        <v>0.83999999999999986</v>
      </c>
      <c r="W13" s="59">
        <v>0.83999999999999986</v>
      </c>
    </row>
    <row r="14" spans="1:23" s="18" customFormat="1" x14ac:dyDescent="0.25">
      <c r="A14" s="22" t="str">
        <f>'Capacity By Location'!D15</f>
        <v>Koch Methanol One</v>
      </c>
      <c r="B14" s="59">
        <v>0.69999999999999984</v>
      </c>
      <c r="C14" s="59">
        <v>0.71999999999999986</v>
      </c>
      <c r="D14" s="59">
        <v>0.73999999999999988</v>
      </c>
      <c r="E14" s="59">
        <v>0.7599999999999999</v>
      </c>
      <c r="F14" s="59">
        <v>0.77999999999999992</v>
      </c>
      <c r="G14" s="62">
        <v>0.71999999999999986</v>
      </c>
      <c r="H14" s="59">
        <v>0.73999999999999988</v>
      </c>
      <c r="I14" s="118">
        <v>0.73</v>
      </c>
      <c r="J14" s="118">
        <v>0.75</v>
      </c>
      <c r="K14" s="118">
        <v>0.78</v>
      </c>
      <c r="L14" s="118">
        <v>0.78</v>
      </c>
      <c r="M14" s="59">
        <v>0.7599999999999999</v>
      </c>
      <c r="N14" s="59">
        <v>0.77999999999999992</v>
      </c>
      <c r="O14" s="59">
        <v>0.79999999999999993</v>
      </c>
      <c r="P14" s="59">
        <v>0.81999999999999984</v>
      </c>
      <c r="Q14" s="59">
        <v>0.82999999999999985</v>
      </c>
      <c r="R14" s="59">
        <v>0.82999999999999985</v>
      </c>
      <c r="S14" s="59">
        <v>0.82999999999999985</v>
      </c>
      <c r="T14" s="59">
        <v>0.83999999999999986</v>
      </c>
      <c r="U14" s="59">
        <v>0.83999999999999986</v>
      </c>
      <c r="V14" s="59">
        <v>0.83999999999999986</v>
      </c>
      <c r="W14" s="59">
        <v>0.83999999999999986</v>
      </c>
    </row>
    <row r="15" spans="1:23" s="18" customFormat="1" x14ac:dyDescent="0.25">
      <c r="A15" s="22" t="str">
        <f>'Capacity By Location'!D19</f>
        <v>Methanol Holdings (Trinidad) Limited (MHTL)</v>
      </c>
      <c r="B15" s="59">
        <v>0.71999999999999986</v>
      </c>
      <c r="C15" s="59">
        <v>0.73999999999999988</v>
      </c>
      <c r="D15" s="59">
        <v>0.7599999999999999</v>
      </c>
      <c r="E15" s="59">
        <v>0.77999999999999992</v>
      </c>
      <c r="F15" s="59">
        <v>0.79999999999999993</v>
      </c>
      <c r="G15" s="62">
        <v>0.72999999999999987</v>
      </c>
      <c r="H15" s="59">
        <v>0.73999999999999988</v>
      </c>
      <c r="I15" s="118">
        <v>0.75</v>
      </c>
      <c r="J15" s="118">
        <v>0.77</v>
      </c>
      <c r="K15" s="118">
        <v>0.79</v>
      </c>
      <c r="L15" s="118">
        <v>0.8</v>
      </c>
      <c r="M15" s="59">
        <v>0.77999999999999992</v>
      </c>
      <c r="N15" s="59">
        <v>0.79999999999999993</v>
      </c>
      <c r="O15" s="59">
        <v>0.79999999999999993</v>
      </c>
      <c r="P15" s="59">
        <v>0.81999999999999984</v>
      </c>
      <c r="Q15" s="59">
        <v>0.83999999999999986</v>
      </c>
      <c r="R15" s="59">
        <v>0.83999999999999986</v>
      </c>
      <c r="S15" s="59">
        <v>0.83999999999999986</v>
      </c>
      <c r="T15" s="59">
        <v>0.84999999999999987</v>
      </c>
      <c r="U15" s="59">
        <v>0.84999999999999987</v>
      </c>
      <c r="V15" s="59">
        <v>0.84999999999999987</v>
      </c>
      <c r="W15" s="59">
        <v>0.84999999999999987</v>
      </c>
    </row>
    <row r="16" spans="1:23" s="18" customFormat="1" x14ac:dyDescent="0.25">
      <c r="A16" s="22" t="str">
        <f>'Capacity By Location'!D24</f>
        <v>CGCL/Mitsubishi</v>
      </c>
      <c r="B16" s="59">
        <v>0.69999999999999984</v>
      </c>
      <c r="C16" s="59">
        <v>0.71999999999999986</v>
      </c>
      <c r="D16" s="59">
        <v>0.73999999999999988</v>
      </c>
      <c r="E16" s="59">
        <v>0.7599999999999999</v>
      </c>
      <c r="F16" s="59">
        <v>0.79999999999999993</v>
      </c>
      <c r="G16" s="62">
        <v>0.72</v>
      </c>
      <c r="H16" s="59">
        <v>0.73999999999999988</v>
      </c>
      <c r="I16" s="118">
        <v>0.74</v>
      </c>
      <c r="J16" s="118">
        <v>0.76</v>
      </c>
      <c r="K16" s="118">
        <v>0.77</v>
      </c>
      <c r="L16" s="118">
        <v>0.77</v>
      </c>
      <c r="M16" s="59">
        <v>0.7599999999999999</v>
      </c>
      <c r="N16" s="59">
        <v>0.79999999999999993</v>
      </c>
      <c r="O16" s="59">
        <v>0.79999999999999993</v>
      </c>
      <c r="P16" s="59">
        <v>0.81999999999999984</v>
      </c>
      <c r="Q16" s="59">
        <v>0.83999999999999986</v>
      </c>
      <c r="R16" s="59">
        <v>0.83999999999999986</v>
      </c>
      <c r="S16" s="59">
        <v>0.83999999999999986</v>
      </c>
      <c r="T16" s="59">
        <v>0.84999999999999987</v>
      </c>
      <c r="U16" s="59">
        <v>0.84999999999999987</v>
      </c>
      <c r="V16" s="59">
        <v>0.84999999999999987</v>
      </c>
      <c r="W16" s="59">
        <v>0.84999999999999987</v>
      </c>
    </row>
    <row r="17" spans="1:23" s="18" customFormat="1" x14ac:dyDescent="0.25">
      <c r="A17" s="22" t="str">
        <f>'Capacity By Location'!D25</f>
        <v>YPF</v>
      </c>
      <c r="B17" s="59">
        <v>0.71999999999999986</v>
      </c>
      <c r="C17" s="59">
        <v>0.72999999999999987</v>
      </c>
      <c r="D17" s="59">
        <v>0.73999999999999988</v>
      </c>
      <c r="E17" s="59">
        <v>0.7599999999999999</v>
      </c>
      <c r="F17" s="59">
        <v>0.79999999999999993</v>
      </c>
      <c r="G17" s="62">
        <v>0.67999999999999994</v>
      </c>
      <c r="H17" s="59">
        <v>0.69999999999999984</v>
      </c>
      <c r="I17" s="118">
        <v>0.69</v>
      </c>
      <c r="J17" s="118">
        <v>0.73</v>
      </c>
      <c r="K17" s="118">
        <v>0.75</v>
      </c>
      <c r="L17" s="118">
        <v>0.71</v>
      </c>
      <c r="M17" s="59">
        <v>0.71999999999999986</v>
      </c>
      <c r="N17" s="59">
        <v>0.72999999999999987</v>
      </c>
      <c r="O17" s="59">
        <v>0.73999999999999988</v>
      </c>
      <c r="P17" s="59">
        <v>0.7599999999999999</v>
      </c>
      <c r="Q17" s="59">
        <v>0.77999999999999992</v>
      </c>
      <c r="R17" s="59">
        <v>0.79999999999999993</v>
      </c>
      <c r="S17" s="59">
        <v>0.81999999999999984</v>
      </c>
      <c r="T17" s="59">
        <v>0.81999999999999984</v>
      </c>
      <c r="U17" s="59">
        <v>0.83999999999999986</v>
      </c>
      <c r="V17" s="59">
        <v>0.83999999999999986</v>
      </c>
      <c r="W17" s="59">
        <v>0.83999999999999986</v>
      </c>
    </row>
    <row r="18" spans="1:23" s="18" customFormat="1" x14ac:dyDescent="0.25">
      <c r="A18" s="22" t="str">
        <f>'Capacity By Location'!D26</f>
        <v>Metor</v>
      </c>
      <c r="B18" s="59">
        <v>0.67999999999999994</v>
      </c>
      <c r="C18" s="59">
        <v>0.69999999999999984</v>
      </c>
      <c r="D18" s="59">
        <v>0.71999999999999986</v>
      </c>
      <c r="E18" s="59">
        <v>0.72999999999999987</v>
      </c>
      <c r="F18" s="59">
        <v>0.73999999999999988</v>
      </c>
      <c r="G18" s="62">
        <v>0.69999999999999984</v>
      </c>
      <c r="H18" s="59">
        <v>0.71999999999999986</v>
      </c>
      <c r="I18" s="118">
        <v>0.73</v>
      </c>
      <c r="J18" s="118">
        <v>0.76</v>
      </c>
      <c r="K18" s="118">
        <v>0.77</v>
      </c>
      <c r="L18" s="118">
        <v>0.78</v>
      </c>
      <c r="M18" s="59">
        <v>0.7599999999999999</v>
      </c>
      <c r="N18" s="59">
        <v>0.7599999999999999</v>
      </c>
      <c r="O18" s="59">
        <v>0.77999999999999992</v>
      </c>
      <c r="P18" s="59">
        <v>0.79999999999999993</v>
      </c>
      <c r="Q18" s="59">
        <v>0.81999999999999984</v>
      </c>
      <c r="R18" s="59">
        <v>0.82999999999999985</v>
      </c>
      <c r="S18" s="59">
        <v>0.83999999999999986</v>
      </c>
      <c r="T18" s="59">
        <v>0.83999999999999986</v>
      </c>
      <c r="U18" s="59">
        <v>0.84999999999999987</v>
      </c>
      <c r="V18" s="59">
        <v>0.84999999999999987</v>
      </c>
      <c r="W18" s="59">
        <v>0.84999999999999987</v>
      </c>
    </row>
    <row r="19" spans="1:23" s="18" customFormat="1" x14ac:dyDescent="0.25">
      <c r="A19" s="22" t="str">
        <f>'Capacity By Location'!D28</f>
        <v>Supermetanol</v>
      </c>
      <c r="B19" s="59">
        <v>0.69999999999999984</v>
      </c>
      <c r="C19" s="59">
        <v>0.71999999999999986</v>
      </c>
      <c r="D19" s="59">
        <v>0.72999999999999987</v>
      </c>
      <c r="E19" s="59">
        <v>0.73999999999999988</v>
      </c>
      <c r="F19" s="59">
        <v>0.7599999999999999</v>
      </c>
      <c r="G19" s="62">
        <v>0.68</v>
      </c>
      <c r="H19" s="59">
        <v>0.7</v>
      </c>
      <c r="I19" s="118">
        <v>0.71</v>
      </c>
      <c r="J19" s="118">
        <v>0.74</v>
      </c>
      <c r="K19" s="118">
        <v>0.77</v>
      </c>
      <c r="L19" s="118">
        <v>0.74</v>
      </c>
      <c r="M19" s="59">
        <v>0.74</v>
      </c>
      <c r="N19" s="59">
        <v>0.76</v>
      </c>
      <c r="O19" s="59">
        <v>0.77999999999999992</v>
      </c>
      <c r="P19" s="59">
        <v>0.79999999999999993</v>
      </c>
      <c r="Q19" s="59">
        <v>0.79999999999999993</v>
      </c>
      <c r="R19" s="59">
        <v>0.81999999999999984</v>
      </c>
      <c r="S19" s="59">
        <v>0.81999999999999984</v>
      </c>
      <c r="T19" s="59">
        <v>0.83999999999999986</v>
      </c>
      <c r="U19" s="59">
        <v>0.83999999999999986</v>
      </c>
      <c r="V19" s="59">
        <v>0.83999999999999986</v>
      </c>
      <c r="W19" s="59">
        <v>0.83999999999999986</v>
      </c>
    </row>
    <row r="20" spans="1:23" s="18" customFormat="1" x14ac:dyDescent="0.25">
      <c r="A20" s="22" t="str">
        <f>'Capacity By Location'!D29</f>
        <v>Mitsubishi Gas Chemical</v>
      </c>
      <c r="B20" s="59">
        <v>0.67</v>
      </c>
      <c r="C20" s="59">
        <v>0.7</v>
      </c>
      <c r="D20" s="59">
        <v>0.72</v>
      </c>
      <c r="E20" s="59">
        <v>0.74</v>
      </c>
      <c r="F20" s="59">
        <v>0.78</v>
      </c>
      <c r="G20" s="62">
        <v>0.73999999999999988</v>
      </c>
      <c r="H20" s="59">
        <v>0.7599999999999999</v>
      </c>
      <c r="I20" s="118">
        <v>0.75</v>
      </c>
      <c r="J20" s="118">
        <v>0.78</v>
      </c>
      <c r="K20" s="118">
        <v>0.79</v>
      </c>
      <c r="L20" s="118">
        <v>0.81</v>
      </c>
      <c r="M20" s="59">
        <v>0.77999999999999992</v>
      </c>
      <c r="N20" s="59">
        <v>0.77999999999999992</v>
      </c>
      <c r="O20" s="59">
        <v>0.79999999999999993</v>
      </c>
      <c r="P20" s="59">
        <v>0.79999999999999993</v>
      </c>
      <c r="Q20" s="59">
        <v>0.81999999999999984</v>
      </c>
      <c r="R20" s="59">
        <v>0.81999999999999984</v>
      </c>
      <c r="S20" s="59">
        <v>0.83999999999999986</v>
      </c>
      <c r="T20" s="59">
        <v>0.83999999999999986</v>
      </c>
      <c r="U20" s="59">
        <v>0.86</v>
      </c>
      <c r="V20" s="59">
        <v>0.86</v>
      </c>
      <c r="W20" s="59">
        <v>0.86</v>
      </c>
    </row>
    <row r="21" spans="1:23" s="18" customFormat="1" x14ac:dyDescent="0.25">
      <c r="A21" s="22" t="str">
        <f>'Capacity By Location'!D30</f>
        <v>BASF</v>
      </c>
      <c r="B21" s="65">
        <f>'Capacity By Location'!E30</f>
        <v>0</v>
      </c>
      <c r="C21" s="65">
        <f>'Capacity By Location'!F30</f>
        <v>0</v>
      </c>
      <c r="D21" s="65">
        <f>'Capacity By Location'!G30</f>
        <v>0</v>
      </c>
      <c r="E21" s="59">
        <v>0.52</v>
      </c>
      <c r="F21" s="59">
        <v>0.72</v>
      </c>
      <c r="G21" s="58">
        <v>0.7</v>
      </c>
      <c r="H21" s="59">
        <v>0.74</v>
      </c>
      <c r="I21" s="118">
        <v>0.7</v>
      </c>
      <c r="J21" s="118">
        <v>0.75</v>
      </c>
      <c r="K21" s="118">
        <v>0.77</v>
      </c>
      <c r="L21" s="118">
        <v>0.82</v>
      </c>
      <c r="M21" s="59">
        <v>0.76</v>
      </c>
      <c r="N21" s="59">
        <v>0.78</v>
      </c>
      <c r="O21" s="59">
        <v>0.8</v>
      </c>
      <c r="P21" s="59">
        <v>0.82</v>
      </c>
      <c r="Q21" s="59">
        <v>0.84</v>
      </c>
      <c r="R21" s="59">
        <v>0.85</v>
      </c>
      <c r="S21" s="59">
        <v>0.86</v>
      </c>
      <c r="T21" s="59">
        <v>0.86</v>
      </c>
      <c r="U21" s="59">
        <v>0.86</v>
      </c>
      <c r="V21" s="59">
        <v>0.88</v>
      </c>
      <c r="W21" s="59">
        <v>0.88</v>
      </c>
    </row>
    <row r="22" spans="1:23" s="18" customFormat="1" x14ac:dyDescent="0.25">
      <c r="A22" s="22" t="str">
        <f>'Capacity By Location'!D31</f>
        <v>BP Refining &amp; Petrochemicals</v>
      </c>
      <c r="B22" s="59">
        <v>0.69999999999999984</v>
      </c>
      <c r="C22" s="59">
        <v>0.71999999999999986</v>
      </c>
      <c r="D22" s="59">
        <v>0.73999999999999988</v>
      </c>
      <c r="E22" s="59">
        <v>0.76</v>
      </c>
      <c r="F22" s="59">
        <v>0.79999999999999993</v>
      </c>
      <c r="G22" s="62">
        <v>0.74</v>
      </c>
      <c r="H22" s="59">
        <v>0.76</v>
      </c>
      <c r="I22" s="118">
        <v>0.75</v>
      </c>
      <c r="J22" s="118">
        <v>0.76</v>
      </c>
      <c r="K22" s="118">
        <v>0.82</v>
      </c>
      <c r="L22" s="118">
        <v>0.79</v>
      </c>
      <c r="M22" s="59">
        <v>0.77999999999999992</v>
      </c>
      <c r="N22" s="59">
        <v>0.79999999999999993</v>
      </c>
      <c r="O22" s="59">
        <v>0.81999999999999984</v>
      </c>
      <c r="P22" s="59">
        <v>0.84</v>
      </c>
      <c r="Q22" s="59">
        <v>0.83999999999999986</v>
      </c>
      <c r="R22" s="59">
        <v>0.86</v>
      </c>
      <c r="S22" s="59">
        <v>0.86</v>
      </c>
      <c r="T22" s="59">
        <v>0.86</v>
      </c>
      <c r="U22" s="59">
        <v>0.88</v>
      </c>
      <c r="V22" s="59">
        <v>0.88</v>
      </c>
      <c r="W22" s="59">
        <v>0.88</v>
      </c>
    </row>
    <row r="23" spans="1:23" s="18" customFormat="1" x14ac:dyDescent="0.25">
      <c r="A23" s="22" t="str">
        <f>'Capacity By Location'!D32</f>
        <v>MSK</v>
      </c>
      <c r="B23" s="59">
        <v>0.64</v>
      </c>
      <c r="C23" s="59">
        <v>0.68</v>
      </c>
      <c r="D23" s="59">
        <v>0.7</v>
      </c>
      <c r="E23" s="59">
        <v>0.72</v>
      </c>
      <c r="F23" s="59">
        <v>0.74</v>
      </c>
      <c r="G23" s="62">
        <v>0.69999999999999984</v>
      </c>
      <c r="H23" s="59">
        <v>0.71999999999999986</v>
      </c>
      <c r="I23" s="118">
        <v>0.71</v>
      </c>
      <c r="J23" s="118">
        <v>0.72</v>
      </c>
      <c r="K23" s="118">
        <v>0.75</v>
      </c>
      <c r="L23" s="118">
        <v>0.77</v>
      </c>
      <c r="M23" s="59">
        <v>0.73999999999999988</v>
      </c>
      <c r="N23" s="59">
        <v>0.7599999999999999</v>
      </c>
      <c r="O23" s="59">
        <v>0.77999999999999992</v>
      </c>
      <c r="P23" s="59">
        <v>0.77999999999999992</v>
      </c>
      <c r="Q23" s="59">
        <v>0.79999999999999993</v>
      </c>
      <c r="R23" s="59">
        <v>0.79999999999999993</v>
      </c>
      <c r="S23" s="59">
        <v>0.81999999999999984</v>
      </c>
      <c r="T23" s="59">
        <v>0.82999999999999985</v>
      </c>
      <c r="U23" s="59">
        <v>0.83999999999999986</v>
      </c>
      <c r="V23" s="59">
        <v>0.83999999999999986</v>
      </c>
      <c r="W23" s="59">
        <v>0.83999999999999986</v>
      </c>
    </row>
    <row r="24" spans="1:23" s="18" customFormat="1" x14ac:dyDescent="0.25">
      <c r="A24" s="22" t="str">
        <f>'Capacity By Location'!D33</f>
        <v>UCC Shchekino Azot</v>
      </c>
      <c r="B24" s="59">
        <v>0.6</v>
      </c>
      <c r="C24" s="59">
        <v>0.62</v>
      </c>
      <c r="D24" s="59">
        <v>0.64</v>
      </c>
      <c r="E24" s="59">
        <v>0.68</v>
      </c>
      <c r="F24" s="59">
        <v>0.7</v>
      </c>
      <c r="G24" s="62">
        <v>0.66</v>
      </c>
      <c r="H24" s="59">
        <v>0.7</v>
      </c>
      <c r="I24" s="118">
        <v>0.69</v>
      </c>
      <c r="J24" s="118">
        <v>0.72</v>
      </c>
      <c r="K24" s="118">
        <v>0.73</v>
      </c>
      <c r="L24" s="118">
        <v>0.74</v>
      </c>
      <c r="M24" s="59">
        <v>0.72</v>
      </c>
      <c r="N24" s="59">
        <v>0.73999999999999988</v>
      </c>
      <c r="O24" s="59">
        <v>0.7599999999999999</v>
      </c>
      <c r="P24" s="59">
        <v>0.77999999999999992</v>
      </c>
      <c r="Q24" s="59">
        <v>0.77999999999999992</v>
      </c>
      <c r="R24" s="59">
        <v>0.79999999999999993</v>
      </c>
      <c r="S24" s="59">
        <v>0.81999999999999984</v>
      </c>
      <c r="T24" s="59">
        <v>0.82999999999999985</v>
      </c>
      <c r="U24" s="59">
        <v>0.83999999999999986</v>
      </c>
      <c r="V24" s="59">
        <v>0.83999999999999986</v>
      </c>
      <c r="W24" s="59">
        <v>0.83999999999999986</v>
      </c>
    </row>
    <row r="25" spans="1:23" s="18" customFormat="1" x14ac:dyDescent="0.25">
      <c r="A25" s="22" t="str">
        <f>'Capacity By Location'!D34</f>
        <v>PJSC Metafrax</v>
      </c>
      <c r="B25" s="59">
        <v>0.67999999999999994</v>
      </c>
      <c r="C25" s="59">
        <v>0.69999999999999984</v>
      </c>
      <c r="D25" s="59">
        <v>0.71999999999999986</v>
      </c>
      <c r="E25" s="59">
        <v>0.73999999999999988</v>
      </c>
      <c r="F25" s="59">
        <v>0.76</v>
      </c>
      <c r="G25" s="62">
        <v>0.7</v>
      </c>
      <c r="H25" s="59">
        <v>0.72</v>
      </c>
      <c r="I25" s="118">
        <v>0.73</v>
      </c>
      <c r="J25" s="118">
        <v>0.77</v>
      </c>
      <c r="K25" s="118">
        <v>0.77</v>
      </c>
      <c r="L25" s="118">
        <v>0.77</v>
      </c>
      <c r="M25" s="59">
        <v>0.7599999999999999</v>
      </c>
      <c r="N25" s="59">
        <v>0.77999999999999992</v>
      </c>
      <c r="O25" s="59">
        <v>0.79999999999999993</v>
      </c>
      <c r="P25" s="59">
        <v>0.79999999999999993</v>
      </c>
      <c r="Q25" s="59">
        <v>0.81999999999999984</v>
      </c>
      <c r="R25" s="59">
        <v>0.82999999999999985</v>
      </c>
      <c r="S25" s="59">
        <v>0.83999999999999986</v>
      </c>
      <c r="T25" s="59">
        <v>0.83999999999999986</v>
      </c>
      <c r="U25" s="59">
        <v>0.83999999999999986</v>
      </c>
      <c r="V25" s="59">
        <v>0.83999999999999986</v>
      </c>
      <c r="W25" s="59">
        <v>0.83999999999999986</v>
      </c>
    </row>
    <row r="26" spans="1:23" s="18" customFormat="1" x14ac:dyDescent="0.25">
      <c r="A26" s="22" t="str">
        <f>'Capacity By Location'!D35</f>
        <v>Mider-Helm Methanol</v>
      </c>
      <c r="B26" s="59">
        <v>0.65999999999999992</v>
      </c>
      <c r="C26" s="59">
        <v>0.67999999999999994</v>
      </c>
      <c r="D26" s="59">
        <v>0.69999999999999984</v>
      </c>
      <c r="E26" s="59">
        <v>0.71999999999999986</v>
      </c>
      <c r="F26" s="59">
        <v>0.71999999999999986</v>
      </c>
      <c r="G26" s="62">
        <v>0.69999999999999984</v>
      </c>
      <c r="H26" s="59">
        <v>0.71999999999999986</v>
      </c>
      <c r="I26" s="118">
        <v>0.73</v>
      </c>
      <c r="J26" s="118">
        <v>0.75</v>
      </c>
      <c r="K26" s="118">
        <v>0.76</v>
      </c>
      <c r="L26" s="118">
        <v>0.8</v>
      </c>
      <c r="M26" s="59">
        <v>0.7599999999999999</v>
      </c>
      <c r="N26" s="59">
        <v>0.7599999999999999</v>
      </c>
      <c r="O26" s="59">
        <v>0.77999999999999992</v>
      </c>
      <c r="P26" s="59">
        <v>0.79999999999999993</v>
      </c>
      <c r="Q26" s="59">
        <v>0.79999999999999993</v>
      </c>
      <c r="R26" s="59">
        <v>0.81999999999999984</v>
      </c>
      <c r="S26" s="59">
        <v>0.82999999999999985</v>
      </c>
      <c r="T26" s="59">
        <v>0.83999999999999986</v>
      </c>
      <c r="U26" s="59">
        <v>0.83999999999999986</v>
      </c>
      <c r="V26" s="59">
        <v>0.83999999999999986</v>
      </c>
      <c r="W26" s="59">
        <v>0.83999999999999986</v>
      </c>
    </row>
    <row r="27" spans="1:23" s="18" customFormat="1" x14ac:dyDescent="0.25">
      <c r="A27" s="22" t="str">
        <f>'Capacity By Location'!D36</f>
        <v>Nevinnomyssk Azot</v>
      </c>
      <c r="B27" s="59">
        <v>0.64</v>
      </c>
      <c r="C27" s="59">
        <v>0.66</v>
      </c>
      <c r="D27" s="59">
        <v>0.68</v>
      </c>
      <c r="E27" s="59">
        <v>0.7</v>
      </c>
      <c r="F27" s="59">
        <v>0.72</v>
      </c>
      <c r="G27" s="62">
        <v>0.67999999999999994</v>
      </c>
      <c r="H27" s="59">
        <v>0.69999999999999984</v>
      </c>
      <c r="I27" s="118">
        <v>0.69</v>
      </c>
      <c r="J27" s="118">
        <v>0.72</v>
      </c>
      <c r="K27" s="118">
        <v>0.73</v>
      </c>
      <c r="L27" s="118">
        <v>0.74</v>
      </c>
      <c r="M27" s="59">
        <v>0.71999999999999986</v>
      </c>
      <c r="N27" s="59">
        <v>0.73999999999999988</v>
      </c>
      <c r="O27" s="59">
        <v>0.7599999999999999</v>
      </c>
      <c r="P27" s="59">
        <v>0.77999999999999992</v>
      </c>
      <c r="Q27" s="59">
        <v>0.79999999999999993</v>
      </c>
      <c r="R27" s="59">
        <v>0.79999999999999993</v>
      </c>
      <c r="S27" s="59">
        <v>0.81999999999999984</v>
      </c>
      <c r="T27" s="59">
        <v>0.81999999999999984</v>
      </c>
      <c r="U27" s="59">
        <v>0.81999999999999984</v>
      </c>
      <c r="V27" s="59">
        <v>0.83999999999999986</v>
      </c>
      <c r="W27" s="59">
        <v>0.83999999999999986</v>
      </c>
    </row>
    <row r="28" spans="1:23" s="18" customFormat="1" x14ac:dyDescent="0.25">
      <c r="A28" s="22" t="str">
        <f>'Capacity By Location'!D37</f>
        <v>Shell &amp; DEA Oil</v>
      </c>
      <c r="B28" s="59">
        <v>0.6399999999999999</v>
      </c>
      <c r="C28" s="59">
        <v>0.67999999999999994</v>
      </c>
      <c r="D28" s="59">
        <v>0.69999999999999984</v>
      </c>
      <c r="E28" s="59">
        <v>0.71999999999999986</v>
      </c>
      <c r="F28" s="59">
        <v>0.74</v>
      </c>
      <c r="G28" s="62">
        <v>0.69999999999999984</v>
      </c>
      <c r="H28" s="59">
        <v>0.71999999999999986</v>
      </c>
      <c r="I28" s="118">
        <v>0.72</v>
      </c>
      <c r="J28" s="118">
        <v>0.75</v>
      </c>
      <c r="K28" s="118">
        <v>0.73</v>
      </c>
      <c r="L28" s="118">
        <v>0.76</v>
      </c>
      <c r="M28" s="59">
        <v>0.73999999999999988</v>
      </c>
      <c r="N28" s="59">
        <v>0.7599999999999999</v>
      </c>
      <c r="O28" s="59">
        <v>0.7599999999999999</v>
      </c>
      <c r="P28" s="59">
        <v>0.77999999999999992</v>
      </c>
      <c r="Q28" s="59">
        <v>0.77999999999999992</v>
      </c>
      <c r="R28" s="59">
        <v>0.79999999999999993</v>
      </c>
      <c r="S28" s="59">
        <v>0.79999999999999993</v>
      </c>
      <c r="T28" s="59">
        <v>0.81999999999999984</v>
      </c>
      <c r="U28" s="59">
        <v>0.82999999999999985</v>
      </c>
      <c r="V28" s="59">
        <v>0.83999999999999986</v>
      </c>
      <c r="W28" s="59">
        <v>0.83999999999999986</v>
      </c>
    </row>
    <row r="29" spans="1:23" s="18" customFormat="1" x14ac:dyDescent="0.25">
      <c r="A29" s="22" t="str">
        <f>'Capacity By Location'!D38</f>
        <v>Togliatti Azot</v>
      </c>
      <c r="B29" s="59">
        <v>0.71999999999999986</v>
      </c>
      <c r="C29" s="59">
        <v>0.73999999999999988</v>
      </c>
      <c r="D29" s="59">
        <v>0.7599999999999999</v>
      </c>
      <c r="E29" s="59">
        <v>0.77999999999999992</v>
      </c>
      <c r="F29" s="59">
        <v>0.79999999999999993</v>
      </c>
      <c r="G29" s="62">
        <v>0.7599999999999999</v>
      </c>
      <c r="H29" s="59">
        <v>0.77999999999999992</v>
      </c>
      <c r="I29" s="118">
        <v>0.75</v>
      </c>
      <c r="J29" s="118">
        <v>0.77</v>
      </c>
      <c r="K29" s="118">
        <v>0.78</v>
      </c>
      <c r="L29" s="118">
        <v>0.82</v>
      </c>
      <c r="M29" s="59">
        <v>0.77999999999999992</v>
      </c>
      <c r="N29" s="59">
        <v>0.79999999999999993</v>
      </c>
      <c r="O29" s="59">
        <v>0.79999999999999993</v>
      </c>
      <c r="P29" s="59">
        <v>0.81999999999999984</v>
      </c>
      <c r="Q29" s="59">
        <v>0.83999999999999986</v>
      </c>
      <c r="R29" s="59">
        <v>0.83999999999999986</v>
      </c>
      <c r="S29" s="59">
        <v>0.83999999999999986</v>
      </c>
      <c r="T29" s="59">
        <v>0.84999999999999987</v>
      </c>
      <c r="U29" s="59">
        <v>0.84999999999999987</v>
      </c>
      <c r="V29" s="59">
        <v>0.84999999999999987</v>
      </c>
      <c r="W29" s="59">
        <v>0.84999999999999987</v>
      </c>
    </row>
    <row r="30" spans="1:23" s="18" customFormat="1" x14ac:dyDescent="0.25">
      <c r="A30" s="22" t="str">
        <f>'Capacity By Location'!D39</f>
        <v>Tomskneftekhim</v>
      </c>
      <c r="B30" s="59">
        <v>0.69999999999999984</v>
      </c>
      <c r="C30" s="59">
        <v>0.71999999999999986</v>
      </c>
      <c r="D30" s="59">
        <v>0.72999999999999987</v>
      </c>
      <c r="E30" s="59">
        <v>0.73999999999999988</v>
      </c>
      <c r="F30" s="59">
        <v>0.7599999999999999</v>
      </c>
      <c r="G30" s="62">
        <v>0.69999999999999984</v>
      </c>
      <c r="H30" s="59">
        <v>0.71999999999999986</v>
      </c>
      <c r="I30" s="118">
        <v>0.71</v>
      </c>
      <c r="J30" s="118">
        <v>0.74</v>
      </c>
      <c r="K30" s="118">
        <v>0.74</v>
      </c>
      <c r="L30" s="118">
        <v>0.77</v>
      </c>
      <c r="M30" s="59">
        <v>0.73999999999999988</v>
      </c>
      <c r="N30" s="59">
        <v>0.7599999999999999</v>
      </c>
      <c r="O30" s="59">
        <v>0.77999999999999992</v>
      </c>
      <c r="P30" s="59">
        <v>0.79999999999999993</v>
      </c>
      <c r="Q30" s="59">
        <v>0.79999999999999993</v>
      </c>
      <c r="R30" s="59">
        <v>0.81999999999999984</v>
      </c>
      <c r="S30" s="59">
        <v>0.81999999999999984</v>
      </c>
      <c r="T30" s="59">
        <v>0.83999999999999986</v>
      </c>
      <c r="U30" s="59">
        <v>0.83999999999999986</v>
      </c>
      <c r="V30" s="59">
        <v>0.83999999999999986</v>
      </c>
      <c r="W30" s="59">
        <v>0.83999999999999986</v>
      </c>
    </row>
    <row r="31" spans="1:23" s="18" customFormat="1" x14ac:dyDescent="0.25">
      <c r="A31" s="22" t="str">
        <f>'Capacity By Location'!D40</f>
        <v>Repsol YPF</v>
      </c>
      <c r="B31" s="59">
        <v>0.71999999999999986</v>
      </c>
      <c r="C31" s="59">
        <v>0.73999999999999988</v>
      </c>
      <c r="D31" s="59">
        <v>0.72</v>
      </c>
      <c r="E31" s="59">
        <v>0.74</v>
      </c>
      <c r="F31" s="59">
        <v>0.76</v>
      </c>
      <c r="G31" s="62">
        <v>0.73999999999999988</v>
      </c>
      <c r="H31" s="59">
        <v>0.7599999999999999</v>
      </c>
      <c r="I31" s="118">
        <v>0.75</v>
      </c>
      <c r="J31" s="118">
        <v>0.77</v>
      </c>
      <c r="K31" s="118">
        <v>0.78</v>
      </c>
      <c r="L31" s="118">
        <v>0.81</v>
      </c>
      <c r="M31" s="59">
        <v>0.77999999999999992</v>
      </c>
      <c r="N31" s="59">
        <v>0.77999999999999992</v>
      </c>
      <c r="O31" s="59">
        <v>0.79999999999999993</v>
      </c>
      <c r="P31" s="59">
        <v>0.79999999999999993</v>
      </c>
      <c r="Q31" s="59">
        <v>0.81999999999999984</v>
      </c>
      <c r="R31" s="59">
        <v>0.81999999999999984</v>
      </c>
      <c r="S31" s="59">
        <v>0.82999999999999985</v>
      </c>
      <c r="T31" s="59">
        <v>0.83999999999999986</v>
      </c>
      <c r="U31" s="59">
        <v>0.83999999999999986</v>
      </c>
      <c r="V31" s="59">
        <v>0.83999999999999986</v>
      </c>
      <c r="W31" s="59">
        <v>0.83999999999999986</v>
      </c>
    </row>
    <row r="32" spans="1:23" s="18" customFormat="1" x14ac:dyDescent="0.25">
      <c r="A32" s="22" t="str">
        <f>'Capacity By Location'!D42</f>
        <v>Equinor</v>
      </c>
      <c r="B32" s="59">
        <v>0.66</v>
      </c>
      <c r="C32" s="59">
        <v>0.68</v>
      </c>
      <c r="D32" s="59">
        <v>0.7</v>
      </c>
      <c r="E32" s="59">
        <v>0.72</v>
      </c>
      <c r="F32" s="59">
        <v>0.74</v>
      </c>
      <c r="G32" s="62">
        <v>0.69999999999999984</v>
      </c>
      <c r="H32" s="59">
        <v>0.71999999999999986</v>
      </c>
      <c r="I32" s="118">
        <v>0.71</v>
      </c>
      <c r="J32" s="118">
        <v>0.73</v>
      </c>
      <c r="K32" s="118">
        <v>0.74</v>
      </c>
      <c r="L32" s="118">
        <v>0.78</v>
      </c>
      <c r="M32" s="59">
        <v>0.73999999999999988</v>
      </c>
      <c r="N32" s="59">
        <v>0.7599999999999999</v>
      </c>
      <c r="O32" s="59">
        <v>0.77999999999999992</v>
      </c>
      <c r="P32" s="59">
        <v>0.77999999999999992</v>
      </c>
      <c r="Q32" s="59">
        <v>0.77999999999999992</v>
      </c>
      <c r="R32" s="59">
        <v>0.79999999999999993</v>
      </c>
      <c r="S32" s="59">
        <v>0.79999999999999993</v>
      </c>
      <c r="T32" s="59">
        <v>0.81999999999999984</v>
      </c>
      <c r="U32" s="59">
        <v>0.81999999999999984</v>
      </c>
      <c r="V32" s="59">
        <v>0.83999999999999986</v>
      </c>
      <c r="W32" s="59">
        <v>0.83999999999999986</v>
      </c>
    </row>
    <row r="33" spans="1:23" s="18" customFormat="1" x14ac:dyDescent="0.25">
      <c r="A33" s="22" t="str">
        <f>'Capacity By Location'!D43</f>
        <v>SOCAR</v>
      </c>
      <c r="B33" s="59">
        <v>0.68</v>
      </c>
      <c r="C33" s="59">
        <v>0.7</v>
      </c>
      <c r="D33" s="59">
        <v>0.72</v>
      </c>
      <c r="E33" s="59">
        <v>0.74</v>
      </c>
      <c r="F33" s="59">
        <v>0.76</v>
      </c>
      <c r="G33" s="62">
        <v>0.72</v>
      </c>
      <c r="H33" s="59">
        <v>0.7599999999999999</v>
      </c>
      <c r="I33" s="118">
        <v>0.72</v>
      </c>
      <c r="J33" s="118">
        <v>0.77</v>
      </c>
      <c r="K33" s="118">
        <v>0.78</v>
      </c>
      <c r="L33" s="118">
        <v>0.85</v>
      </c>
      <c r="M33" s="59">
        <v>0.77999999999999992</v>
      </c>
      <c r="N33" s="59">
        <v>0.79999999999999993</v>
      </c>
      <c r="O33" s="59">
        <v>0.79999999999999993</v>
      </c>
      <c r="P33" s="59">
        <v>0.79999999999999993</v>
      </c>
      <c r="Q33" s="59">
        <v>0.81999999999999984</v>
      </c>
      <c r="R33" s="59">
        <v>0.81999999999999984</v>
      </c>
      <c r="S33" s="59">
        <v>0.82999999999999985</v>
      </c>
      <c r="T33" s="59">
        <v>0.83999999999999986</v>
      </c>
      <c r="U33" s="59">
        <v>0.83999999999999986</v>
      </c>
      <c r="V33" s="59">
        <v>0.83999999999999986</v>
      </c>
      <c r="W33" s="59">
        <v>0.83999999999999986</v>
      </c>
    </row>
    <row r="34" spans="1:23" s="18" customFormat="1" x14ac:dyDescent="0.25">
      <c r="A34" s="22" t="str">
        <f>'Capacity By Location'!D44</f>
        <v>Saudi Arabia Basic Industries Corporation (SABIC)</v>
      </c>
      <c r="B34" s="59">
        <v>0.69999999999999984</v>
      </c>
      <c r="C34" s="59">
        <v>0.71999999999999986</v>
      </c>
      <c r="D34" s="59">
        <v>0.73999999999999988</v>
      </c>
      <c r="E34" s="59">
        <v>0.7599999999999999</v>
      </c>
      <c r="F34" s="59">
        <v>0.77999999999999992</v>
      </c>
      <c r="G34" s="62">
        <v>0.71999999999999986</v>
      </c>
      <c r="H34" s="59">
        <v>0.73999999999999988</v>
      </c>
      <c r="I34" s="118">
        <v>0.73</v>
      </c>
      <c r="J34" s="118">
        <v>0.76</v>
      </c>
      <c r="K34" s="118">
        <v>0.76</v>
      </c>
      <c r="L34" s="118">
        <v>0.79</v>
      </c>
      <c r="M34" s="59">
        <v>0.7599999999999999</v>
      </c>
      <c r="N34" s="59">
        <v>0.77999999999999992</v>
      </c>
      <c r="O34" s="59">
        <v>0.79999999999999993</v>
      </c>
      <c r="P34" s="59">
        <v>0.81999999999999984</v>
      </c>
      <c r="Q34" s="59">
        <v>0.82999999999999985</v>
      </c>
      <c r="R34" s="59">
        <v>0.82999999999999985</v>
      </c>
      <c r="S34" s="59">
        <v>0.82999999999999985</v>
      </c>
      <c r="T34" s="59">
        <v>0.83999999999999986</v>
      </c>
      <c r="U34" s="59">
        <v>0.83999999999999986</v>
      </c>
      <c r="V34" s="59">
        <v>0.83999999999999986</v>
      </c>
      <c r="W34" s="59">
        <v>0.83999999999999986</v>
      </c>
    </row>
    <row r="35" spans="1:23" s="18" customFormat="1" x14ac:dyDescent="0.25">
      <c r="A35" s="22" t="str">
        <f>'Capacity By Location'!D45</f>
        <v>Sipchem</v>
      </c>
      <c r="B35" s="59">
        <v>0.6</v>
      </c>
      <c r="C35" s="59">
        <v>0.64</v>
      </c>
      <c r="D35" s="59">
        <v>0.66</v>
      </c>
      <c r="E35" s="59">
        <v>0.68</v>
      </c>
      <c r="F35" s="59">
        <v>0.7</v>
      </c>
      <c r="G35" s="62">
        <v>0.66</v>
      </c>
      <c r="H35" s="59">
        <v>0.7</v>
      </c>
      <c r="I35" s="118">
        <v>0.71</v>
      </c>
      <c r="J35" s="118">
        <v>0.73</v>
      </c>
      <c r="K35" s="118">
        <v>0.74</v>
      </c>
      <c r="L35" s="118">
        <v>0.77</v>
      </c>
      <c r="M35" s="59">
        <v>0.74</v>
      </c>
      <c r="N35" s="59">
        <v>0.76</v>
      </c>
      <c r="O35" s="59">
        <v>0.8</v>
      </c>
      <c r="P35" s="59">
        <v>0.81999999999999984</v>
      </c>
      <c r="Q35" s="59">
        <v>0.83999999999999986</v>
      </c>
      <c r="R35" s="59">
        <v>0.83999999999999986</v>
      </c>
      <c r="S35" s="59">
        <v>0.83999999999999986</v>
      </c>
      <c r="T35" s="59">
        <v>0.84999999999999987</v>
      </c>
      <c r="U35" s="59">
        <v>0.84999999999999987</v>
      </c>
      <c r="V35" s="59">
        <v>0.84999999999999987</v>
      </c>
      <c r="W35" s="59">
        <v>0.84999999999999987</v>
      </c>
    </row>
    <row r="36" spans="1:23" s="18" customFormat="1" x14ac:dyDescent="0.25">
      <c r="A36" s="22" t="str">
        <f>'Capacity By Location'!D47</f>
        <v>Gulf Petrochemical Industries Company</v>
      </c>
      <c r="B36" s="59">
        <v>0.66</v>
      </c>
      <c r="C36" s="59">
        <v>0.68</v>
      </c>
      <c r="D36" s="59">
        <v>0.7</v>
      </c>
      <c r="E36" s="59">
        <v>0.72</v>
      </c>
      <c r="F36" s="59">
        <v>0.74</v>
      </c>
      <c r="G36" s="62">
        <v>0.69999999999999984</v>
      </c>
      <c r="H36" s="59">
        <v>0.71999999999999986</v>
      </c>
      <c r="I36" s="118">
        <v>0.71</v>
      </c>
      <c r="J36" s="118">
        <v>0.73</v>
      </c>
      <c r="K36" s="118">
        <v>0.74</v>
      </c>
      <c r="L36" s="118">
        <v>0.78</v>
      </c>
      <c r="M36" s="59">
        <v>0.73999999999999988</v>
      </c>
      <c r="N36" s="59">
        <v>0.7599999999999999</v>
      </c>
      <c r="O36" s="59">
        <v>0.77999999999999992</v>
      </c>
      <c r="P36" s="59">
        <v>0.77999999999999992</v>
      </c>
      <c r="Q36" s="59">
        <v>0.77999999999999992</v>
      </c>
      <c r="R36" s="59">
        <v>0.79999999999999993</v>
      </c>
      <c r="S36" s="59">
        <v>0.79999999999999993</v>
      </c>
      <c r="T36" s="59">
        <v>0.81999999999999984</v>
      </c>
      <c r="U36" s="59">
        <v>0.81999999999999984</v>
      </c>
      <c r="V36" s="59">
        <v>0.83999999999999986</v>
      </c>
      <c r="W36" s="59">
        <v>0.83999999999999986</v>
      </c>
    </row>
    <row r="37" spans="1:23" s="18" customFormat="1" x14ac:dyDescent="0.25">
      <c r="A37" s="22" t="str">
        <f>'Capacity By Location'!D48</f>
        <v>Atlantic Methanol</v>
      </c>
      <c r="B37" s="59">
        <v>0.62</v>
      </c>
      <c r="C37" s="59">
        <v>0.64</v>
      </c>
      <c r="D37" s="59">
        <v>0.66</v>
      </c>
      <c r="E37" s="59">
        <v>0.68</v>
      </c>
      <c r="F37" s="59">
        <v>0.69999999999999984</v>
      </c>
      <c r="G37" s="62">
        <v>0.65999999999999992</v>
      </c>
      <c r="H37" s="59">
        <v>0.67999999999999994</v>
      </c>
      <c r="I37" s="118">
        <v>0.67</v>
      </c>
      <c r="J37" s="118">
        <v>0.69</v>
      </c>
      <c r="K37" s="118">
        <v>0.7</v>
      </c>
      <c r="L37" s="118">
        <v>0.73</v>
      </c>
      <c r="M37" s="59">
        <v>0.69999999999999984</v>
      </c>
      <c r="N37" s="59">
        <v>0.71999999999999986</v>
      </c>
      <c r="O37" s="59">
        <v>0.7599999999999999</v>
      </c>
      <c r="P37" s="59">
        <v>0.77999999999999992</v>
      </c>
      <c r="Q37" s="59">
        <v>0.79999999999999993</v>
      </c>
      <c r="R37" s="59">
        <v>0.81999999999999984</v>
      </c>
      <c r="S37" s="59">
        <v>0.81999999999999984</v>
      </c>
      <c r="T37" s="59">
        <v>0.83999999999999986</v>
      </c>
      <c r="U37" s="59">
        <v>0.83999999999999986</v>
      </c>
      <c r="V37" s="59">
        <v>0.83999999999999986</v>
      </c>
      <c r="W37" s="59">
        <v>0.83999999999999986</v>
      </c>
    </row>
    <row r="38" spans="1:23" s="18" customFormat="1" x14ac:dyDescent="0.25">
      <c r="A38" s="22" t="str">
        <f>'Capacity By Location'!D50</f>
        <v>Kaveh Methanol Petrochemical</v>
      </c>
      <c r="B38" s="59">
        <v>0.6399999999999999</v>
      </c>
      <c r="C38" s="59">
        <v>0.65999999999999992</v>
      </c>
      <c r="D38" s="59">
        <v>0.69999999999999984</v>
      </c>
      <c r="E38" s="59">
        <v>0.69999999999999984</v>
      </c>
      <c r="F38" s="59">
        <v>0.71999999999999986</v>
      </c>
      <c r="G38" s="62">
        <v>0.68</v>
      </c>
      <c r="H38" s="59">
        <v>0.71999999999999986</v>
      </c>
      <c r="I38" s="118">
        <v>0.7</v>
      </c>
      <c r="J38" s="118">
        <v>0.75</v>
      </c>
      <c r="K38" s="118">
        <v>0.76</v>
      </c>
      <c r="L38" s="118">
        <v>0.83</v>
      </c>
      <c r="M38" s="59">
        <v>0.7599999999999999</v>
      </c>
      <c r="N38" s="59">
        <v>0.77999999999999992</v>
      </c>
      <c r="O38" s="59">
        <v>0.79999999999999993</v>
      </c>
      <c r="P38" s="59">
        <v>0.79999999999999993</v>
      </c>
      <c r="Q38" s="59">
        <v>0.79999999999999993</v>
      </c>
      <c r="R38" s="59">
        <v>0.81999999999999984</v>
      </c>
      <c r="S38" s="59">
        <v>0.82999999999999985</v>
      </c>
      <c r="T38" s="59">
        <v>0.82999999999999985</v>
      </c>
      <c r="U38" s="59">
        <v>0.83999999999999986</v>
      </c>
      <c r="V38" s="59">
        <v>0.83999999999999986</v>
      </c>
      <c r="W38" s="59">
        <v>0.83999999999999986</v>
      </c>
    </row>
    <row r="39" spans="1:23" s="18" customFormat="1" x14ac:dyDescent="0.25">
      <c r="A39" s="22" t="str">
        <f>'Capacity By Location'!D51</f>
        <v>NPC-Kharg Island</v>
      </c>
      <c r="B39" s="59">
        <v>0.71999999999999986</v>
      </c>
      <c r="C39" s="59">
        <v>0.73999999999999988</v>
      </c>
      <c r="D39" s="59">
        <v>0.7599999999999999</v>
      </c>
      <c r="E39" s="59">
        <v>0.77999999999999992</v>
      </c>
      <c r="F39" s="59">
        <v>0.79999999999999993</v>
      </c>
      <c r="G39" s="62">
        <v>0.74</v>
      </c>
      <c r="H39" s="59">
        <v>0.77999999999999992</v>
      </c>
      <c r="I39" s="118">
        <v>0.77</v>
      </c>
      <c r="J39" s="118">
        <v>0.79</v>
      </c>
      <c r="K39" s="118">
        <v>0.8</v>
      </c>
      <c r="L39" s="118">
        <v>0.85</v>
      </c>
      <c r="M39" s="59">
        <v>0.79999999999999993</v>
      </c>
      <c r="N39" s="59">
        <v>0.79999999999999993</v>
      </c>
      <c r="O39" s="59">
        <v>0.81999999999999984</v>
      </c>
      <c r="P39" s="59">
        <v>0.82999999999999985</v>
      </c>
      <c r="Q39" s="59">
        <v>0.83999999999999986</v>
      </c>
      <c r="R39" s="59">
        <v>0.83999999999999986</v>
      </c>
      <c r="S39" s="59">
        <v>0.84999999999999987</v>
      </c>
      <c r="T39" s="59">
        <v>0.84999999999999987</v>
      </c>
      <c r="U39" s="59">
        <v>0.84999999999999987</v>
      </c>
      <c r="V39" s="59">
        <v>0.84999999999999987</v>
      </c>
      <c r="W39" s="59">
        <v>0.84999999999999987</v>
      </c>
    </row>
    <row r="40" spans="1:23" s="18" customFormat="1" x14ac:dyDescent="0.25">
      <c r="A40" s="22" t="str">
        <f>'Capacity By Location'!D52</f>
        <v>NPC-Fanavaran</v>
      </c>
      <c r="B40" s="59">
        <v>0.65999999999999992</v>
      </c>
      <c r="C40" s="59">
        <v>0.69999999999999984</v>
      </c>
      <c r="D40" s="59">
        <v>0.71999999999999986</v>
      </c>
      <c r="E40" s="59">
        <v>0.73999999999999988</v>
      </c>
      <c r="F40" s="59">
        <v>0.7599999999999999</v>
      </c>
      <c r="G40" s="62">
        <v>0.7</v>
      </c>
      <c r="H40" s="59">
        <v>0.72</v>
      </c>
      <c r="I40" s="118">
        <v>0.73</v>
      </c>
      <c r="J40" s="118">
        <v>0.76</v>
      </c>
      <c r="K40" s="118">
        <v>0.76</v>
      </c>
      <c r="L40" s="118">
        <v>0.79</v>
      </c>
      <c r="M40" s="59">
        <v>0.7599999999999999</v>
      </c>
      <c r="N40" s="59">
        <v>0.77999999999999992</v>
      </c>
      <c r="O40" s="59">
        <v>0.79999999999999993</v>
      </c>
      <c r="P40" s="59">
        <v>0.79999999999999993</v>
      </c>
      <c r="Q40" s="59">
        <v>0.81999999999999984</v>
      </c>
      <c r="R40" s="59">
        <v>0.81999999999999984</v>
      </c>
      <c r="S40" s="59">
        <v>0.81999999999999984</v>
      </c>
      <c r="T40" s="59">
        <v>0.83999999999999986</v>
      </c>
      <c r="U40" s="59">
        <v>0.83999999999999986</v>
      </c>
      <c r="V40" s="59">
        <v>0.83999999999999986</v>
      </c>
      <c r="W40" s="59">
        <v>0.83999999999999986</v>
      </c>
    </row>
    <row r="41" spans="1:23" s="18" customFormat="1" x14ac:dyDescent="0.25">
      <c r="A41" s="22" t="str">
        <f>'Capacity By Location'!D53</f>
        <v xml:space="preserve">NPC-Zagros </v>
      </c>
      <c r="B41" s="59">
        <v>0.69999999999999984</v>
      </c>
      <c r="C41" s="59">
        <v>0.71999999999999986</v>
      </c>
      <c r="D41" s="59">
        <v>0.73999999999999988</v>
      </c>
      <c r="E41" s="59">
        <v>0.7599999999999999</v>
      </c>
      <c r="F41" s="59">
        <v>0.77999999999999992</v>
      </c>
      <c r="G41" s="62">
        <v>0.71999999999999986</v>
      </c>
      <c r="H41" s="59">
        <v>0.73999999999999988</v>
      </c>
      <c r="I41" s="118">
        <v>0.73</v>
      </c>
      <c r="J41" s="118">
        <v>0.75</v>
      </c>
      <c r="K41" s="118">
        <v>0.76</v>
      </c>
      <c r="L41" s="118">
        <v>0.79</v>
      </c>
      <c r="M41" s="59">
        <v>0.7599999999999999</v>
      </c>
      <c r="N41" s="59">
        <v>0.77999999999999992</v>
      </c>
      <c r="O41" s="59">
        <v>0.79999999999999993</v>
      </c>
      <c r="P41" s="59">
        <v>0.81999999999999984</v>
      </c>
      <c r="Q41" s="59">
        <v>0.82999999999999985</v>
      </c>
      <c r="R41" s="59">
        <v>0.82999999999999985</v>
      </c>
      <c r="S41" s="59">
        <v>0.82999999999999985</v>
      </c>
      <c r="T41" s="59">
        <v>0.83999999999999986</v>
      </c>
      <c r="U41" s="59">
        <v>0.83999999999999986</v>
      </c>
      <c r="V41" s="59">
        <v>0.83999999999999986</v>
      </c>
      <c r="W41" s="59">
        <v>0.83999999999999986</v>
      </c>
    </row>
    <row r="42" spans="1:23" s="18" customFormat="1" x14ac:dyDescent="0.25">
      <c r="A42" s="22" t="str">
        <f>'Capacity By Location'!D54</f>
        <v>Marjan Petrochemical Company</v>
      </c>
      <c r="B42" s="59">
        <v>0.67999999999999994</v>
      </c>
      <c r="C42" s="59">
        <v>0.69999999999999984</v>
      </c>
      <c r="D42" s="59">
        <v>0.71999999999999986</v>
      </c>
      <c r="E42" s="59">
        <v>0.73999999999999988</v>
      </c>
      <c r="F42" s="59">
        <v>0.7599999999999999</v>
      </c>
      <c r="G42" s="62">
        <v>0.72999999999999987</v>
      </c>
      <c r="H42" s="59">
        <v>0.73999999999999988</v>
      </c>
      <c r="I42" s="118">
        <v>0.75</v>
      </c>
      <c r="J42" s="118">
        <v>0.77</v>
      </c>
      <c r="K42" s="118">
        <v>0.78</v>
      </c>
      <c r="L42" s="118">
        <v>0.82</v>
      </c>
      <c r="M42" s="59">
        <v>0.77999999999999992</v>
      </c>
      <c r="N42" s="59">
        <v>0.77999999999999992</v>
      </c>
      <c r="O42" s="59">
        <v>0.79999999999999993</v>
      </c>
      <c r="P42" s="59">
        <v>0.81999999999999984</v>
      </c>
      <c r="Q42" s="59">
        <v>0.81999999999999984</v>
      </c>
      <c r="R42" s="59">
        <v>0.82999999999999985</v>
      </c>
      <c r="S42" s="59">
        <v>0.83999999999999986</v>
      </c>
      <c r="T42" s="59">
        <v>0.83999999999999986</v>
      </c>
      <c r="U42" s="59">
        <v>0.84999999999999987</v>
      </c>
      <c r="V42" s="59">
        <v>0.84999999999999987</v>
      </c>
      <c r="W42" s="59">
        <v>0.84999999999999987</v>
      </c>
    </row>
    <row r="43" spans="1:23" s="18" customFormat="1" x14ac:dyDescent="0.25">
      <c r="A43" s="22" t="str">
        <f>'Capacity By Location'!D55</f>
        <v>Sabalan Petrochemical Company</v>
      </c>
      <c r="B43" s="59">
        <v>0.69999999999999984</v>
      </c>
      <c r="C43" s="59">
        <v>0.71999999999999986</v>
      </c>
      <c r="D43" s="59">
        <v>0.73999999999999988</v>
      </c>
      <c r="E43" s="59">
        <v>0.7599999999999999</v>
      </c>
      <c r="F43" s="59">
        <v>0.77999999999999992</v>
      </c>
      <c r="G43" s="62">
        <v>0.71999999999999986</v>
      </c>
      <c r="H43" s="59">
        <v>0.73999999999999988</v>
      </c>
      <c r="I43" s="118">
        <v>0.73</v>
      </c>
      <c r="J43" s="118">
        <v>0.75</v>
      </c>
      <c r="K43" s="118">
        <v>0.76</v>
      </c>
      <c r="L43" s="118">
        <v>0.8</v>
      </c>
      <c r="M43" s="59">
        <v>0.7599999999999999</v>
      </c>
      <c r="N43" s="59">
        <v>0.77999999999999992</v>
      </c>
      <c r="O43" s="59">
        <v>0.79999999999999993</v>
      </c>
      <c r="P43" s="59">
        <v>0.81999999999999984</v>
      </c>
      <c r="Q43" s="59">
        <v>0.82999999999999985</v>
      </c>
      <c r="R43" s="59">
        <v>0.82999999999999985</v>
      </c>
      <c r="S43" s="59">
        <v>0.82999999999999985</v>
      </c>
      <c r="T43" s="59">
        <v>0.83999999999999986</v>
      </c>
      <c r="U43" s="59">
        <v>0.83999999999999986</v>
      </c>
      <c r="V43" s="59">
        <v>0.83999999999999986</v>
      </c>
      <c r="W43" s="59">
        <v>0.83999999999999986</v>
      </c>
    </row>
    <row r="44" spans="1:23" s="18" customFormat="1" x14ac:dyDescent="0.25">
      <c r="A44" s="22" t="str">
        <f>'Capacity By Location'!D56</f>
        <v>Bushehr Petrochemical Complex</v>
      </c>
      <c r="B44" s="59">
        <v>0.71999999999999986</v>
      </c>
      <c r="C44" s="59">
        <v>0.73999999999999988</v>
      </c>
      <c r="D44" s="59">
        <v>0.7599999999999999</v>
      </c>
      <c r="E44" s="59">
        <v>0.77999999999999992</v>
      </c>
      <c r="F44" s="59">
        <v>0.79999999999999993</v>
      </c>
      <c r="G44" s="62">
        <v>0.72</v>
      </c>
      <c r="H44" s="59">
        <v>0.7599999999999999</v>
      </c>
      <c r="I44" s="118">
        <v>0.75</v>
      </c>
      <c r="J44" s="118">
        <v>0.78</v>
      </c>
      <c r="K44" s="118">
        <v>0.78</v>
      </c>
      <c r="L44" s="118">
        <v>0.81</v>
      </c>
      <c r="M44" s="59">
        <v>0.77999999999999992</v>
      </c>
      <c r="N44" s="59">
        <v>0.79999999999999993</v>
      </c>
      <c r="O44" s="59">
        <v>0.79999999999999993</v>
      </c>
      <c r="P44" s="59">
        <v>0.81999999999999984</v>
      </c>
      <c r="Q44" s="59">
        <v>0.83999999999999986</v>
      </c>
      <c r="R44" s="59">
        <v>0.83999999999999986</v>
      </c>
      <c r="S44" s="59">
        <v>0.83999999999999986</v>
      </c>
      <c r="T44" s="59">
        <v>0.84999999999999987</v>
      </c>
      <c r="U44" s="59">
        <v>0.84999999999999987</v>
      </c>
      <c r="V44" s="59">
        <v>0.84999999999999987</v>
      </c>
      <c r="W44" s="59">
        <v>0.84999999999999987</v>
      </c>
    </row>
    <row r="45" spans="1:23" s="18" customFormat="1" x14ac:dyDescent="0.25">
      <c r="A45" s="22" t="str">
        <f>'Capacity By Location'!D57</f>
        <v>Shiraz Petrochemical Complex</v>
      </c>
      <c r="B45" s="59">
        <v>0.67999999999999994</v>
      </c>
      <c r="C45" s="59">
        <v>0.69999999999999984</v>
      </c>
      <c r="D45" s="59">
        <v>0.71999999999999986</v>
      </c>
      <c r="E45" s="59">
        <v>0.73999999999999988</v>
      </c>
      <c r="F45" s="59">
        <v>0.7599999999999999</v>
      </c>
      <c r="G45" s="62">
        <v>0.73999999999999988</v>
      </c>
      <c r="H45" s="59">
        <v>0.7599999999999999</v>
      </c>
      <c r="I45" s="118">
        <v>0.75</v>
      </c>
      <c r="J45" s="118">
        <v>0.77</v>
      </c>
      <c r="K45" s="118">
        <v>0.78</v>
      </c>
      <c r="L45" s="118">
        <v>0.81</v>
      </c>
      <c r="M45" s="59">
        <v>0.77999999999999992</v>
      </c>
      <c r="N45" s="59">
        <v>0.79999999999999993</v>
      </c>
      <c r="O45" s="59">
        <v>0.79999999999999993</v>
      </c>
      <c r="P45" s="59">
        <v>0.81999999999999984</v>
      </c>
      <c r="Q45" s="59">
        <v>0.81999999999999984</v>
      </c>
      <c r="R45" s="59">
        <v>0.82999999999999985</v>
      </c>
      <c r="S45" s="59">
        <v>0.83999999999999986</v>
      </c>
      <c r="T45" s="59">
        <v>0.83999999999999986</v>
      </c>
      <c r="U45" s="59">
        <v>0.84999999999999987</v>
      </c>
      <c r="V45" s="59">
        <v>0.84999999999999987</v>
      </c>
      <c r="W45" s="59">
        <v>0.84999999999999987</v>
      </c>
    </row>
    <row r="46" spans="1:23" s="18" customFormat="1" x14ac:dyDescent="0.25">
      <c r="A46" s="22" t="str">
        <f>'Capacity By Location'!D58</f>
        <v>Kimia Pars Middle East Company</v>
      </c>
      <c r="B46" s="59">
        <v>0.65999999999999992</v>
      </c>
      <c r="C46" s="59">
        <v>0.67999999999999994</v>
      </c>
      <c r="D46" s="59">
        <v>0.69999999999999984</v>
      </c>
      <c r="E46" s="59">
        <v>0.71999999999999986</v>
      </c>
      <c r="F46" s="59">
        <v>0.73999999999999988</v>
      </c>
      <c r="G46" s="62">
        <v>0.7</v>
      </c>
      <c r="H46" s="59">
        <v>0.73999999999999988</v>
      </c>
      <c r="I46" s="118">
        <v>0.73</v>
      </c>
      <c r="J46" s="118">
        <v>0.75</v>
      </c>
      <c r="K46" s="118">
        <v>0.76</v>
      </c>
      <c r="L46" s="118">
        <v>0.8</v>
      </c>
      <c r="M46" s="59">
        <v>0.7599999999999999</v>
      </c>
      <c r="N46" s="59">
        <v>0.77999999999999992</v>
      </c>
      <c r="O46" s="59">
        <v>0.79999999999999993</v>
      </c>
      <c r="P46" s="59">
        <v>0.79999999999999993</v>
      </c>
      <c r="Q46" s="59">
        <v>0.79999999999999993</v>
      </c>
      <c r="R46" s="59">
        <v>0.81999999999999984</v>
      </c>
      <c r="S46" s="59">
        <v>0.82999999999999985</v>
      </c>
      <c r="T46" s="59">
        <v>0.82999999999999985</v>
      </c>
      <c r="U46" s="59">
        <v>0.83999999999999986</v>
      </c>
      <c r="V46" s="59">
        <v>0.83999999999999986</v>
      </c>
      <c r="W46" s="59">
        <v>0.83999999999999986</v>
      </c>
    </row>
    <row r="47" spans="1:23" s="18" customFormat="1" x14ac:dyDescent="0.25">
      <c r="A47" s="22" t="str">
        <f>'Capacity By Location'!D59</f>
        <v>Apadana Petrochemical Persian Gulf</v>
      </c>
      <c r="B47" s="59">
        <v>0.69999999999999984</v>
      </c>
      <c r="C47" s="59">
        <v>0.71999999999999986</v>
      </c>
      <c r="D47" s="59">
        <v>0.73999999999999988</v>
      </c>
      <c r="E47" s="59">
        <v>0.7599999999999999</v>
      </c>
      <c r="F47" s="59">
        <v>0.77999999999999992</v>
      </c>
      <c r="G47" s="62">
        <v>0.73999999999999988</v>
      </c>
      <c r="H47" s="59">
        <v>0.7599999999999999</v>
      </c>
      <c r="I47" s="118">
        <v>0.75</v>
      </c>
      <c r="J47" s="118">
        <v>0.77</v>
      </c>
      <c r="K47" s="118">
        <v>0.78</v>
      </c>
      <c r="L47" s="118">
        <v>0.81</v>
      </c>
      <c r="M47" s="59">
        <v>0.77999999999999992</v>
      </c>
      <c r="N47" s="59">
        <v>0.77999999999999992</v>
      </c>
      <c r="O47" s="59">
        <v>0.79999999999999982</v>
      </c>
      <c r="P47" s="59">
        <v>0.80999999999999983</v>
      </c>
      <c r="Q47" s="59">
        <v>0.81999999999999984</v>
      </c>
      <c r="R47" s="59">
        <v>0.81999999999999984</v>
      </c>
      <c r="S47" s="59">
        <v>0.82999999999999985</v>
      </c>
      <c r="T47" s="59">
        <v>0.83999999999999986</v>
      </c>
      <c r="U47" s="59">
        <v>0.83999999999999986</v>
      </c>
      <c r="V47" s="59">
        <v>0.83999999999999986</v>
      </c>
      <c r="W47" s="59">
        <v>0.83999999999999986</v>
      </c>
    </row>
    <row r="48" spans="1:23" s="18" customFormat="1" x14ac:dyDescent="0.25">
      <c r="A48" s="22" t="str">
        <f>'Capacity By Location'!D60</f>
        <v>QAFAC</v>
      </c>
      <c r="B48" s="59">
        <v>0.66</v>
      </c>
      <c r="C48" s="59">
        <v>0.7</v>
      </c>
      <c r="D48" s="59">
        <v>0.72</v>
      </c>
      <c r="E48" s="59">
        <v>0.74</v>
      </c>
      <c r="F48" s="59">
        <v>0.76</v>
      </c>
      <c r="G48" s="62">
        <v>0.73999999999999988</v>
      </c>
      <c r="H48" s="59">
        <v>0.76</v>
      </c>
      <c r="I48" s="118">
        <v>0.74</v>
      </c>
      <c r="J48" s="118">
        <v>0.79</v>
      </c>
      <c r="K48" s="118">
        <v>0.8</v>
      </c>
      <c r="L48" s="118">
        <v>0.87</v>
      </c>
      <c r="M48" s="59">
        <v>0.79999999999999993</v>
      </c>
      <c r="N48" s="59">
        <v>0.79999999999999993</v>
      </c>
      <c r="O48" s="59">
        <v>0.81999999999999984</v>
      </c>
      <c r="P48" s="59">
        <v>0.82999999999999985</v>
      </c>
      <c r="Q48" s="59">
        <v>0.83999999999999986</v>
      </c>
      <c r="R48" s="59">
        <v>0.83999999999999986</v>
      </c>
      <c r="S48" s="59">
        <v>0.84999999999999987</v>
      </c>
      <c r="T48" s="59">
        <v>0.84999999999999987</v>
      </c>
      <c r="U48" s="59">
        <v>0.84999999999999987</v>
      </c>
      <c r="V48" s="59">
        <v>0.84999999999999987</v>
      </c>
      <c r="W48" s="59">
        <v>0.84999999999999987</v>
      </c>
    </row>
    <row r="49" spans="1:23" s="18" customFormat="1" x14ac:dyDescent="0.25">
      <c r="A49" s="22" t="str">
        <f>'Capacity By Location'!D61</f>
        <v>Chemanol</v>
      </c>
      <c r="B49" s="59">
        <v>0.64</v>
      </c>
      <c r="C49" s="59">
        <v>0.68</v>
      </c>
      <c r="D49" s="59">
        <v>0.7</v>
      </c>
      <c r="E49" s="59">
        <v>0.72</v>
      </c>
      <c r="F49" s="59">
        <v>0.76</v>
      </c>
      <c r="G49" s="62">
        <v>0.71999999999999986</v>
      </c>
      <c r="H49" s="59">
        <v>0.73999999999999988</v>
      </c>
      <c r="I49" s="118">
        <v>0.75</v>
      </c>
      <c r="J49" s="118">
        <v>0.77</v>
      </c>
      <c r="K49" s="118">
        <v>0.78</v>
      </c>
      <c r="L49" s="118">
        <v>0.83</v>
      </c>
      <c r="M49" s="59">
        <v>0.77999999999999992</v>
      </c>
      <c r="N49" s="59">
        <v>0.77999999999999992</v>
      </c>
      <c r="O49" s="59">
        <v>0.79999999999999993</v>
      </c>
      <c r="P49" s="59">
        <v>0.79999999999999993</v>
      </c>
      <c r="Q49" s="59">
        <v>0.81999999999999984</v>
      </c>
      <c r="R49" s="59">
        <v>0.82999999999999985</v>
      </c>
      <c r="S49" s="59">
        <v>0.83999999999999986</v>
      </c>
      <c r="T49" s="59">
        <v>0.83999999999999986</v>
      </c>
      <c r="U49" s="59">
        <v>0.83999999999999986</v>
      </c>
      <c r="V49" s="59">
        <v>0.83999999999999986</v>
      </c>
      <c r="W49" s="59">
        <v>0.83999999999999986</v>
      </c>
    </row>
    <row r="50" spans="1:23" s="18" customFormat="1" x14ac:dyDescent="0.25">
      <c r="A50" s="22" t="str">
        <f>'Capacity By Location'!D62</f>
        <v>Oman Methanol Company</v>
      </c>
      <c r="B50" s="59">
        <v>0.71999999999999986</v>
      </c>
      <c r="C50" s="59">
        <v>0.72999999999999987</v>
      </c>
      <c r="D50" s="59">
        <v>0.73999999999999988</v>
      </c>
      <c r="E50" s="59">
        <v>0.7599999999999999</v>
      </c>
      <c r="F50" s="59">
        <v>0.77999999999999992</v>
      </c>
      <c r="G50" s="62">
        <v>0.7</v>
      </c>
      <c r="H50" s="59">
        <v>0.74</v>
      </c>
      <c r="I50" s="118">
        <v>0.75</v>
      </c>
      <c r="J50" s="118">
        <v>0.78</v>
      </c>
      <c r="K50" s="118">
        <v>0.78</v>
      </c>
      <c r="L50" s="118">
        <v>0.81</v>
      </c>
      <c r="M50" s="59">
        <v>0.78</v>
      </c>
      <c r="N50" s="59">
        <v>0.8</v>
      </c>
      <c r="O50" s="59">
        <v>0.8</v>
      </c>
      <c r="P50" s="59">
        <v>0.82</v>
      </c>
      <c r="Q50" s="59">
        <v>0.82</v>
      </c>
      <c r="R50" s="59">
        <v>0.84</v>
      </c>
      <c r="S50" s="59">
        <v>0.84</v>
      </c>
      <c r="T50" s="59">
        <v>0.86</v>
      </c>
      <c r="U50" s="59">
        <v>0.86</v>
      </c>
      <c r="V50" s="59">
        <v>0.86</v>
      </c>
      <c r="W50" s="59">
        <v>0.86</v>
      </c>
    </row>
    <row r="51" spans="1:23" s="18" customFormat="1" x14ac:dyDescent="0.25">
      <c r="A51" s="22" t="str">
        <f>'Capacity By Location'!D63</f>
        <v xml:space="preserve">Salalah Methanol  </v>
      </c>
      <c r="B51" s="59">
        <v>0.62</v>
      </c>
      <c r="C51" s="59">
        <v>0.64</v>
      </c>
      <c r="D51" s="59">
        <v>0.66</v>
      </c>
      <c r="E51" s="59">
        <v>0.7</v>
      </c>
      <c r="F51" s="59">
        <v>0.72</v>
      </c>
      <c r="G51" s="62">
        <v>0.68</v>
      </c>
      <c r="H51" s="59">
        <v>0.69999999999999984</v>
      </c>
      <c r="I51" s="118">
        <v>0.69</v>
      </c>
      <c r="J51" s="118">
        <v>0.71</v>
      </c>
      <c r="K51" s="118">
        <v>0.72</v>
      </c>
      <c r="L51" s="118">
        <v>0.76</v>
      </c>
      <c r="M51" s="59">
        <v>0.71999999999999986</v>
      </c>
      <c r="N51" s="59">
        <v>0.73999999999999988</v>
      </c>
      <c r="O51" s="59">
        <v>0.7599999999999999</v>
      </c>
      <c r="P51" s="59">
        <v>0.77999999999999992</v>
      </c>
      <c r="Q51" s="59">
        <v>0.79999999999999993</v>
      </c>
      <c r="R51" s="59">
        <v>0.79999999999999993</v>
      </c>
      <c r="S51" s="59">
        <v>0.81999999999999984</v>
      </c>
      <c r="T51" s="59">
        <v>0.81999999999999984</v>
      </c>
      <c r="U51" s="59">
        <v>0.81999999999999984</v>
      </c>
      <c r="V51" s="59">
        <v>0.83999999999999986</v>
      </c>
      <c r="W51" s="59">
        <v>0.83999999999999986</v>
      </c>
    </row>
    <row r="52" spans="1:23" s="18" customFormat="1" x14ac:dyDescent="0.25">
      <c r="A52" s="22" t="str">
        <f>'Capacity By Location'!D64</f>
        <v>Khark Petrochemical (Shakhark)</v>
      </c>
      <c r="B52" s="59">
        <v>0.6399999999999999</v>
      </c>
      <c r="C52" s="59">
        <v>0.67999999999999994</v>
      </c>
      <c r="D52" s="59">
        <v>0.69999999999999984</v>
      </c>
      <c r="E52" s="59">
        <v>0.71999999999999986</v>
      </c>
      <c r="F52" s="59">
        <v>0.72999999999999987</v>
      </c>
      <c r="G52" s="62">
        <v>0.66</v>
      </c>
      <c r="H52" s="59">
        <v>0.71999999999999986</v>
      </c>
      <c r="I52" s="118">
        <v>0.71</v>
      </c>
      <c r="J52" s="118">
        <v>0.73</v>
      </c>
      <c r="K52" s="118">
        <v>0.74</v>
      </c>
      <c r="L52" s="118">
        <v>0.77</v>
      </c>
      <c r="M52" s="59">
        <v>0.73999999999999988</v>
      </c>
      <c r="N52" s="59">
        <v>0.7599999999999999</v>
      </c>
      <c r="O52" s="59">
        <v>0.7599999999999999</v>
      </c>
      <c r="P52" s="59">
        <v>0.77999999999999992</v>
      </c>
      <c r="Q52" s="59">
        <v>0.77999999999999992</v>
      </c>
      <c r="R52" s="59">
        <v>0.79999999999999993</v>
      </c>
      <c r="S52" s="59">
        <v>0.79999999999999993</v>
      </c>
      <c r="T52" s="59">
        <v>0.81999999999999984</v>
      </c>
      <c r="U52" s="59">
        <v>0.82999999999999985</v>
      </c>
      <c r="V52" s="59">
        <v>0.83999999999999986</v>
      </c>
      <c r="W52" s="59">
        <v>0.83999999999999986</v>
      </c>
    </row>
    <row r="53" spans="1:23" s="18" customFormat="1" x14ac:dyDescent="0.25">
      <c r="A53" s="22" t="str">
        <f>'Capacity By Location'!D65</f>
        <v>Abu Dhabi National Oil Company (ADNOC)</v>
      </c>
      <c r="B53" s="65">
        <v>0</v>
      </c>
      <c r="C53" s="65">
        <v>0</v>
      </c>
      <c r="D53" s="65">
        <v>0</v>
      </c>
      <c r="E53" s="65">
        <v>0</v>
      </c>
      <c r="F53" s="65">
        <v>0</v>
      </c>
      <c r="G53" s="65">
        <v>0</v>
      </c>
      <c r="H53" s="65">
        <v>0</v>
      </c>
      <c r="I53" s="118">
        <v>0</v>
      </c>
      <c r="J53" s="118">
        <v>0</v>
      </c>
      <c r="K53" s="118">
        <v>0</v>
      </c>
      <c r="L53" s="118">
        <v>0</v>
      </c>
      <c r="M53" s="65">
        <v>0</v>
      </c>
      <c r="N53" s="65">
        <v>0</v>
      </c>
      <c r="O53" s="65">
        <v>0</v>
      </c>
      <c r="P53" s="65">
        <v>0</v>
      </c>
      <c r="Q53" s="58">
        <v>0.62</v>
      </c>
      <c r="R53" s="58">
        <v>0.7</v>
      </c>
      <c r="S53" s="58">
        <v>0.74</v>
      </c>
      <c r="T53" s="58">
        <v>0.78</v>
      </c>
      <c r="U53" s="58">
        <v>0.82</v>
      </c>
      <c r="V53" s="58">
        <v>0.84</v>
      </c>
      <c r="W53" s="58">
        <v>0.86</v>
      </c>
    </row>
    <row r="54" spans="1:23" s="18" customFormat="1" x14ac:dyDescent="0.25">
      <c r="A54" s="22" t="str">
        <f>'Capacity By Location'!D66</f>
        <v>Assam Petro-Chemicals Ltd</v>
      </c>
      <c r="B54" s="59">
        <v>0.71999999999999986</v>
      </c>
      <c r="C54" s="59">
        <v>0.73999999999999988</v>
      </c>
      <c r="D54" s="59">
        <v>0.7599999999999999</v>
      </c>
      <c r="E54" s="59">
        <v>0.77999999999999992</v>
      </c>
      <c r="F54" s="59">
        <v>0.79999999999999993</v>
      </c>
      <c r="G54" s="62">
        <v>0.72</v>
      </c>
      <c r="H54" s="59">
        <v>0.74</v>
      </c>
      <c r="I54" s="118">
        <v>0.75</v>
      </c>
      <c r="J54" s="118">
        <v>0.77</v>
      </c>
      <c r="K54" s="118">
        <v>0.78</v>
      </c>
      <c r="L54" s="118">
        <v>0.82</v>
      </c>
      <c r="M54" s="59">
        <v>0.77999999999999992</v>
      </c>
      <c r="N54" s="59">
        <v>0.77999999999999992</v>
      </c>
      <c r="O54" s="59">
        <v>0.79999999999999993</v>
      </c>
      <c r="P54" s="59">
        <v>0.79999999999999993</v>
      </c>
      <c r="Q54" s="59">
        <v>0.81999999999999984</v>
      </c>
      <c r="R54" s="59">
        <v>0.81999999999999984</v>
      </c>
      <c r="S54" s="59">
        <v>0.82999999999999985</v>
      </c>
      <c r="T54" s="59">
        <v>0.83999999999999986</v>
      </c>
      <c r="U54" s="59">
        <v>0.83999999999999986</v>
      </c>
      <c r="V54" s="59">
        <v>0.83999999999999986</v>
      </c>
      <c r="W54" s="59">
        <v>0.83999999999999986</v>
      </c>
    </row>
    <row r="55" spans="1:23" s="18" customFormat="1" x14ac:dyDescent="0.25">
      <c r="A55" s="22" t="str">
        <f>'Capacity By Location'!D67</f>
        <v xml:space="preserve">Gujarat Narmada Valley Fertilizers and Chemicals Ltd </v>
      </c>
      <c r="B55" s="59">
        <v>0.69999999999999984</v>
      </c>
      <c r="C55" s="59">
        <v>0.71999999999999986</v>
      </c>
      <c r="D55" s="59">
        <v>0.73999999999999988</v>
      </c>
      <c r="E55" s="59">
        <v>0.7599999999999999</v>
      </c>
      <c r="F55" s="59">
        <v>0.77999999999999992</v>
      </c>
      <c r="G55" s="62">
        <v>0.69999999999999984</v>
      </c>
      <c r="H55" s="59">
        <v>0.71999999999999986</v>
      </c>
      <c r="I55" s="118">
        <v>0.72</v>
      </c>
      <c r="J55" s="118">
        <v>0.74</v>
      </c>
      <c r="K55" s="118">
        <v>0.74</v>
      </c>
      <c r="L55" s="118">
        <v>0.76</v>
      </c>
      <c r="M55" s="59">
        <v>0.73999999999999988</v>
      </c>
      <c r="N55" s="59">
        <v>0.7599999999999999</v>
      </c>
      <c r="O55" s="59">
        <v>0.77999999999999992</v>
      </c>
      <c r="P55" s="59">
        <v>0.77999999999999992</v>
      </c>
      <c r="Q55" s="59">
        <v>0.77999999999999992</v>
      </c>
      <c r="R55" s="59">
        <v>0.79999999999999993</v>
      </c>
      <c r="S55" s="59">
        <v>0.79999999999999993</v>
      </c>
      <c r="T55" s="59">
        <v>0.81999999999999984</v>
      </c>
      <c r="U55" s="59">
        <v>0.81999999999999984</v>
      </c>
      <c r="V55" s="59">
        <v>0.83999999999999986</v>
      </c>
      <c r="W55" s="59">
        <v>0.83999999999999986</v>
      </c>
    </row>
    <row r="56" spans="1:23" s="18" customFormat="1" x14ac:dyDescent="0.25">
      <c r="A56" s="22" t="str">
        <f>'Capacity By Location'!D68</f>
        <v xml:space="preserve">Rashtriya Chemicals &amp; Fertilizers  </v>
      </c>
      <c r="B56" s="65">
        <v>0</v>
      </c>
      <c r="C56" s="65">
        <v>0</v>
      </c>
      <c r="D56" s="65">
        <v>0</v>
      </c>
      <c r="E56" s="65">
        <v>0</v>
      </c>
      <c r="F56" s="65">
        <v>0</v>
      </c>
      <c r="G56" s="59">
        <v>0.6</v>
      </c>
      <c r="H56" s="59">
        <v>0.7</v>
      </c>
      <c r="I56" s="118">
        <v>0.71</v>
      </c>
      <c r="J56" s="118">
        <v>0.73</v>
      </c>
      <c r="K56" s="118">
        <v>0.74</v>
      </c>
      <c r="L56" s="118">
        <v>0.77</v>
      </c>
      <c r="M56" s="59">
        <v>0.74</v>
      </c>
      <c r="N56" s="59">
        <v>0.76</v>
      </c>
      <c r="O56" s="59">
        <v>0.8</v>
      </c>
      <c r="P56" s="59">
        <v>0.82</v>
      </c>
      <c r="Q56" s="59">
        <v>0.84</v>
      </c>
      <c r="R56" s="59">
        <v>0.86</v>
      </c>
      <c r="S56" s="59">
        <v>0.86</v>
      </c>
      <c r="T56" s="59">
        <v>0.86</v>
      </c>
      <c r="U56" s="58">
        <v>0.88</v>
      </c>
      <c r="V56" s="58">
        <v>0.88</v>
      </c>
      <c r="W56" s="58">
        <v>0.88</v>
      </c>
    </row>
    <row r="57" spans="1:23" s="18" customFormat="1" x14ac:dyDescent="0.25">
      <c r="A57" s="22" t="str">
        <f>'Capacity By Location'!D69</f>
        <v>Deepak Fertilizer &amp; Chemicals Ltd</v>
      </c>
      <c r="B57" s="59">
        <v>0.65999999999999992</v>
      </c>
      <c r="C57" s="59">
        <v>0.69999999999999984</v>
      </c>
      <c r="D57" s="59">
        <v>0.71999999999999986</v>
      </c>
      <c r="E57" s="59">
        <v>0.73999999999999988</v>
      </c>
      <c r="F57" s="59">
        <v>0.7599999999999999</v>
      </c>
      <c r="G57" s="62">
        <v>0.6399999999999999</v>
      </c>
      <c r="H57" s="59">
        <v>0.69999999999999984</v>
      </c>
      <c r="I57" s="118">
        <v>0.7</v>
      </c>
      <c r="J57" s="118">
        <v>0.71</v>
      </c>
      <c r="K57" s="118">
        <v>0.72</v>
      </c>
      <c r="L57" s="118">
        <v>0.75</v>
      </c>
      <c r="M57" s="59">
        <v>0.71999999999999986</v>
      </c>
      <c r="N57" s="59">
        <v>0.73999999999999988</v>
      </c>
      <c r="O57" s="59">
        <v>0.7599999999999999</v>
      </c>
      <c r="P57" s="59">
        <v>0.77999999999999992</v>
      </c>
      <c r="Q57" s="59">
        <v>0.79999999999999993</v>
      </c>
      <c r="R57" s="59">
        <v>0.79999999999999993</v>
      </c>
      <c r="S57" s="59">
        <v>0.81999999999999984</v>
      </c>
      <c r="T57" s="59">
        <v>0.81999999999999984</v>
      </c>
      <c r="U57" s="59">
        <v>0.81999999999999984</v>
      </c>
      <c r="V57" s="59">
        <v>0.83999999999999986</v>
      </c>
      <c r="W57" s="59">
        <v>0.83999999999999986</v>
      </c>
    </row>
    <row r="58" spans="1:23" s="18" customFormat="1" x14ac:dyDescent="0.25">
      <c r="A58" s="22" t="str">
        <f>'Capacity By Location'!D70</f>
        <v>Gujarat State Fertilizers &amp; Chemicals Ltd</v>
      </c>
      <c r="B58" s="65">
        <v>0</v>
      </c>
      <c r="C58" s="65">
        <v>0</v>
      </c>
      <c r="D58" s="65">
        <v>0</v>
      </c>
      <c r="E58" s="65">
        <v>0</v>
      </c>
      <c r="F58" s="65">
        <v>0</v>
      </c>
      <c r="G58" s="59">
        <v>0.6</v>
      </c>
      <c r="H58" s="59">
        <v>0.66</v>
      </c>
      <c r="I58" s="118">
        <v>0.67</v>
      </c>
      <c r="J58" s="118">
        <v>0.69</v>
      </c>
      <c r="K58" s="118">
        <v>0.7</v>
      </c>
      <c r="L58" s="118">
        <v>0.74</v>
      </c>
      <c r="M58" s="59">
        <v>0.7</v>
      </c>
      <c r="N58" s="59">
        <v>0.72</v>
      </c>
      <c r="O58" s="59">
        <v>0.76</v>
      </c>
      <c r="P58" s="59">
        <v>0.8</v>
      </c>
      <c r="Q58" s="59">
        <v>0.82</v>
      </c>
      <c r="R58" s="59">
        <v>0.84</v>
      </c>
      <c r="S58" s="59">
        <v>0.86</v>
      </c>
      <c r="T58" s="59">
        <v>0.86</v>
      </c>
      <c r="U58" s="59">
        <v>0.86</v>
      </c>
      <c r="V58" s="58">
        <v>0.88</v>
      </c>
      <c r="W58" s="58">
        <v>0.88</v>
      </c>
    </row>
    <row r="59" spans="1:23" s="18" customFormat="1" x14ac:dyDescent="0.25">
      <c r="A59" s="22" t="str">
        <f>'Capacity By Location'!D71</f>
        <v>Shenhua Ningxia Coal Industry Company</v>
      </c>
      <c r="B59" s="59">
        <v>0.71999999999999986</v>
      </c>
      <c r="C59" s="59">
        <v>0.72999999999999987</v>
      </c>
      <c r="D59" s="59">
        <v>0.73999999999999988</v>
      </c>
      <c r="E59" s="59">
        <v>0.7599999999999999</v>
      </c>
      <c r="F59" s="59">
        <v>0.79999999999999993</v>
      </c>
      <c r="G59" s="62">
        <v>0.67999999999999994</v>
      </c>
      <c r="H59" s="59">
        <v>0.69999999999999984</v>
      </c>
      <c r="I59" s="118">
        <v>0.69</v>
      </c>
      <c r="J59" s="118">
        <v>0.72</v>
      </c>
      <c r="K59" s="118">
        <v>0.72</v>
      </c>
      <c r="L59" s="118">
        <v>0.75</v>
      </c>
      <c r="M59" s="59">
        <v>0.71999999999999986</v>
      </c>
      <c r="N59" s="59">
        <v>0.72999999999999987</v>
      </c>
      <c r="O59" s="59">
        <v>0.73999999999999988</v>
      </c>
      <c r="P59" s="59">
        <v>0.7599999999999999</v>
      </c>
      <c r="Q59" s="59">
        <v>0.77999999999999992</v>
      </c>
      <c r="R59" s="59">
        <v>0.79999999999999993</v>
      </c>
      <c r="S59" s="59">
        <v>0.81999999999999984</v>
      </c>
      <c r="T59" s="59">
        <v>0.81999999999999984</v>
      </c>
      <c r="U59" s="59">
        <v>0.83999999999999986</v>
      </c>
      <c r="V59" s="59">
        <v>0.83999999999999986</v>
      </c>
      <c r="W59" s="59">
        <v>0.83999999999999986</v>
      </c>
    </row>
    <row r="60" spans="1:23" s="18" customFormat="1" x14ac:dyDescent="0.25">
      <c r="A60" s="22" t="str">
        <f>'Capacity By Location'!D72</f>
        <v>Hami Hengyou Energy Chemical Tech Co Ltd</v>
      </c>
      <c r="B60" s="59">
        <v>0.67999999999999994</v>
      </c>
      <c r="C60" s="59">
        <v>0.69999999999999984</v>
      </c>
      <c r="D60" s="59">
        <v>0.71999999999999986</v>
      </c>
      <c r="E60" s="59">
        <v>0.72999999999999987</v>
      </c>
      <c r="F60" s="59">
        <v>0.73999999999999988</v>
      </c>
      <c r="G60" s="62">
        <v>0.66</v>
      </c>
      <c r="H60" s="59">
        <v>0.7</v>
      </c>
      <c r="I60" s="118">
        <v>0.68</v>
      </c>
      <c r="J60" s="118">
        <v>0.73</v>
      </c>
      <c r="K60" s="118">
        <v>0.74</v>
      </c>
      <c r="L60" s="118">
        <v>0.8</v>
      </c>
      <c r="M60" s="59">
        <v>0.74</v>
      </c>
      <c r="N60" s="59">
        <v>0.7599999999999999</v>
      </c>
      <c r="O60" s="59">
        <v>0.77999999999999992</v>
      </c>
      <c r="P60" s="59">
        <v>0.79999999999999993</v>
      </c>
      <c r="Q60" s="59">
        <v>0.81999999999999984</v>
      </c>
      <c r="R60" s="59">
        <v>0.82999999999999985</v>
      </c>
      <c r="S60" s="59">
        <v>0.83999999999999986</v>
      </c>
      <c r="T60" s="59">
        <v>0.83999999999999986</v>
      </c>
      <c r="U60" s="59">
        <v>0.84999999999999987</v>
      </c>
      <c r="V60" s="59">
        <v>0.84999999999999987</v>
      </c>
      <c r="W60" s="59">
        <v>0.84999999999999987</v>
      </c>
    </row>
    <row r="61" spans="1:23" s="18" customFormat="1" x14ac:dyDescent="0.25">
      <c r="A61" s="22" t="str">
        <f>'Capacity By Location'!D73</f>
        <v>Shanxi Coking Coal Group</v>
      </c>
      <c r="B61" s="59">
        <v>0.69999999999999984</v>
      </c>
      <c r="C61" s="59">
        <v>0.71999999999999986</v>
      </c>
      <c r="D61" s="59">
        <v>0.72999999999999987</v>
      </c>
      <c r="E61" s="59">
        <v>0.73999999999999988</v>
      </c>
      <c r="F61" s="59">
        <v>0.7599999999999999</v>
      </c>
      <c r="G61" s="62">
        <v>0.69999999999999984</v>
      </c>
      <c r="H61" s="59">
        <v>0.71999999999999986</v>
      </c>
      <c r="I61" s="118">
        <v>0.73</v>
      </c>
      <c r="J61" s="118">
        <v>0.75</v>
      </c>
      <c r="K61" s="118">
        <v>0.76</v>
      </c>
      <c r="L61" s="118">
        <v>0.8</v>
      </c>
      <c r="M61" s="59">
        <v>0.7599999999999999</v>
      </c>
      <c r="N61" s="59">
        <v>0.77999999999999992</v>
      </c>
      <c r="O61" s="59">
        <v>0.77999999999999992</v>
      </c>
      <c r="P61" s="59">
        <v>0.79999999999999993</v>
      </c>
      <c r="Q61" s="59">
        <v>0.79999999999999993</v>
      </c>
      <c r="R61" s="59">
        <v>0.81999999999999984</v>
      </c>
      <c r="S61" s="59">
        <v>0.81999999999999984</v>
      </c>
      <c r="T61" s="59">
        <v>0.83999999999999986</v>
      </c>
      <c r="U61" s="59">
        <v>0.83999999999999986</v>
      </c>
      <c r="V61" s="59">
        <v>0.83999999999999986</v>
      </c>
      <c r="W61" s="59">
        <v>0.83999999999999986</v>
      </c>
    </row>
    <row r="62" spans="1:23" s="18" customFormat="1" x14ac:dyDescent="0.25">
      <c r="A62" s="22" t="str">
        <f>'Capacity By Location'!D74</f>
        <v>China Coal Ordos</v>
      </c>
      <c r="B62" s="59">
        <v>0.69999999999999984</v>
      </c>
      <c r="C62" s="59">
        <v>0.71999999999999986</v>
      </c>
      <c r="D62" s="59">
        <v>0.73999999999999988</v>
      </c>
      <c r="E62" s="59">
        <v>0.7599999999999999</v>
      </c>
      <c r="F62" s="59">
        <v>0.77999999999999992</v>
      </c>
      <c r="G62" s="62">
        <v>0.71999999999999986</v>
      </c>
      <c r="H62" s="59">
        <v>0.73999999999999988</v>
      </c>
      <c r="I62" s="118">
        <v>0.73</v>
      </c>
      <c r="J62" s="118">
        <v>0.75</v>
      </c>
      <c r="K62" s="118">
        <v>0.76</v>
      </c>
      <c r="L62" s="118">
        <v>0.79</v>
      </c>
      <c r="M62" s="59">
        <v>0.7599999999999999</v>
      </c>
      <c r="N62" s="59">
        <v>0.77999999999999992</v>
      </c>
      <c r="O62" s="59">
        <v>0.77999999999999992</v>
      </c>
      <c r="P62" s="59">
        <v>0.77999999999999992</v>
      </c>
      <c r="Q62" s="59">
        <v>0.79999999999999982</v>
      </c>
      <c r="R62" s="59">
        <v>0.79999999999999982</v>
      </c>
      <c r="S62" s="59">
        <v>0.81999999999999984</v>
      </c>
      <c r="T62" s="59">
        <v>0.81999999999999984</v>
      </c>
      <c r="U62" s="59">
        <v>0.81999999999999984</v>
      </c>
      <c r="V62" s="59">
        <v>0.81999999999999984</v>
      </c>
      <c r="W62" s="59">
        <v>0.81999999999999984</v>
      </c>
    </row>
    <row r="63" spans="1:23" s="18" customFormat="1" x14ac:dyDescent="0.25">
      <c r="A63" s="22" t="str">
        <f>'Capacity By Location'!D75</f>
        <v>Jiutai Energy Inner Mongolia Co., Ltd.</v>
      </c>
      <c r="B63" s="60">
        <v>0.72</v>
      </c>
      <c r="C63" s="60">
        <v>0.74</v>
      </c>
      <c r="D63" s="60">
        <v>0.75</v>
      </c>
      <c r="E63" s="60">
        <v>0.76</v>
      </c>
      <c r="F63" s="60">
        <v>0.8</v>
      </c>
      <c r="G63" s="61">
        <v>0.74</v>
      </c>
      <c r="H63" s="58">
        <v>0.76</v>
      </c>
      <c r="I63" s="118">
        <v>0.75</v>
      </c>
      <c r="J63" s="118">
        <v>0.78</v>
      </c>
      <c r="K63" s="118">
        <v>0.78</v>
      </c>
      <c r="L63" s="118">
        <v>0.81</v>
      </c>
      <c r="M63" s="58">
        <v>0.78</v>
      </c>
      <c r="N63" s="58">
        <v>0.8</v>
      </c>
      <c r="O63" s="58">
        <v>0.8</v>
      </c>
      <c r="P63" s="58">
        <v>0.82</v>
      </c>
      <c r="Q63" s="58">
        <v>0.82</v>
      </c>
      <c r="R63" s="58">
        <v>0.84</v>
      </c>
      <c r="S63" s="58">
        <v>0.84</v>
      </c>
      <c r="T63" s="58">
        <v>0.86</v>
      </c>
      <c r="U63" s="58">
        <v>0.86</v>
      </c>
      <c r="V63" s="58">
        <v>0.86</v>
      </c>
      <c r="W63" s="58">
        <v>0.86</v>
      </c>
    </row>
    <row r="64" spans="1:23" s="18" customFormat="1" x14ac:dyDescent="0.25">
      <c r="A64" s="22" t="str">
        <f>'Capacity By Location'!D76</f>
        <v>Yankuang Group Company Limited</v>
      </c>
      <c r="B64" s="60">
        <v>0.7</v>
      </c>
      <c r="C64" s="60">
        <v>0.72</v>
      </c>
      <c r="D64" s="60">
        <v>0.74</v>
      </c>
      <c r="E64" s="60">
        <v>0.76</v>
      </c>
      <c r="F64" s="60">
        <v>0.8</v>
      </c>
      <c r="G64" s="61">
        <v>0.76</v>
      </c>
      <c r="H64" s="58">
        <v>0.78</v>
      </c>
      <c r="I64" s="118">
        <v>0.77</v>
      </c>
      <c r="J64" s="118">
        <v>0.79</v>
      </c>
      <c r="K64" s="118">
        <v>0.8</v>
      </c>
      <c r="L64" s="118">
        <v>0.83</v>
      </c>
      <c r="M64" s="58">
        <v>0.8</v>
      </c>
      <c r="N64" s="58">
        <v>0.82</v>
      </c>
      <c r="O64" s="58">
        <v>0.82</v>
      </c>
      <c r="P64" s="58">
        <v>0.84</v>
      </c>
      <c r="Q64" s="58">
        <v>0.85</v>
      </c>
      <c r="R64" s="58">
        <v>0.85</v>
      </c>
      <c r="S64" s="58">
        <v>0.86</v>
      </c>
      <c r="T64" s="58">
        <v>0.86</v>
      </c>
      <c r="U64" s="58">
        <v>0.88</v>
      </c>
      <c r="V64" s="58">
        <v>0.88</v>
      </c>
      <c r="W64" s="58">
        <v>0.88</v>
      </c>
    </row>
    <row r="65" spans="1:23" s="18" customFormat="1" x14ac:dyDescent="0.25">
      <c r="A65" s="22" t="str">
        <f>'Capacity By Location'!D77</f>
        <v>China BlueChemical Ltd.</v>
      </c>
      <c r="B65" s="59">
        <v>0.65999999999999992</v>
      </c>
      <c r="C65" s="59">
        <v>0.69999999999999984</v>
      </c>
      <c r="D65" s="59">
        <v>0.71999999999999986</v>
      </c>
      <c r="E65" s="59">
        <v>0.73999999999999988</v>
      </c>
      <c r="F65" s="59">
        <v>0.7599999999999999</v>
      </c>
      <c r="G65" s="62">
        <v>0.6399999999999999</v>
      </c>
      <c r="H65" s="59">
        <v>0.69999999999999984</v>
      </c>
      <c r="I65" s="118">
        <v>0.67</v>
      </c>
      <c r="J65" s="118">
        <v>0.71</v>
      </c>
      <c r="K65" s="118">
        <v>0.72</v>
      </c>
      <c r="L65" s="118">
        <v>0.78</v>
      </c>
      <c r="M65" s="59">
        <v>0.71999999999999986</v>
      </c>
      <c r="N65" s="59">
        <v>0.73999999999999988</v>
      </c>
      <c r="O65" s="59">
        <v>0.7599999999999999</v>
      </c>
      <c r="P65" s="59">
        <v>0.77999999999999992</v>
      </c>
      <c r="Q65" s="59">
        <v>0.79999999999999993</v>
      </c>
      <c r="R65" s="59">
        <v>0.79999999999999993</v>
      </c>
      <c r="S65" s="59">
        <v>0.81999999999999984</v>
      </c>
      <c r="T65" s="59">
        <v>0.81999999999999984</v>
      </c>
      <c r="U65" s="59">
        <v>0.81999999999999984</v>
      </c>
      <c r="V65" s="59">
        <v>0.83999999999999986</v>
      </c>
      <c r="W65" s="59">
        <v>0.83999999999999986</v>
      </c>
    </row>
    <row r="66" spans="1:23" s="18" customFormat="1" x14ac:dyDescent="0.25">
      <c r="A66" s="22" t="str">
        <f>'Capacity By Location'!D78</f>
        <v>State Power Investment Corporation</v>
      </c>
      <c r="B66" s="65">
        <v>0</v>
      </c>
      <c r="C66" s="65">
        <v>0</v>
      </c>
      <c r="D66" s="65">
        <v>0</v>
      </c>
      <c r="E66" s="65">
        <v>0</v>
      </c>
      <c r="F66" s="65">
        <v>0</v>
      </c>
      <c r="G66" s="65">
        <v>0</v>
      </c>
      <c r="H66" s="65">
        <v>0</v>
      </c>
      <c r="I66" s="118">
        <v>0</v>
      </c>
      <c r="J66" s="118">
        <v>0</v>
      </c>
      <c r="K66" s="118">
        <v>0</v>
      </c>
      <c r="L66" s="118">
        <v>0</v>
      </c>
      <c r="M66" s="65">
        <v>0</v>
      </c>
      <c r="N66" s="58">
        <v>0.62</v>
      </c>
      <c r="O66" s="58">
        <v>0.68</v>
      </c>
      <c r="P66" s="58">
        <v>0.74</v>
      </c>
      <c r="Q66" s="58">
        <v>0.75</v>
      </c>
      <c r="R66" s="58">
        <v>0.76</v>
      </c>
      <c r="S66" s="58">
        <v>0.8</v>
      </c>
      <c r="T66" s="58">
        <v>0.82</v>
      </c>
      <c r="U66" s="58">
        <v>0.84</v>
      </c>
      <c r="V66" s="58">
        <v>0.84</v>
      </c>
      <c r="W66" s="58">
        <v>0.84</v>
      </c>
    </row>
    <row r="67" spans="1:23" s="18" customFormat="1" x14ac:dyDescent="0.25">
      <c r="A67" s="22" t="str">
        <f>'Capacity By Location'!D79</f>
        <v>Ordos Jinchengtai Chemical Co., Ltd.</v>
      </c>
      <c r="B67" s="59">
        <v>0.69999999999999984</v>
      </c>
      <c r="C67" s="59">
        <v>0.71999999999999986</v>
      </c>
      <c r="D67" s="59">
        <v>0.73999999999999988</v>
      </c>
      <c r="E67" s="59">
        <v>0.7599999999999999</v>
      </c>
      <c r="F67" s="59">
        <v>0.77999999999999992</v>
      </c>
      <c r="G67" s="62">
        <v>0.7</v>
      </c>
      <c r="H67" s="59">
        <v>0.7599999999999999</v>
      </c>
      <c r="I67" s="118">
        <v>0.75</v>
      </c>
      <c r="J67" s="118">
        <v>0.78</v>
      </c>
      <c r="K67" s="118">
        <v>0.81</v>
      </c>
      <c r="L67" s="118">
        <v>0.78</v>
      </c>
      <c r="M67" s="59">
        <v>0.77999999999999992</v>
      </c>
      <c r="N67" s="59">
        <v>0.77999999999999992</v>
      </c>
      <c r="O67" s="59">
        <v>0.79999999999999982</v>
      </c>
      <c r="P67" s="59">
        <v>0.80999999999999983</v>
      </c>
      <c r="Q67" s="59">
        <v>0.81999999999999984</v>
      </c>
      <c r="R67" s="59">
        <v>0.81999999999999984</v>
      </c>
      <c r="S67" s="59">
        <v>0.82999999999999985</v>
      </c>
      <c r="T67" s="59">
        <v>0.83999999999999986</v>
      </c>
      <c r="U67" s="59">
        <v>0.83999999999999986</v>
      </c>
      <c r="V67" s="59">
        <v>0.83999999999999986</v>
      </c>
      <c r="W67" s="59">
        <v>0.83999999999999986</v>
      </c>
    </row>
    <row r="68" spans="1:23" s="18" customFormat="1" x14ac:dyDescent="0.25">
      <c r="A68" s="22" t="str">
        <f>'Capacity By Location'!D80</f>
        <v>Datang International Kttengtengqi Coal To Natural Gas Co., Ltd</v>
      </c>
      <c r="B68" s="65">
        <f>'Capacity By Location'!E80</f>
        <v>0</v>
      </c>
      <c r="C68" s="65">
        <f>'Capacity By Location'!F80</f>
        <v>0</v>
      </c>
      <c r="D68" s="65">
        <f>'Capacity By Location'!G80</f>
        <v>0</v>
      </c>
      <c r="E68" s="65">
        <f>'Capacity By Location'!H80</f>
        <v>0</v>
      </c>
      <c r="F68" s="65">
        <f>'Capacity By Location'!I80</f>
        <v>0</v>
      </c>
      <c r="G68" s="58">
        <v>0.57999999999999996</v>
      </c>
      <c r="H68" s="58">
        <v>0.66</v>
      </c>
      <c r="I68" s="118">
        <v>0.69</v>
      </c>
      <c r="J68" s="118">
        <v>0.71</v>
      </c>
      <c r="K68" s="118">
        <v>0.73</v>
      </c>
      <c r="L68" s="118">
        <v>0.74</v>
      </c>
      <c r="M68" s="58">
        <v>0.72</v>
      </c>
      <c r="N68" s="58">
        <v>0.75</v>
      </c>
      <c r="O68" s="58">
        <v>0.76</v>
      </c>
      <c r="P68" s="58">
        <v>0.78</v>
      </c>
      <c r="Q68" s="58">
        <v>0.82</v>
      </c>
      <c r="R68" s="58">
        <v>0.82</v>
      </c>
      <c r="S68" s="58">
        <v>0.84</v>
      </c>
      <c r="T68" s="58">
        <v>0.84</v>
      </c>
      <c r="U68" s="58">
        <v>0.86</v>
      </c>
      <c r="V68" s="58">
        <v>0.86</v>
      </c>
      <c r="W68" s="58">
        <v>0.86</v>
      </c>
    </row>
    <row r="69" spans="1:23" s="18" customFormat="1" x14ac:dyDescent="0.25">
      <c r="A69" s="22" t="str">
        <f>'Capacity By Location'!D81</f>
        <v>Anhui Haoyuan Chemical Group Co., Ltd</v>
      </c>
      <c r="B69" s="59">
        <v>0.64</v>
      </c>
      <c r="C69" s="59">
        <v>0.68</v>
      </c>
      <c r="D69" s="59">
        <v>0.7</v>
      </c>
      <c r="E69" s="59">
        <v>0.72</v>
      </c>
      <c r="F69" s="59">
        <v>0.74</v>
      </c>
      <c r="G69" s="62">
        <v>0.66</v>
      </c>
      <c r="H69" s="59">
        <v>0.68</v>
      </c>
      <c r="I69" s="118">
        <v>0.69</v>
      </c>
      <c r="J69" s="118">
        <v>0.72</v>
      </c>
      <c r="K69" s="118">
        <v>0.73</v>
      </c>
      <c r="L69" s="118">
        <v>0.74</v>
      </c>
      <c r="M69" s="59">
        <v>0.71999999999999986</v>
      </c>
      <c r="N69" s="59">
        <v>0.74</v>
      </c>
      <c r="O69" s="59">
        <v>0.73999999999999988</v>
      </c>
      <c r="P69" s="59">
        <v>0.7599999999999999</v>
      </c>
      <c r="Q69" s="59">
        <v>0.77999999999999992</v>
      </c>
      <c r="R69" s="59">
        <v>0.79999999999999993</v>
      </c>
      <c r="S69" s="59">
        <v>0.81999999999999984</v>
      </c>
      <c r="T69" s="59">
        <v>0.81999999999999984</v>
      </c>
      <c r="U69" s="59">
        <v>0.83999999999999986</v>
      </c>
      <c r="V69" s="59">
        <v>0.83999999999999986</v>
      </c>
      <c r="W69" s="59">
        <v>0.83999999999999986</v>
      </c>
    </row>
    <row r="70" spans="1:23" s="18" customFormat="1" x14ac:dyDescent="0.25">
      <c r="A70" s="22" t="str">
        <f>'Capacity By Location'!D82</f>
        <v>Ningxia Baofeng Energy Group</v>
      </c>
      <c r="B70" s="59">
        <v>0.67999999999999994</v>
      </c>
      <c r="C70" s="59">
        <v>0.69999999999999984</v>
      </c>
      <c r="D70" s="59">
        <v>0.71999999999999986</v>
      </c>
      <c r="E70" s="59">
        <v>0.72</v>
      </c>
      <c r="F70" s="59">
        <v>0.73999999999999988</v>
      </c>
      <c r="G70" s="62">
        <v>0.69999999999999984</v>
      </c>
      <c r="H70" s="59">
        <v>0.71999999999999986</v>
      </c>
      <c r="I70" s="118">
        <v>0.73</v>
      </c>
      <c r="J70" s="118">
        <v>0.76</v>
      </c>
      <c r="K70" s="118">
        <v>0.77</v>
      </c>
      <c r="L70" s="118">
        <v>0.78</v>
      </c>
      <c r="M70" s="59">
        <v>0.7599999999999999</v>
      </c>
      <c r="N70" s="59">
        <v>0.7599999999999999</v>
      </c>
      <c r="O70" s="59">
        <v>0.77999999999999992</v>
      </c>
      <c r="P70" s="59">
        <v>0.79999999999999993</v>
      </c>
      <c r="Q70" s="59">
        <v>0.81999999999999984</v>
      </c>
      <c r="R70" s="59">
        <v>0.82999999999999985</v>
      </c>
      <c r="S70" s="59">
        <v>0.83999999999999986</v>
      </c>
      <c r="T70" s="59">
        <v>0.83999999999999986</v>
      </c>
      <c r="U70" s="59">
        <v>0.84999999999999987</v>
      </c>
      <c r="V70" s="59">
        <v>0.84999999999999987</v>
      </c>
      <c r="W70" s="59">
        <v>0.84999999999999987</v>
      </c>
    </row>
    <row r="71" spans="1:23" s="18" customFormat="1" x14ac:dyDescent="0.25">
      <c r="A71" s="22" t="str">
        <f>'Capacity By Location'!D83</f>
        <v>Shaanxi Shenmu Chemical Industry Co. Ltd</v>
      </c>
      <c r="B71" s="59">
        <v>0.64</v>
      </c>
      <c r="C71" s="59">
        <v>0.66</v>
      </c>
      <c r="D71" s="59">
        <v>0.7</v>
      </c>
      <c r="E71" s="59">
        <v>0.72</v>
      </c>
      <c r="F71" s="59">
        <v>0.74</v>
      </c>
      <c r="G71" s="62">
        <v>0.68</v>
      </c>
      <c r="H71" s="59">
        <v>0.71999999999999986</v>
      </c>
      <c r="I71" s="118">
        <v>0.73</v>
      </c>
      <c r="J71" s="118">
        <v>0.75</v>
      </c>
      <c r="K71" s="118">
        <v>0.8</v>
      </c>
      <c r="L71" s="118">
        <v>0.76</v>
      </c>
      <c r="M71" s="59">
        <v>0.7599999999999999</v>
      </c>
      <c r="N71" s="59">
        <v>0.77999999999999992</v>
      </c>
      <c r="O71" s="59">
        <v>0.77999999999999992</v>
      </c>
      <c r="P71" s="59">
        <v>0.79999999999999993</v>
      </c>
      <c r="Q71" s="59">
        <v>0.79999999999999993</v>
      </c>
      <c r="R71" s="59">
        <v>0.81999999999999984</v>
      </c>
      <c r="S71" s="59">
        <v>0.81999999999999984</v>
      </c>
      <c r="T71" s="59">
        <v>0.83999999999999986</v>
      </c>
      <c r="U71" s="59">
        <v>0.83999999999999986</v>
      </c>
      <c r="V71" s="59">
        <v>0.83999999999999986</v>
      </c>
      <c r="W71" s="59">
        <v>0.83999999999999986</v>
      </c>
    </row>
    <row r="72" spans="1:23" s="18" customFormat="1" x14ac:dyDescent="0.25">
      <c r="A72" s="22" t="str">
        <f>'Capacity By Location'!D84</f>
        <v>Shangdong Hualu Hengsheng Group Co., Ltd</v>
      </c>
      <c r="B72" s="59">
        <v>0.71999999999999986</v>
      </c>
      <c r="C72" s="59">
        <v>0.73999999999999988</v>
      </c>
      <c r="D72" s="59">
        <v>0.7599999999999999</v>
      </c>
      <c r="E72" s="59">
        <v>0.77999999999999992</v>
      </c>
      <c r="F72" s="59">
        <v>0.79999999999999993</v>
      </c>
      <c r="G72" s="62">
        <v>0.72</v>
      </c>
      <c r="H72" s="59">
        <v>0.7599999999999999</v>
      </c>
      <c r="I72" s="118">
        <v>0.77</v>
      </c>
      <c r="J72" s="118">
        <v>0.83</v>
      </c>
      <c r="K72" s="118">
        <v>0.8</v>
      </c>
      <c r="L72" s="118">
        <v>0.72</v>
      </c>
      <c r="M72" s="59">
        <v>0.77999999999999992</v>
      </c>
      <c r="N72" s="59">
        <v>0.79999999999999993</v>
      </c>
      <c r="O72" s="59">
        <v>0.79999999999999993</v>
      </c>
      <c r="P72" s="59">
        <v>0.79999999999999993</v>
      </c>
      <c r="Q72" s="59">
        <v>0.81999999999999984</v>
      </c>
      <c r="R72" s="59">
        <v>0.81999999999999984</v>
      </c>
      <c r="S72" s="59">
        <v>0.83999999999999986</v>
      </c>
      <c r="T72" s="59">
        <v>0.83999999999999986</v>
      </c>
      <c r="U72" s="59">
        <v>0.83999999999999986</v>
      </c>
      <c r="V72" s="59">
        <v>0.83999999999999986</v>
      </c>
      <c r="W72" s="59">
        <v>0.83999999999999986</v>
      </c>
    </row>
    <row r="73" spans="1:23" s="18" customFormat="1" x14ac:dyDescent="0.25">
      <c r="A73" s="22" t="str">
        <f>'Capacity By Location'!D85</f>
        <v>Zhongyuan Fertilizer Group Corp.</v>
      </c>
      <c r="B73" s="59">
        <v>0.7</v>
      </c>
      <c r="C73" s="59">
        <v>0.72</v>
      </c>
      <c r="D73" s="59">
        <v>0.74</v>
      </c>
      <c r="E73" s="59">
        <v>0.76</v>
      </c>
      <c r="F73" s="59">
        <v>0.78</v>
      </c>
      <c r="G73" s="62">
        <v>0.7</v>
      </c>
      <c r="H73" s="59">
        <v>0.78</v>
      </c>
      <c r="I73" s="118">
        <v>0.77</v>
      </c>
      <c r="J73" s="118">
        <v>0.81</v>
      </c>
      <c r="K73" s="118">
        <v>0.82</v>
      </c>
      <c r="L73" s="118">
        <v>0.81</v>
      </c>
      <c r="M73" s="59">
        <v>0.8</v>
      </c>
      <c r="N73" s="59">
        <v>0.8</v>
      </c>
      <c r="O73" s="59">
        <v>0.82</v>
      </c>
      <c r="P73" s="59">
        <v>0.82</v>
      </c>
      <c r="Q73" s="59">
        <v>0.84</v>
      </c>
      <c r="R73" s="59">
        <v>0.85</v>
      </c>
      <c r="S73" s="59">
        <v>0.85</v>
      </c>
      <c r="T73" s="59">
        <v>0.86</v>
      </c>
      <c r="U73" s="59">
        <v>0.86</v>
      </c>
      <c r="V73" s="59">
        <v>0.86</v>
      </c>
      <c r="W73" s="59">
        <v>0.86</v>
      </c>
    </row>
    <row r="74" spans="1:23" s="18" customFormat="1" x14ac:dyDescent="0.25">
      <c r="A74" s="22" t="str">
        <f>'Capacity By Location'!D86</f>
        <v>Yongcheng Coal - electricity Group</v>
      </c>
      <c r="B74" s="59">
        <v>0.69999999999999984</v>
      </c>
      <c r="C74" s="59">
        <v>0.71999999999999986</v>
      </c>
      <c r="D74" s="59">
        <v>0.73999999999999988</v>
      </c>
      <c r="E74" s="59">
        <v>0.7599999999999999</v>
      </c>
      <c r="F74" s="59">
        <v>0.77999999999999992</v>
      </c>
      <c r="G74" s="62">
        <v>0.72</v>
      </c>
      <c r="H74" s="59">
        <v>0.74</v>
      </c>
      <c r="I74" s="118">
        <v>0.75</v>
      </c>
      <c r="J74" s="118">
        <v>0.78</v>
      </c>
      <c r="K74" s="118">
        <v>0.78</v>
      </c>
      <c r="L74" s="118">
        <v>0.81</v>
      </c>
      <c r="M74" s="59">
        <v>0.77999999999999992</v>
      </c>
      <c r="N74" s="59">
        <v>0.77999999999999992</v>
      </c>
      <c r="O74" s="59">
        <v>0.79999999999999982</v>
      </c>
      <c r="P74" s="59">
        <v>0.80999999999999983</v>
      </c>
      <c r="Q74" s="59">
        <v>0.81999999999999984</v>
      </c>
      <c r="R74" s="59">
        <v>0.81999999999999984</v>
      </c>
      <c r="S74" s="59">
        <v>0.82999999999999985</v>
      </c>
      <c r="T74" s="59">
        <v>0.83999999999999986</v>
      </c>
      <c r="U74" s="59">
        <v>0.83999999999999986</v>
      </c>
      <c r="V74" s="59">
        <v>0.83999999999999986</v>
      </c>
      <c r="W74" s="59">
        <v>0.83999999999999986</v>
      </c>
    </row>
    <row r="75" spans="1:23" s="18" customFormat="1" x14ac:dyDescent="0.25">
      <c r="A75" s="22" t="str">
        <f>'Capacity By Location'!D87</f>
        <v>Henan Kaixiang Electric Power Industry Co., Ltd.</v>
      </c>
      <c r="B75" s="59">
        <v>0.71999999999999986</v>
      </c>
      <c r="C75" s="59">
        <v>0.72999999999999987</v>
      </c>
      <c r="D75" s="59">
        <v>0.73999999999999988</v>
      </c>
      <c r="E75" s="59">
        <v>0.7599999999999999</v>
      </c>
      <c r="F75" s="59">
        <v>0.79999999999999993</v>
      </c>
      <c r="G75" s="62">
        <v>0.67999999999999994</v>
      </c>
      <c r="H75" s="59">
        <v>0.69999999999999984</v>
      </c>
      <c r="I75" s="118">
        <v>0.7</v>
      </c>
      <c r="J75" s="118">
        <v>0.72</v>
      </c>
      <c r="K75" s="118">
        <v>0.72</v>
      </c>
      <c r="L75" s="118">
        <v>0.75</v>
      </c>
      <c r="M75" s="59">
        <v>0.71999999999999986</v>
      </c>
      <c r="N75" s="59">
        <v>0.72999999999999987</v>
      </c>
      <c r="O75" s="59">
        <v>0.73999999999999988</v>
      </c>
      <c r="P75" s="59">
        <v>0.7599999999999999</v>
      </c>
      <c r="Q75" s="59">
        <v>0.77999999999999992</v>
      </c>
      <c r="R75" s="59">
        <v>0.79999999999999993</v>
      </c>
      <c r="S75" s="59">
        <v>0.81999999999999984</v>
      </c>
      <c r="T75" s="59">
        <v>0.81999999999999984</v>
      </c>
      <c r="U75" s="59">
        <v>0.83999999999999986</v>
      </c>
      <c r="V75" s="59">
        <v>0.83999999999999986</v>
      </c>
      <c r="W75" s="59">
        <v>0.83999999999999986</v>
      </c>
    </row>
    <row r="76" spans="1:23" s="18" customFormat="1" x14ac:dyDescent="0.25">
      <c r="A76" s="22" t="str">
        <f>'Capacity By Location'!D88</f>
        <v>Shenhua Group</v>
      </c>
      <c r="B76" s="59">
        <v>0.67999999999999994</v>
      </c>
      <c r="C76" s="59">
        <v>0.69999999999999984</v>
      </c>
      <c r="D76" s="59">
        <v>0.71999999999999986</v>
      </c>
      <c r="E76" s="59">
        <v>0.72999999999999987</v>
      </c>
      <c r="F76" s="59">
        <v>0.73999999999999988</v>
      </c>
      <c r="G76" s="62">
        <v>0.69999999999999984</v>
      </c>
      <c r="H76" s="59">
        <v>0.71999999999999986</v>
      </c>
      <c r="I76" s="118">
        <v>0.73</v>
      </c>
      <c r="J76" s="118">
        <v>0.76</v>
      </c>
      <c r="K76" s="118">
        <v>0.78</v>
      </c>
      <c r="L76" s="118">
        <v>0.78</v>
      </c>
      <c r="M76" s="59">
        <v>0.7599999999999999</v>
      </c>
      <c r="N76" s="59">
        <v>0.7599999999999999</v>
      </c>
      <c r="O76" s="59">
        <v>0.77999999999999992</v>
      </c>
      <c r="P76" s="59">
        <v>0.79999999999999993</v>
      </c>
      <c r="Q76" s="59">
        <v>0.81999999999999984</v>
      </c>
      <c r="R76" s="59">
        <v>0.82999999999999985</v>
      </c>
      <c r="S76" s="59">
        <v>0.83999999999999986</v>
      </c>
      <c r="T76" s="59">
        <v>0.83999999999999986</v>
      </c>
      <c r="U76" s="59">
        <v>0.84999999999999987</v>
      </c>
      <c r="V76" s="59">
        <v>0.84999999999999987</v>
      </c>
      <c r="W76" s="59">
        <v>0.84999999999999987</v>
      </c>
    </row>
    <row r="77" spans="1:23" s="18" customFormat="1" x14ac:dyDescent="0.25">
      <c r="A77" s="22" t="str">
        <f>'Capacity By Location'!D89</f>
        <v>Sinopec Zhongyuan Petroleum</v>
      </c>
      <c r="B77" s="59">
        <v>0.6399999999999999</v>
      </c>
      <c r="C77" s="59">
        <v>0.67999999999999994</v>
      </c>
      <c r="D77" s="59">
        <v>0.69999999999999984</v>
      </c>
      <c r="E77" s="59">
        <v>0.71999999999999986</v>
      </c>
      <c r="F77" s="59">
        <v>0.74</v>
      </c>
      <c r="G77" s="62">
        <v>0.69</v>
      </c>
      <c r="H77" s="59">
        <v>0.71999999999999986</v>
      </c>
      <c r="I77" s="118">
        <v>0.73</v>
      </c>
      <c r="J77" s="118">
        <v>0.74</v>
      </c>
      <c r="K77" s="118">
        <v>0.74</v>
      </c>
      <c r="L77" s="118">
        <v>0.75</v>
      </c>
      <c r="M77" s="59">
        <v>0.73999999999999988</v>
      </c>
      <c r="N77" s="59">
        <v>0.7599999999999999</v>
      </c>
      <c r="O77" s="59">
        <v>0.7599999999999999</v>
      </c>
      <c r="P77" s="59">
        <v>0.77999999999999992</v>
      </c>
      <c r="Q77" s="59">
        <v>0.77999999999999992</v>
      </c>
      <c r="R77" s="59">
        <v>0.79999999999999993</v>
      </c>
      <c r="S77" s="59">
        <v>0.79999999999999993</v>
      </c>
      <c r="T77" s="59">
        <v>0.81999999999999984</v>
      </c>
      <c r="U77" s="59">
        <v>0.82999999999999985</v>
      </c>
      <c r="V77" s="59">
        <v>0.83999999999999986</v>
      </c>
      <c r="W77" s="59">
        <v>0.83999999999999986</v>
      </c>
    </row>
    <row r="78" spans="1:23" s="18" customFormat="1" x14ac:dyDescent="0.25">
      <c r="A78" s="22" t="str">
        <f>'Capacity By Location'!D90</f>
        <v>Fund Energy</v>
      </c>
      <c r="B78" s="59">
        <v>0.71999999999999986</v>
      </c>
      <c r="C78" s="59">
        <v>0.73999999999999988</v>
      </c>
      <c r="D78" s="59">
        <v>0.7599999999999999</v>
      </c>
      <c r="E78" s="59">
        <v>0.77999999999999992</v>
      </c>
      <c r="F78" s="59">
        <v>0.79999999999999993</v>
      </c>
      <c r="G78" s="62">
        <v>0.74</v>
      </c>
      <c r="H78" s="59">
        <v>0.76</v>
      </c>
      <c r="I78" s="118">
        <v>0.75</v>
      </c>
      <c r="J78" s="118">
        <v>0.77</v>
      </c>
      <c r="K78" s="118">
        <v>0.8</v>
      </c>
      <c r="L78" s="118">
        <v>0.8</v>
      </c>
      <c r="M78" s="59">
        <v>0.77999999999999992</v>
      </c>
      <c r="N78" s="59">
        <v>0.79999999999999993</v>
      </c>
      <c r="O78" s="59">
        <v>0.79999999999999993</v>
      </c>
      <c r="P78" s="59">
        <v>0.81999999999999984</v>
      </c>
      <c r="Q78" s="59">
        <v>0.83999999999999986</v>
      </c>
      <c r="R78" s="59">
        <v>0.83999999999999986</v>
      </c>
      <c r="S78" s="59">
        <v>0.83999999999999986</v>
      </c>
      <c r="T78" s="59">
        <v>0.84999999999999987</v>
      </c>
      <c r="U78" s="59">
        <v>0.84999999999999987</v>
      </c>
      <c r="V78" s="59">
        <v>0.84999999999999987</v>
      </c>
      <c r="W78" s="59">
        <v>0.84999999999999987</v>
      </c>
    </row>
    <row r="79" spans="1:23" s="18" customFormat="1" x14ac:dyDescent="0.25">
      <c r="A79" s="22" t="str">
        <f>'Production By Company'!A79</f>
        <v>PETRONAS Chemicals Group Berhad</v>
      </c>
      <c r="B79" s="59">
        <f>ROUND(AVERAGE(B74:B78),2)</f>
        <v>0.69</v>
      </c>
      <c r="C79" s="59">
        <f t="shared" ref="C79:H79" si="0">ROUND(AVERAGE(C74:C78),2)</f>
        <v>0.71</v>
      </c>
      <c r="D79" s="59">
        <f t="shared" si="0"/>
        <v>0.73</v>
      </c>
      <c r="E79" s="59">
        <f t="shared" si="0"/>
        <v>0.75</v>
      </c>
      <c r="F79" s="59">
        <f t="shared" si="0"/>
        <v>0.77</v>
      </c>
      <c r="G79" s="59">
        <f t="shared" si="0"/>
        <v>0.71</v>
      </c>
      <c r="H79" s="59">
        <f t="shared" si="0"/>
        <v>0.73</v>
      </c>
      <c r="I79" s="118">
        <v>0.73</v>
      </c>
      <c r="J79" s="118">
        <v>0.75</v>
      </c>
      <c r="K79" s="118">
        <v>0.76</v>
      </c>
      <c r="L79" s="118">
        <v>0.8</v>
      </c>
      <c r="M79" s="59">
        <f t="shared" ref="M79" si="1">ROUND(AVERAGE(M74:M78),2)</f>
        <v>0.76</v>
      </c>
      <c r="N79" s="59">
        <f t="shared" ref="N79" si="2">ROUND(AVERAGE(N74:N78),2)</f>
        <v>0.77</v>
      </c>
      <c r="O79" s="59">
        <f t="shared" ref="O79" si="3">ROUND(AVERAGE(O74:O78),2)</f>
        <v>0.78</v>
      </c>
      <c r="P79" s="59">
        <f t="shared" ref="P79" si="4">ROUND(AVERAGE(P74:P78),2)</f>
        <v>0.79</v>
      </c>
      <c r="Q79" s="59">
        <f t="shared" ref="Q79" si="5">ROUND(AVERAGE(Q74:Q78),2)</f>
        <v>0.81</v>
      </c>
      <c r="R79" s="59">
        <f t="shared" ref="R79" si="6">ROUND(AVERAGE(R74:R78),2)</f>
        <v>0.82</v>
      </c>
      <c r="S79" s="59">
        <f t="shared" ref="S79" si="7">ROUND(AVERAGE(S74:S78),2)</f>
        <v>0.83</v>
      </c>
      <c r="T79" s="59">
        <f t="shared" ref="T79" si="8">ROUND(AVERAGE(T74:T78),2)</f>
        <v>0.83</v>
      </c>
      <c r="U79" s="59">
        <f t="shared" ref="U79" si="9">ROUND(AVERAGE(U74:U78),2)</f>
        <v>0.84</v>
      </c>
      <c r="V79" s="59">
        <f t="shared" ref="V79" si="10">ROUND(AVERAGE(V74:V78),2)</f>
        <v>0.84</v>
      </c>
      <c r="W79" s="59">
        <f t="shared" ref="W79" si="11">ROUND(AVERAGE(W74:W78),2)</f>
        <v>0.84</v>
      </c>
    </row>
    <row r="80" spans="1:23" s="18" customFormat="1" x14ac:dyDescent="0.25">
      <c r="A80" s="22" t="str">
        <f>'Production By Company'!A80</f>
        <v>PT Kaltim Methanol Industry</v>
      </c>
      <c r="B80" s="59">
        <v>0.71</v>
      </c>
      <c r="C80" s="59">
        <v>0.73</v>
      </c>
      <c r="D80" s="59">
        <v>0.76</v>
      </c>
      <c r="E80" s="59">
        <v>0.77999999999999992</v>
      </c>
      <c r="F80" s="59">
        <v>0.79999999999999993</v>
      </c>
      <c r="G80" s="62">
        <v>0.72</v>
      </c>
      <c r="H80" s="59">
        <v>0.74</v>
      </c>
      <c r="I80" s="118">
        <v>0.74</v>
      </c>
      <c r="J80" s="118">
        <v>0.75</v>
      </c>
      <c r="K80" s="118">
        <v>0.76</v>
      </c>
      <c r="L80" s="118">
        <v>0.74</v>
      </c>
      <c r="M80" s="59">
        <v>0.75</v>
      </c>
      <c r="N80" s="59">
        <v>0.76</v>
      </c>
      <c r="O80" s="59">
        <v>0.79</v>
      </c>
      <c r="P80" s="59">
        <v>0.8</v>
      </c>
      <c r="Q80" s="59">
        <v>0.8</v>
      </c>
      <c r="R80" s="59">
        <v>0.82</v>
      </c>
      <c r="S80" s="59">
        <v>0.82</v>
      </c>
      <c r="T80" s="59">
        <v>0.84</v>
      </c>
      <c r="U80" s="59">
        <v>0.84</v>
      </c>
      <c r="V80" s="59">
        <v>0.86</v>
      </c>
      <c r="W80" s="59">
        <v>0.86</v>
      </c>
    </row>
    <row r="81" spans="1:23" s="18" customFormat="1" x14ac:dyDescent="0.25">
      <c r="A81" s="22" t="str">
        <f>'Production By Company'!A81</f>
        <v>Methanol Australia Limited</v>
      </c>
      <c r="B81" s="59">
        <v>0.65999999999999992</v>
      </c>
      <c r="C81" s="59">
        <v>0.69999999999999984</v>
      </c>
      <c r="D81" s="59">
        <v>0.71999999999999986</v>
      </c>
      <c r="E81" s="59">
        <v>0.73999999999999988</v>
      </c>
      <c r="F81" s="59">
        <v>0.7599999999999999</v>
      </c>
      <c r="G81" s="62">
        <v>0.7</v>
      </c>
      <c r="H81" s="59">
        <v>0.72</v>
      </c>
      <c r="I81" s="118">
        <v>0.73</v>
      </c>
      <c r="J81" s="118">
        <v>0.76</v>
      </c>
      <c r="K81" s="118">
        <v>0.77</v>
      </c>
      <c r="L81" s="118">
        <v>0.78</v>
      </c>
      <c r="M81" s="59">
        <v>0.7599999999999999</v>
      </c>
      <c r="N81" s="59">
        <v>0.77999999999999992</v>
      </c>
      <c r="O81" s="59">
        <v>0.79999999999999993</v>
      </c>
      <c r="P81" s="59">
        <v>0.79999999999999993</v>
      </c>
      <c r="Q81" s="59">
        <v>0.81999999999999984</v>
      </c>
      <c r="R81" s="59">
        <v>0.81999999999999984</v>
      </c>
      <c r="S81" s="59">
        <v>0.81999999999999984</v>
      </c>
      <c r="T81" s="59">
        <v>0.83999999999999986</v>
      </c>
      <c r="U81" s="59">
        <v>0.83999999999999986</v>
      </c>
      <c r="V81" s="59">
        <v>0.83999999999999986</v>
      </c>
      <c r="W81" s="59">
        <v>0.83999999999999986</v>
      </c>
    </row>
    <row r="82" spans="1:23" s="18" customFormat="1" x14ac:dyDescent="0.25">
      <c r="A82" s="22" t="str">
        <f>'Production By Company'!A82</f>
        <v>Coogee</v>
      </c>
      <c r="B82" s="59">
        <v>0.69999999999999984</v>
      </c>
      <c r="C82" s="59">
        <v>0.71999999999999986</v>
      </c>
      <c r="D82" s="59">
        <v>0.73999999999999988</v>
      </c>
      <c r="E82" s="59">
        <v>0.7599999999999999</v>
      </c>
      <c r="F82" s="59">
        <v>0.77999999999999992</v>
      </c>
      <c r="G82" s="62">
        <v>0.71</v>
      </c>
      <c r="H82" s="59">
        <v>0.73</v>
      </c>
      <c r="I82" s="118">
        <v>0.73</v>
      </c>
      <c r="J82" s="118">
        <v>0.75</v>
      </c>
      <c r="K82" s="118">
        <v>0.8</v>
      </c>
      <c r="L82" s="118">
        <v>0.76</v>
      </c>
      <c r="M82" s="59">
        <v>0.7599999999999999</v>
      </c>
      <c r="N82" s="59">
        <v>0.77999999999999992</v>
      </c>
      <c r="O82" s="59">
        <v>0.79999999999999993</v>
      </c>
      <c r="P82" s="59">
        <v>0.81999999999999984</v>
      </c>
      <c r="Q82" s="59">
        <v>0.82999999999999985</v>
      </c>
      <c r="R82" s="59">
        <v>0.82999999999999985</v>
      </c>
      <c r="S82" s="59">
        <v>0.82999999999999985</v>
      </c>
      <c r="T82" s="59">
        <v>0.83999999999999986</v>
      </c>
      <c r="U82" s="59">
        <v>0.83999999999999986</v>
      </c>
      <c r="V82" s="59">
        <v>0.83999999999999986</v>
      </c>
      <c r="W82" s="59">
        <v>0.83999999999999986</v>
      </c>
    </row>
    <row r="83" spans="1:23" s="18" customFormat="1" x14ac:dyDescent="0.25">
      <c r="A83" s="22" t="str">
        <f>'Capacity By Location'!D96</f>
        <v>Others</v>
      </c>
      <c r="B83" s="59">
        <v>0.69999999999999984</v>
      </c>
      <c r="C83" s="59">
        <v>0.71999999999999986</v>
      </c>
      <c r="D83" s="59">
        <v>0.73999999999999988</v>
      </c>
      <c r="E83" s="59">
        <v>0.7</v>
      </c>
      <c r="F83" s="59">
        <v>0.76</v>
      </c>
      <c r="G83" s="62">
        <v>0.7</v>
      </c>
      <c r="H83" s="59">
        <v>0.71</v>
      </c>
      <c r="I83" s="118">
        <v>0.72</v>
      </c>
      <c r="J83" s="118">
        <v>0.74</v>
      </c>
      <c r="K83" s="118">
        <v>0.75</v>
      </c>
      <c r="L83" s="118">
        <v>0.75</v>
      </c>
      <c r="M83" s="59">
        <v>0.74</v>
      </c>
      <c r="N83" s="59">
        <v>0.7599999999999999</v>
      </c>
      <c r="O83" s="59">
        <v>0.77999999999999992</v>
      </c>
      <c r="P83" s="59">
        <v>0.77999999999999992</v>
      </c>
      <c r="Q83" s="59">
        <v>0.8</v>
      </c>
      <c r="R83" s="59">
        <v>0.82</v>
      </c>
      <c r="S83" s="59">
        <v>0.81999999999999984</v>
      </c>
      <c r="T83" s="59">
        <v>0.84</v>
      </c>
      <c r="U83" s="59">
        <v>0.83999999999999986</v>
      </c>
      <c r="V83" s="59">
        <v>0.83999999999999986</v>
      </c>
      <c r="W83" s="59">
        <v>0.83999999999999986</v>
      </c>
    </row>
    <row r="84" spans="1:23" x14ac:dyDescent="0.25">
      <c r="A84" s="22" t="str">
        <f>'Capacity By Location'!D97</f>
        <v>Total</v>
      </c>
      <c r="B84" s="52"/>
      <c r="C84" s="52"/>
      <c r="D84" s="52"/>
      <c r="E84" s="52"/>
      <c r="F84" s="52"/>
      <c r="G84" s="52"/>
      <c r="H84" s="52"/>
      <c r="I84" s="52"/>
      <c r="J84" s="52"/>
      <c r="K84" s="52"/>
      <c r="L84" s="52"/>
      <c r="M84" s="52"/>
      <c r="N84" s="52"/>
      <c r="O84" s="52"/>
      <c r="P84" s="52"/>
      <c r="Q84" s="52"/>
      <c r="R84" s="52"/>
      <c r="S84" s="52"/>
      <c r="T84" s="52"/>
      <c r="U84" s="52"/>
      <c r="V84" s="52"/>
      <c r="W84" s="52"/>
    </row>
    <row r="87" spans="1:23" x14ac:dyDescent="0.25">
      <c r="B87" s="64">
        <v>0.04</v>
      </c>
    </row>
  </sheetData>
  <autoFilter ref="A1:W84" xr:uid="{82B1EA44-F16E-4891-889F-B0E673BCF146}"/>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A5B10B-F1E5-47AE-BA6F-1D3A26D16210}">
  <dimension ref="A1:T17"/>
  <sheetViews>
    <sheetView workbookViewId="0">
      <selection activeCell="S2" sqref="S2"/>
    </sheetView>
  </sheetViews>
  <sheetFormatPr defaultRowHeight="15" x14ac:dyDescent="0.25"/>
  <cols>
    <col min="1" max="1" width="39" bestFit="1" customWidth="1"/>
    <col min="2" max="8" width="10" bestFit="1" customWidth="1"/>
    <col min="9" max="19" width="9.5703125" bestFit="1" customWidth="1"/>
  </cols>
  <sheetData>
    <row r="1" spans="1:20" x14ac:dyDescent="0.25">
      <c r="A1" s="66"/>
      <c r="B1" s="66">
        <v>2015</v>
      </c>
      <c r="C1" s="66">
        <v>2016</v>
      </c>
      <c r="D1" s="66">
        <v>2017</v>
      </c>
      <c r="E1" s="66">
        <v>2018</v>
      </c>
      <c r="F1" s="66">
        <v>2019</v>
      </c>
      <c r="G1" s="66">
        <v>2020</v>
      </c>
      <c r="H1" s="66">
        <v>2021</v>
      </c>
      <c r="I1" s="66" t="s">
        <v>296</v>
      </c>
      <c r="J1" s="66" t="s">
        <v>10</v>
      </c>
      <c r="K1" s="66" t="s">
        <v>11</v>
      </c>
      <c r="L1" s="66" t="s">
        <v>12</v>
      </c>
      <c r="M1" s="66" t="s">
        <v>13</v>
      </c>
      <c r="N1" s="66" t="s">
        <v>14</v>
      </c>
      <c r="O1" s="66" t="s">
        <v>15</v>
      </c>
      <c r="P1" s="66" t="s">
        <v>16</v>
      </c>
      <c r="Q1" s="66" t="s">
        <v>17</v>
      </c>
      <c r="R1" s="66" t="s">
        <v>293</v>
      </c>
      <c r="S1" s="66" t="s">
        <v>294</v>
      </c>
    </row>
    <row r="2" spans="1:20" x14ac:dyDescent="0.25">
      <c r="A2" s="67" t="s">
        <v>299</v>
      </c>
      <c r="B2" s="68">
        <f>'Capacity By Company'!B84</f>
        <v>108621</v>
      </c>
      <c r="C2" s="68">
        <f>'Capacity By Company'!C84</f>
        <v>108646</v>
      </c>
      <c r="D2" s="68">
        <f>'Capacity By Company'!D84</f>
        <v>108926</v>
      </c>
      <c r="E2" s="68">
        <f>'Capacity By Company'!E84</f>
        <v>114463</v>
      </c>
      <c r="F2" s="68">
        <f>'Capacity By Company'!F84</f>
        <v>115438</v>
      </c>
      <c r="G2" s="68">
        <f>'Capacity By Company'!G84</f>
        <v>120941</v>
      </c>
      <c r="H2" s="68">
        <f>'Capacity By Company'!H84</f>
        <v>123071</v>
      </c>
      <c r="I2" s="68">
        <f>'Capacity By Company'!M84</f>
        <v>123271</v>
      </c>
      <c r="J2" s="68">
        <f>'Capacity By Company'!N84</f>
        <v>132596</v>
      </c>
      <c r="K2" s="68">
        <f>'Capacity By Company'!O84</f>
        <v>132596</v>
      </c>
      <c r="L2" s="68">
        <f>'Capacity By Company'!P84</f>
        <v>132596</v>
      </c>
      <c r="M2" s="68">
        <f>'Capacity By Company'!Q84</f>
        <v>134396</v>
      </c>
      <c r="N2" s="68">
        <f>'Capacity By Company'!R84</f>
        <v>134396</v>
      </c>
      <c r="O2" s="68">
        <f>'Capacity By Company'!S84</f>
        <v>134396</v>
      </c>
      <c r="P2" s="68">
        <f>'Capacity By Company'!T84</f>
        <v>134396</v>
      </c>
      <c r="Q2" s="68">
        <f>'Capacity By Company'!U84</f>
        <v>134396</v>
      </c>
      <c r="R2" s="68">
        <f>'Capacity By Company'!V84</f>
        <v>134396</v>
      </c>
      <c r="S2" s="68">
        <f>'Capacity By Company'!W84</f>
        <v>134396</v>
      </c>
    </row>
    <row r="3" spans="1:20" x14ac:dyDescent="0.25">
      <c r="A3" s="67" t="s">
        <v>300</v>
      </c>
      <c r="B3" s="68">
        <f>'Production By Company'!B84</f>
        <v>75008.72</v>
      </c>
      <c r="C3" s="68">
        <f>'Production By Company'!C84</f>
        <v>77457.720000000016</v>
      </c>
      <c r="D3" s="68">
        <f>'Production By Company'!D84</f>
        <v>79820.800000000003</v>
      </c>
      <c r="E3" s="68">
        <f>'Production By Company'!E84</f>
        <v>83884.159999999989</v>
      </c>
      <c r="F3" s="68">
        <f>'Production By Company'!F84</f>
        <v>88443.580000000016</v>
      </c>
      <c r="G3" s="68">
        <f>'Production By Company'!G84</f>
        <v>85541.46</v>
      </c>
      <c r="H3" s="68">
        <f>'Production By Company'!H84</f>
        <v>89705.079999999987</v>
      </c>
      <c r="I3" s="68">
        <f>'Production By Company'!M84</f>
        <v>93110.199999999983</v>
      </c>
      <c r="J3" s="68">
        <f>'Production By Company'!N84</f>
        <v>101458.20000000001</v>
      </c>
      <c r="K3" s="68">
        <f>'Production By Company'!O84</f>
        <v>103866.04</v>
      </c>
      <c r="L3" s="68">
        <f>'Production By Company'!P84</f>
        <v>105540.19</v>
      </c>
      <c r="M3" s="68">
        <f>'Production By Company'!Q84</f>
        <v>108543.37999999999</v>
      </c>
      <c r="N3" s="68">
        <f>'Production By Company'!R84</f>
        <v>110246.93000000001</v>
      </c>
      <c r="O3" s="68">
        <f>'Production By Company'!S84</f>
        <v>111099.50999999998</v>
      </c>
      <c r="P3" s="68">
        <f>'Production By Company'!T84</f>
        <v>112482.69999999998</v>
      </c>
      <c r="Q3" s="68">
        <f>'Production By Company'!U84</f>
        <v>113417.98</v>
      </c>
      <c r="R3" s="68">
        <f>'Production By Company'!V84</f>
        <v>113591.32</v>
      </c>
      <c r="S3" s="68">
        <f>'Production By Company'!W84</f>
        <v>113635.32</v>
      </c>
    </row>
    <row r="4" spans="1:20" x14ac:dyDescent="0.25">
      <c r="A4" s="67"/>
      <c r="B4" s="69">
        <f>B3/B2</f>
        <v>0.69055449682842174</v>
      </c>
      <c r="C4" s="69">
        <f t="shared" ref="C4:S4" si="0">C3/C2</f>
        <v>0.71293669348158251</v>
      </c>
      <c r="D4" s="69">
        <f t="shared" si="0"/>
        <v>0.7327984136018949</v>
      </c>
      <c r="E4" s="69">
        <f t="shared" si="0"/>
        <v>0.73284956710902205</v>
      </c>
      <c r="F4" s="69">
        <f t="shared" si="0"/>
        <v>0.76615655156880769</v>
      </c>
      <c r="G4" s="69">
        <f t="shared" si="0"/>
        <v>0.70729909625354515</v>
      </c>
      <c r="H4" s="69">
        <f t="shared" si="0"/>
        <v>0.72888885277603976</v>
      </c>
      <c r="I4" s="69">
        <f t="shared" si="0"/>
        <v>0.75532931508627321</v>
      </c>
      <c r="J4" s="69">
        <f t="shared" si="0"/>
        <v>0.76516787836737166</v>
      </c>
      <c r="K4" s="69">
        <f t="shared" si="0"/>
        <v>0.7833270988566774</v>
      </c>
      <c r="L4" s="69">
        <f t="shared" si="0"/>
        <v>0.7959530453407343</v>
      </c>
      <c r="M4" s="69">
        <f t="shared" si="0"/>
        <v>0.80763847138307676</v>
      </c>
      <c r="N4" s="69">
        <f t="shared" si="0"/>
        <v>0.82031407184737648</v>
      </c>
      <c r="O4" s="69">
        <f t="shared" si="0"/>
        <v>0.82665786184112611</v>
      </c>
      <c r="P4" s="69">
        <f t="shared" si="0"/>
        <v>0.83694976040953584</v>
      </c>
      <c r="Q4" s="69">
        <f t="shared" si="0"/>
        <v>0.84390889609809816</v>
      </c>
      <c r="R4" s="69">
        <f t="shared" si="0"/>
        <v>0.84519866662698295</v>
      </c>
      <c r="S4" s="69">
        <f t="shared" si="0"/>
        <v>0.84552605732313468</v>
      </c>
    </row>
    <row r="5" spans="1:20" x14ac:dyDescent="0.25">
      <c r="A5" s="67" t="s">
        <v>301</v>
      </c>
      <c r="B5" s="70">
        <f>Trade!B16</f>
        <v>24965.436000000002</v>
      </c>
      <c r="C5" s="70">
        <f>Trade!C16</f>
        <v>27993.243999999999</v>
      </c>
      <c r="D5" s="70">
        <f>Trade!D16</f>
        <v>28430.328000000001</v>
      </c>
      <c r="E5" s="70">
        <f>Trade!E16</f>
        <v>30810.688999999998</v>
      </c>
      <c r="F5" s="70">
        <f>Trade!F16</f>
        <v>35530.286</v>
      </c>
      <c r="G5" s="70">
        <f>Trade!G16</f>
        <v>33210.824999999997</v>
      </c>
      <c r="H5" s="70">
        <f>Trade!H16</f>
        <v>34048.641000000003</v>
      </c>
      <c r="I5" s="71">
        <v>0</v>
      </c>
      <c r="J5" s="71">
        <v>0</v>
      </c>
      <c r="K5" s="71">
        <v>0</v>
      </c>
      <c r="L5" s="71">
        <v>0</v>
      </c>
      <c r="M5" s="71">
        <v>0</v>
      </c>
      <c r="N5" s="71">
        <v>0</v>
      </c>
      <c r="O5" s="71">
        <v>0</v>
      </c>
      <c r="P5" s="71">
        <v>0</v>
      </c>
      <c r="Q5" s="71">
        <v>0</v>
      </c>
      <c r="R5" s="71">
        <v>0</v>
      </c>
      <c r="S5" s="71">
        <v>0</v>
      </c>
    </row>
    <row r="6" spans="1:20" x14ac:dyDescent="0.25">
      <c r="A6" s="67" t="s">
        <v>302</v>
      </c>
      <c r="B6" s="70">
        <f>B5</f>
        <v>24965.436000000002</v>
      </c>
      <c r="C6" s="70">
        <f t="shared" ref="C6:H6" si="1">C5</f>
        <v>27993.243999999999</v>
      </c>
      <c r="D6" s="70">
        <f t="shared" si="1"/>
        <v>28430.328000000001</v>
      </c>
      <c r="E6" s="70">
        <f t="shared" si="1"/>
        <v>30810.688999999998</v>
      </c>
      <c r="F6" s="70">
        <f t="shared" si="1"/>
        <v>35530.286</v>
      </c>
      <c r="G6" s="70">
        <f t="shared" si="1"/>
        <v>33210.824999999997</v>
      </c>
      <c r="H6" s="70">
        <f t="shared" si="1"/>
        <v>34048.641000000003</v>
      </c>
      <c r="I6" s="71">
        <v>0</v>
      </c>
      <c r="J6" s="71">
        <v>0</v>
      </c>
      <c r="K6" s="71">
        <v>0</v>
      </c>
      <c r="L6" s="71">
        <v>0</v>
      </c>
      <c r="M6" s="71">
        <v>0</v>
      </c>
      <c r="N6" s="71">
        <v>0</v>
      </c>
      <c r="O6" s="71">
        <v>0</v>
      </c>
      <c r="P6" s="71">
        <v>0</v>
      </c>
      <c r="Q6" s="71">
        <v>0</v>
      </c>
      <c r="R6" s="71">
        <v>0</v>
      </c>
      <c r="S6" s="71">
        <v>0</v>
      </c>
    </row>
    <row r="7" spans="1:20" x14ac:dyDescent="0.25">
      <c r="A7" s="67" t="s">
        <v>303</v>
      </c>
      <c r="B7" s="68">
        <f>B3*0.02</f>
        <v>1500.1744000000001</v>
      </c>
      <c r="C7" s="68">
        <f>C3*0.02</f>
        <v>1549.1544000000004</v>
      </c>
      <c r="D7" s="68">
        <f>D3*0.02</f>
        <v>1596.4160000000002</v>
      </c>
      <c r="E7" s="68">
        <f>E3*0.027</f>
        <v>2264.8723199999995</v>
      </c>
      <c r="F7" s="68">
        <f>F3*0.028</f>
        <v>2476.4202400000004</v>
      </c>
      <c r="G7" s="68">
        <f>G3*0.024</f>
        <v>2052.9950400000002</v>
      </c>
      <c r="H7" s="68">
        <f>H3*0.0265</f>
        <v>2377.1846199999995</v>
      </c>
      <c r="I7" s="71">
        <v>0</v>
      </c>
      <c r="J7" s="71">
        <v>0</v>
      </c>
      <c r="K7" s="71">
        <v>0</v>
      </c>
      <c r="L7" s="71">
        <v>0</v>
      </c>
      <c r="M7" s="71">
        <v>0</v>
      </c>
      <c r="N7" s="71">
        <v>0</v>
      </c>
      <c r="O7" s="71">
        <v>0</v>
      </c>
      <c r="P7" s="71">
        <v>0</v>
      </c>
      <c r="Q7" s="71">
        <v>0</v>
      </c>
      <c r="R7" s="71">
        <v>0</v>
      </c>
      <c r="S7" s="71">
        <v>0</v>
      </c>
    </row>
    <row r="8" spans="1:20" x14ac:dyDescent="0.25">
      <c r="A8" s="67" t="s">
        <v>304</v>
      </c>
      <c r="B8" s="68">
        <f t="shared" ref="B8:H8" si="2">ROUND(B3+B5-B6-B7,2)</f>
        <v>73508.55</v>
      </c>
      <c r="C8" s="68">
        <f t="shared" si="2"/>
        <v>75908.570000000007</v>
      </c>
      <c r="D8" s="68">
        <f t="shared" si="2"/>
        <v>78224.38</v>
      </c>
      <c r="E8" s="68">
        <f t="shared" si="2"/>
        <v>81619.289999999994</v>
      </c>
      <c r="F8" s="68">
        <f t="shared" si="2"/>
        <v>85967.16</v>
      </c>
      <c r="G8" s="68">
        <f t="shared" si="2"/>
        <v>83488.460000000006</v>
      </c>
      <c r="H8" s="68">
        <f t="shared" si="2"/>
        <v>87327.9</v>
      </c>
      <c r="I8" s="72">
        <f>H8+I9*H8</f>
        <v>90384.376499999998</v>
      </c>
      <c r="J8" s="72">
        <f t="shared" ref="J8:S8" si="3">I8+J9*I8</f>
        <v>93656.290929299998</v>
      </c>
      <c r="K8" s="72">
        <f t="shared" si="3"/>
        <v>97215.229984613397</v>
      </c>
      <c r="L8" s="72">
        <f t="shared" si="3"/>
        <v>101123.28222999486</v>
      </c>
      <c r="M8" s="72">
        <f t="shared" si="3"/>
        <v>105390.68474010064</v>
      </c>
      <c r="N8" s="72">
        <f t="shared" si="3"/>
        <v>109901.40604697695</v>
      </c>
      <c r="O8" s="72">
        <f t="shared" si="3"/>
        <v>114693.10735062514</v>
      </c>
      <c r="P8" s="72">
        <f t="shared" si="3"/>
        <v>119739.60407405265</v>
      </c>
      <c r="Q8" s="72">
        <f t="shared" si="3"/>
        <v>125079.9904157554</v>
      </c>
      <c r="R8" s="72">
        <f t="shared" si="3"/>
        <v>130783.63797871384</v>
      </c>
      <c r="S8" s="72">
        <f t="shared" si="3"/>
        <v>136851.99878092617</v>
      </c>
      <c r="T8" s="77">
        <f>(S8/I8)^(1/10)-1</f>
        <v>4.2355297279500936E-2</v>
      </c>
    </row>
    <row r="9" spans="1:20" x14ac:dyDescent="0.25">
      <c r="A9" s="73" t="s">
        <v>305</v>
      </c>
      <c r="B9" s="74">
        <v>0</v>
      </c>
      <c r="C9" s="74">
        <f>(C8/B8)-1</f>
        <v>3.2649535326162882E-2</v>
      </c>
      <c r="D9" s="74">
        <f t="shared" ref="D9:H9" si="4">(D8/C8)-1</f>
        <v>3.0507886000223694E-2</v>
      </c>
      <c r="E9" s="74">
        <f t="shared" si="4"/>
        <v>4.3399640879224544E-2</v>
      </c>
      <c r="F9" s="74">
        <f t="shared" si="4"/>
        <v>5.327012768672712E-2</v>
      </c>
      <c r="G9" s="74">
        <f t="shared" si="4"/>
        <v>-2.8833103245471836E-2</v>
      </c>
      <c r="H9" s="74">
        <f t="shared" si="4"/>
        <v>4.5987673026906872E-2</v>
      </c>
      <c r="I9" s="74">
        <v>3.5000000000000003E-2</v>
      </c>
      <c r="J9" s="74">
        <v>3.6200000000000003E-2</v>
      </c>
      <c r="K9" s="74">
        <v>3.7999999999999999E-2</v>
      </c>
      <c r="L9" s="74">
        <v>4.02E-2</v>
      </c>
      <c r="M9" s="74">
        <v>4.2200000000000001E-2</v>
      </c>
      <c r="N9" s="74">
        <v>4.2800000000000005E-2</v>
      </c>
      <c r="O9" s="74">
        <v>4.36E-2</v>
      </c>
      <c r="P9" s="74">
        <v>4.4000000000000004E-2</v>
      </c>
      <c r="Q9" s="74">
        <v>4.4600000000000001E-2</v>
      </c>
      <c r="R9" s="74">
        <v>4.5600000000000002E-2</v>
      </c>
      <c r="S9" s="74">
        <v>4.6400000000000004E-2</v>
      </c>
    </row>
    <row r="10" spans="1:20" x14ac:dyDescent="0.25">
      <c r="A10" s="67" t="s">
        <v>306</v>
      </c>
      <c r="B10" s="68">
        <v>0</v>
      </c>
      <c r="C10" s="68">
        <v>0</v>
      </c>
      <c r="D10" s="68">
        <v>0</v>
      </c>
      <c r="E10" s="68">
        <v>0</v>
      </c>
      <c r="F10" s="68">
        <v>0</v>
      </c>
      <c r="G10" s="68">
        <v>0</v>
      </c>
      <c r="H10" s="68">
        <v>0</v>
      </c>
      <c r="I10" s="68">
        <f t="shared" ref="I10:S10" si="5">I3-I8</f>
        <v>2725.8234999999841</v>
      </c>
      <c r="J10" s="68">
        <f t="shared" si="5"/>
        <v>7801.9090707000141</v>
      </c>
      <c r="K10" s="68">
        <f t="shared" si="5"/>
        <v>6650.8100153865962</v>
      </c>
      <c r="L10" s="68">
        <f t="shared" si="5"/>
        <v>4416.9077700051421</v>
      </c>
      <c r="M10" s="68">
        <f t="shared" si="5"/>
        <v>3152.6952598993521</v>
      </c>
      <c r="N10" s="68">
        <f t="shared" si="5"/>
        <v>345.52395302306104</v>
      </c>
      <c r="O10" s="68">
        <f t="shared" si="5"/>
        <v>-3593.5973506251612</v>
      </c>
      <c r="P10" s="68">
        <f t="shared" si="5"/>
        <v>-7256.9040740526689</v>
      </c>
      <c r="Q10" s="68">
        <f t="shared" si="5"/>
        <v>-11662.010415755401</v>
      </c>
      <c r="R10" s="68">
        <f t="shared" si="5"/>
        <v>-17192.317978713836</v>
      </c>
      <c r="S10" s="68">
        <f t="shared" si="5"/>
        <v>-23216.678780926159</v>
      </c>
    </row>
    <row r="11" spans="1:20" x14ac:dyDescent="0.25">
      <c r="A11" s="67" t="s">
        <v>297</v>
      </c>
      <c r="B11" s="76">
        <v>0.35</v>
      </c>
      <c r="C11" s="76">
        <v>0.31</v>
      </c>
      <c r="D11" s="76">
        <v>0.4</v>
      </c>
      <c r="E11" s="76">
        <v>0.45</v>
      </c>
      <c r="F11" s="76">
        <v>0.33</v>
      </c>
      <c r="G11" s="76">
        <v>0.28999999999999998</v>
      </c>
      <c r="H11" s="76">
        <v>0.42</v>
      </c>
      <c r="I11" s="76">
        <v>0.46</v>
      </c>
      <c r="J11" s="76">
        <v>0.47</v>
      </c>
      <c r="K11" s="76">
        <v>0.48</v>
      </c>
      <c r="L11" s="76">
        <v>0.49</v>
      </c>
      <c r="M11" s="76">
        <v>0.5</v>
      </c>
      <c r="N11" s="76">
        <v>0.51</v>
      </c>
      <c r="O11" s="76">
        <v>0.52</v>
      </c>
      <c r="P11" s="76">
        <v>0.53</v>
      </c>
      <c r="Q11" s="76">
        <v>0.54</v>
      </c>
      <c r="R11" s="68">
        <v>0.55000000000000004</v>
      </c>
      <c r="S11" s="68">
        <v>0.56000000000000005</v>
      </c>
    </row>
    <row r="12" spans="1:20" x14ac:dyDescent="0.25">
      <c r="A12" s="67" t="s">
        <v>298</v>
      </c>
      <c r="B12" s="70">
        <f>ROUND(B11*B8,2)</f>
        <v>25727.99</v>
      </c>
      <c r="C12" s="70">
        <f t="shared" ref="C12:S12" si="6">ROUND(C11*C8,2)</f>
        <v>23531.66</v>
      </c>
      <c r="D12" s="70">
        <f t="shared" si="6"/>
        <v>31289.75</v>
      </c>
      <c r="E12" s="70">
        <f t="shared" si="6"/>
        <v>36728.68</v>
      </c>
      <c r="F12" s="70">
        <f t="shared" si="6"/>
        <v>28369.16</v>
      </c>
      <c r="G12" s="70">
        <f t="shared" si="6"/>
        <v>24211.65</v>
      </c>
      <c r="H12" s="70">
        <f t="shared" si="6"/>
        <v>36677.72</v>
      </c>
      <c r="I12" s="70">
        <f t="shared" si="6"/>
        <v>41576.81</v>
      </c>
      <c r="J12" s="70">
        <f t="shared" si="6"/>
        <v>44018.46</v>
      </c>
      <c r="K12" s="70">
        <f t="shared" si="6"/>
        <v>46663.31</v>
      </c>
      <c r="L12" s="70">
        <f t="shared" si="6"/>
        <v>49550.41</v>
      </c>
      <c r="M12" s="70">
        <f t="shared" si="6"/>
        <v>52695.34</v>
      </c>
      <c r="N12" s="70">
        <f t="shared" si="6"/>
        <v>56049.72</v>
      </c>
      <c r="O12" s="70">
        <f t="shared" si="6"/>
        <v>59640.42</v>
      </c>
      <c r="P12" s="70">
        <f t="shared" si="6"/>
        <v>63461.99</v>
      </c>
      <c r="Q12" s="70">
        <f t="shared" si="6"/>
        <v>67543.19</v>
      </c>
      <c r="R12" s="70">
        <f t="shared" si="6"/>
        <v>71931</v>
      </c>
      <c r="S12" s="70">
        <f t="shared" si="6"/>
        <v>76637.119999999995</v>
      </c>
    </row>
    <row r="15" spans="1:20" x14ac:dyDescent="0.25">
      <c r="A15" s="137" t="s">
        <v>331</v>
      </c>
      <c r="B15">
        <v>346</v>
      </c>
      <c r="C15">
        <v>308</v>
      </c>
      <c r="D15">
        <v>396</v>
      </c>
      <c r="E15">
        <v>452</v>
      </c>
      <c r="F15">
        <v>334</v>
      </c>
      <c r="G15">
        <v>293</v>
      </c>
      <c r="H15">
        <v>420</v>
      </c>
      <c r="I15">
        <v>458</v>
      </c>
      <c r="J15" s="75"/>
    </row>
    <row r="16" spans="1:20" x14ac:dyDescent="0.25">
      <c r="A16" s="137" t="s">
        <v>332</v>
      </c>
      <c r="B16">
        <f>ROUND(B15/1000,2)</f>
        <v>0.35</v>
      </c>
      <c r="C16">
        <f t="shared" ref="C16:I16" si="7">ROUND(C15/1000,2)</f>
        <v>0.31</v>
      </c>
      <c r="D16">
        <f t="shared" si="7"/>
        <v>0.4</v>
      </c>
      <c r="E16">
        <f t="shared" si="7"/>
        <v>0.45</v>
      </c>
      <c r="F16">
        <f t="shared" si="7"/>
        <v>0.33</v>
      </c>
      <c r="G16">
        <f t="shared" si="7"/>
        <v>0.28999999999999998</v>
      </c>
      <c r="H16">
        <f t="shared" si="7"/>
        <v>0.42</v>
      </c>
      <c r="I16">
        <f t="shared" si="7"/>
        <v>0.46</v>
      </c>
      <c r="J16">
        <f>ROUND(I16+I16*J17,2)</f>
        <v>0.47</v>
      </c>
      <c r="K16">
        <f t="shared" ref="K16:S16" si="8">ROUND(J16+J16*K17,2)</f>
        <v>0.48</v>
      </c>
      <c r="L16">
        <f t="shared" si="8"/>
        <v>0.49</v>
      </c>
      <c r="M16">
        <f t="shared" si="8"/>
        <v>0.5</v>
      </c>
      <c r="N16">
        <f t="shared" si="8"/>
        <v>0.51</v>
      </c>
      <c r="O16">
        <f t="shared" si="8"/>
        <v>0.52</v>
      </c>
      <c r="P16">
        <f t="shared" si="8"/>
        <v>0.53</v>
      </c>
      <c r="Q16">
        <f t="shared" si="8"/>
        <v>0.54</v>
      </c>
      <c r="R16">
        <f t="shared" si="8"/>
        <v>0.55000000000000004</v>
      </c>
      <c r="S16">
        <f t="shared" si="8"/>
        <v>0.56000000000000005</v>
      </c>
    </row>
    <row r="17" spans="10:19" x14ac:dyDescent="0.25">
      <c r="J17" s="75">
        <v>2.3099999999999999E-2</v>
      </c>
      <c r="K17" s="75">
        <v>1.3399999999999995E-2</v>
      </c>
      <c r="L17" s="75">
        <v>1.4224054821563316E-2</v>
      </c>
      <c r="M17" s="75">
        <v>1.5098786236331242E-2</v>
      </c>
      <c r="N17" s="75">
        <v>1.6027310683928455E-2</v>
      </c>
      <c r="O17" s="75">
        <v>1.7012936254509392E-2</v>
      </c>
      <c r="P17" s="75">
        <v>1.8059174474619685E-2</v>
      </c>
      <c r="Q17" s="75">
        <v>1.9169752817848308E-2</v>
      </c>
      <c r="R17" s="75">
        <v>2.0348627984842705E-2</v>
      </c>
      <c r="S17" s="75">
        <v>2.1600000000000012E-2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D1033-857C-4A1A-B4CA-54A410FE656C}">
  <dimension ref="A1:R9"/>
  <sheetViews>
    <sheetView workbookViewId="0">
      <selection activeCell="R2" sqref="R2:R9"/>
    </sheetView>
  </sheetViews>
  <sheetFormatPr defaultRowHeight="15" x14ac:dyDescent="0.25"/>
  <cols>
    <col min="5" max="5" width="12" bestFit="1" customWidth="1"/>
    <col min="14" max="14" width="14" bestFit="1" customWidth="1"/>
    <col min="16" max="16" width="7" bestFit="1" customWidth="1"/>
  </cols>
  <sheetData>
    <row r="1" spans="1:18" x14ac:dyDescent="0.25">
      <c r="B1" t="s">
        <v>33</v>
      </c>
      <c r="C1" t="s">
        <v>238</v>
      </c>
      <c r="D1" t="s">
        <v>78</v>
      </c>
      <c r="E1" t="s">
        <v>115</v>
      </c>
      <c r="F1" t="s">
        <v>101</v>
      </c>
      <c r="H1" t="s">
        <v>317</v>
      </c>
      <c r="I1" t="s">
        <v>100</v>
      </c>
      <c r="J1" t="s">
        <v>77</v>
      </c>
      <c r="K1" t="s">
        <v>114</v>
      </c>
      <c r="M1" t="s">
        <v>317</v>
      </c>
      <c r="N1" t="s">
        <v>100</v>
      </c>
      <c r="O1" t="s">
        <v>77</v>
      </c>
      <c r="P1" t="s">
        <v>114</v>
      </c>
      <c r="R1" t="s">
        <v>297</v>
      </c>
    </row>
    <row r="2" spans="1:18" x14ac:dyDescent="0.25">
      <c r="A2">
        <v>2015</v>
      </c>
      <c r="B2">
        <v>338</v>
      </c>
      <c r="C2">
        <v>223</v>
      </c>
      <c r="D2">
        <v>275</v>
      </c>
      <c r="E2">
        <v>312</v>
      </c>
      <c r="F2">
        <v>365</v>
      </c>
      <c r="H2">
        <f>ROUND(B2*0.04+B2,0)</f>
        <v>352</v>
      </c>
      <c r="I2">
        <f>ROUND(F2*0.0347+F2,0)</f>
        <v>378</v>
      </c>
      <c r="J2">
        <f>ROUND(D2*0.03524+D2,0)</f>
        <v>285</v>
      </c>
      <c r="K2">
        <f>ROUND(E2*0.02671+E2,)</f>
        <v>320</v>
      </c>
      <c r="M2">
        <v>0.65140000000000009</v>
      </c>
      <c r="N2">
        <v>0.15229999999999999</v>
      </c>
      <c r="O2">
        <v>0.12369999999999999</v>
      </c>
      <c r="P2">
        <v>4.1599999999999998E-2</v>
      </c>
      <c r="R2">
        <f>ROUND((M2*H2+N2*I2+O2*J2+P2*K2)/SUM(M2:P2),0)</f>
        <v>346</v>
      </c>
    </row>
    <row r="3" spans="1:18" x14ac:dyDescent="0.25">
      <c r="A3">
        <v>2016</v>
      </c>
      <c r="B3">
        <v>285</v>
      </c>
      <c r="C3">
        <v>267</v>
      </c>
      <c r="D3">
        <v>310</v>
      </c>
      <c r="E3">
        <v>355</v>
      </c>
      <c r="F3">
        <v>323</v>
      </c>
      <c r="H3">
        <f t="shared" ref="H3:H8" si="0">ROUND(B3*0.04+B3,0)</f>
        <v>296</v>
      </c>
      <c r="I3">
        <f t="shared" ref="I3:I7" si="1">ROUND(F3*0.0347+F3,0)</f>
        <v>334</v>
      </c>
      <c r="J3">
        <f t="shared" ref="J3:J8" si="2">ROUND(D3*0.03524+D3,0)</f>
        <v>321</v>
      </c>
      <c r="K3">
        <f t="shared" ref="K3:K8" si="3">ROUND(E3*0.02671+E3,)</f>
        <v>364</v>
      </c>
      <c r="M3">
        <v>0.65220000000000011</v>
      </c>
      <c r="N3">
        <v>0.1517</v>
      </c>
      <c r="O3">
        <v>0.12319999999999999</v>
      </c>
      <c r="P3">
        <v>4.2499999999999996E-2</v>
      </c>
      <c r="R3">
        <f t="shared" ref="R3:R9" si="4">ROUND((M3*H3+N3*I3+O3*J3+P3*K3)/SUM(M3:P3),0)</f>
        <v>308</v>
      </c>
    </row>
    <row r="4" spans="1:18" x14ac:dyDescent="0.25">
      <c r="A4">
        <v>2017</v>
      </c>
      <c r="B4">
        <v>375</v>
      </c>
      <c r="C4">
        <v>329</v>
      </c>
      <c r="D4">
        <v>365</v>
      </c>
      <c r="E4">
        <v>381</v>
      </c>
      <c r="F4">
        <v>421</v>
      </c>
      <c r="H4">
        <f t="shared" si="0"/>
        <v>390</v>
      </c>
      <c r="I4">
        <f t="shared" si="1"/>
        <v>436</v>
      </c>
      <c r="J4">
        <f t="shared" si="2"/>
        <v>378</v>
      </c>
      <c r="K4">
        <f t="shared" si="3"/>
        <v>391</v>
      </c>
      <c r="M4">
        <v>0.65370000000000006</v>
      </c>
      <c r="N4">
        <v>0.15139999999999998</v>
      </c>
      <c r="O4">
        <v>0.12299999999999998</v>
      </c>
      <c r="P4">
        <v>4.3200000000000002E-2</v>
      </c>
      <c r="R4">
        <f t="shared" si="4"/>
        <v>396</v>
      </c>
    </row>
    <row r="5" spans="1:18" x14ac:dyDescent="0.25">
      <c r="A5">
        <v>2018</v>
      </c>
      <c r="B5">
        <v>455</v>
      </c>
      <c r="C5">
        <v>404</v>
      </c>
      <c r="D5">
        <v>432</v>
      </c>
      <c r="E5">
        <v>403</v>
      </c>
      <c r="F5">
        <v>362</v>
      </c>
      <c r="H5">
        <f t="shared" si="0"/>
        <v>473</v>
      </c>
      <c r="I5">
        <f t="shared" si="1"/>
        <v>375</v>
      </c>
      <c r="J5">
        <f t="shared" si="2"/>
        <v>447</v>
      </c>
      <c r="K5">
        <f t="shared" si="3"/>
        <v>414</v>
      </c>
      <c r="M5">
        <v>0.65520000000000012</v>
      </c>
      <c r="N5">
        <v>0.15060000000000001</v>
      </c>
      <c r="O5">
        <v>0.12249999999999998</v>
      </c>
      <c r="P5">
        <v>4.3700000000000003E-2</v>
      </c>
      <c r="R5">
        <f t="shared" si="4"/>
        <v>452</v>
      </c>
    </row>
    <row r="6" spans="1:18" x14ac:dyDescent="0.25">
      <c r="A6">
        <v>2019</v>
      </c>
      <c r="B6">
        <v>341</v>
      </c>
      <c r="C6">
        <v>273</v>
      </c>
      <c r="D6">
        <v>299</v>
      </c>
      <c r="E6">
        <v>281</v>
      </c>
      <c r="F6">
        <v>267</v>
      </c>
      <c r="H6">
        <f t="shared" si="0"/>
        <v>355</v>
      </c>
      <c r="I6">
        <f t="shared" si="1"/>
        <v>276</v>
      </c>
      <c r="J6">
        <f t="shared" si="2"/>
        <v>310</v>
      </c>
      <c r="K6">
        <f t="shared" si="3"/>
        <v>289</v>
      </c>
      <c r="M6">
        <v>0.65730000000000011</v>
      </c>
      <c r="N6">
        <v>0.15039999999999998</v>
      </c>
      <c r="O6">
        <v>0.12230000000000001</v>
      </c>
      <c r="P6">
        <v>4.4599999999999987E-2</v>
      </c>
      <c r="R6">
        <f t="shared" si="4"/>
        <v>334</v>
      </c>
    </row>
    <row r="7" spans="1:18" x14ac:dyDescent="0.25">
      <c r="A7">
        <v>2020</v>
      </c>
      <c r="B7">
        <v>301</v>
      </c>
      <c r="C7">
        <v>248</v>
      </c>
      <c r="D7">
        <v>272</v>
      </c>
      <c r="E7">
        <v>226</v>
      </c>
      <c r="F7">
        <v>226</v>
      </c>
      <c r="H7">
        <f t="shared" si="0"/>
        <v>313</v>
      </c>
      <c r="I7">
        <f t="shared" si="1"/>
        <v>234</v>
      </c>
      <c r="J7">
        <f>ROUND(D7*0.02524+D7,0)</f>
        <v>279</v>
      </c>
      <c r="K7">
        <f t="shared" si="3"/>
        <v>232</v>
      </c>
      <c r="M7">
        <v>0.65400000000000014</v>
      </c>
      <c r="N7">
        <v>0.1492</v>
      </c>
      <c r="O7">
        <v>0.12180000000000001</v>
      </c>
      <c r="P7">
        <v>4.5099999999999987E-2</v>
      </c>
      <c r="R7">
        <f t="shared" si="4"/>
        <v>293</v>
      </c>
    </row>
    <row r="8" spans="1:18" x14ac:dyDescent="0.25">
      <c r="A8">
        <v>2021</v>
      </c>
      <c r="B8">
        <v>392</v>
      </c>
      <c r="C8">
        <v>436</v>
      </c>
      <c r="D8">
        <v>461</v>
      </c>
      <c r="E8">
        <v>311</v>
      </c>
      <c r="F8">
        <v>436</v>
      </c>
      <c r="H8">
        <f t="shared" si="0"/>
        <v>408</v>
      </c>
      <c r="I8">
        <f>ROUND(F8*0.0447+F8,0)</f>
        <v>455</v>
      </c>
      <c r="J8">
        <f t="shared" si="2"/>
        <v>477</v>
      </c>
      <c r="K8">
        <f t="shared" si="3"/>
        <v>319</v>
      </c>
      <c r="M8">
        <v>0.65820000000000012</v>
      </c>
      <c r="N8">
        <v>0.14850000000000002</v>
      </c>
      <c r="O8">
        <v>0.1216</v>
      </c>
      <c r="P8">
        <v>4.5499999999999999E-2</v>
      </c>
      <c r="R8">
        <f t="shared" si="4"/>
        <v>420</v>
      </c>
    </row>
    <row r="9" spans="1:18" x14ac:dyDescent="0.25">
      <c r="A9">
        <v>2022</v>
      </c>
      <c r="H9">
        <v>421</v>
      </c>
      <c r="I9">
        <v>590</v>
      </c>
      <c r="J9">
        <v>525</v>
      </c>
      <c r="K9">
        <v>390</v>
      </c>
      <c r="M9">
        <v>0.66080000000000005</v>
      </c>
      <c r="N9">
        <v>0.1482</v>
      </c>
      <c r="O9">
        <v>0.12119999999999999</v>
      </c>
      <c r="P9">
        <v>4.6200000000000005E-2</v>
      </c>
      <c r="R9">
        <f t="shared" si="4"/>
        <v>458</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BF660B-50C4-4410-80A0-129934C94F98}">
  <dimension ref="B1:Y32"/>
  <sheetViews>
    <sheetView topLeftCell="G1" workbookViewId="0">
      <selection activeCell="Y11" sqref="Y11"/>
    </sheetView>
  </sheetViews>
  <sheetFormatPr defaultRowHeight="15" x14ac:dyDescent="0.25"/>
  <cols>
    <col min="2" max="2" width="22.7109375" bestFit="1" customWidth="1"/>
  </cols>
  <sheetData>
    <row r="1" spans="2:25" x14ac:dyDescent="0.25">
      <c r="B1" s="78" t="s">
        <v>308</v>
      </c>
      <c r="C1" s="79">
        <v>2015</v>
      </c>
      <c r="D1" s="79">
        <v>2016</v>
      </c>
      <c r="E1" s="80">
        <v>2017</v>
      </c>
      <c r="F1" s="80">
        <v>2018</v>
      </c>
      <c r="G1" s="81" t="s">
        <v>309</v>
      </c>
      <c r="H1" s="81" t="s">
        <v>310</v>
      </c>
      <c r="I1" s="81" t="s">
        <v>311</v>
      </c>
      <c r="J1" s="82" t="s">
        <v>327</v>
      </c>
      <c r="K1" s="82" t="s">
        <v>328</v>
      </c>
      <c r="L1" s="82" t="s">
        <v>329</v>
      </c>
      <c r="M1" s="82" t="s">
        <v>330</v>
      </c>
      <c r="N1" s="82" t="s">
        <v>9</v>
      </c>
      <c r="O1" s="81" t="s">
        <v>10</v>
      </c>
      <c r="P1" s="81" t="s">
        <v>11</v>
      </c>
      <c r="Q1" s="81" t="s">
        <v>12</v>
      </c>
      <c r="R1" s="81" t="s">
        <v>13</v>
      </c>
      <c r="S1" s="81" t="s">
        <v>14</v>
      </c>
      <c r="T1" s="81" t="s">
        <v>15</v>
      </c>
      <c r="U1" s="81" t="s">
        <v>16</v>
      </c>
      <c r="V1" s="83" t="s">
        <v>17</v>
      </c>
      <c r="W1" s="82" t="s">
        <v>293</v>
      </c>
      <c r="X1" s="82" t="s">
        <v>294</v>
      </c>
    </row>
    <row r="2" spans="2:25" x14ac:dyDescent="0.25">
      <c r="B2" s="6" t="s">
        <v>307</v>
      </c>
      <c r="C2" s="87">
        <v>0.27169999999999994</v>
      </c>
      <c r="D2" s="87">
        <v>0.27349999999999997</v>
      </c>
      <c r="E2" s="87">
        <v>0.27439999999999998</v>
      </c>
      <c r="F2" s="87">
        <v>0.27639999999999998</v>
      </c>
      <c r="G2" s="87">
        <v>0.2772</v>
      </c>
      <c r="H2" s="88">
        <v>0.27639999999999998</v>
      </c>
      <c r="I2" s="87">
        <v>0.2782</v>
      </c>
      <c r="J2" s="117">
        <v>0.2426000581570438</v>
      </c>
      <c r="K2" s="117">
        <v>0.2495</v>
      </c>
      <c r="L2" s="117">
        <v>0.25409999999999999</v>
      </c>
      <c r="M2" s="117">
        <f>1-SUM(J2:L2)</f>
        <v>0.25379994184295618</v>
      </c>
      <c r="N2" s="87">
        <v>0.28039999999999998</v>
      </c>
      <c r="O2" s="87">
        <v>0.28120000000000001</v>
      </c>
      <c r="P2" s="87">
        <v>0.28320000000000001</v>
      </c>
      <c r="Q2" s="87">
        <v>0.28439999999999999</v>
      </c>
      <c r="R2" s="87">
        <v>0.2848</v>
      </c>
      <c r="S2" s="87">
        <v>0.28520000000000001</v>
      </c>
      <c r="T2" s="87">
        <v>0.28560000000000002</v>
      </c>
      <c r="U2" s="87">
        <v>0.28599999999999998</v>
      </c>
      <c r="V2" s="89">
        <v>0.28639999999999999</v>
      </c>
      <c r="W2" s="89">
        <v>0.28660000000000002</v>
      </c>
      <c r="X2" s="89">
        <v>0.28699999999999998</v>
      </c>
    </row>
    <row r="3" spans="2:25" x14ac:dyDescent="0.25">
      <c r="B3" s="6" t="s">
        <v>312</v>
      </c>
      <c r="C3" s="89">
        <v>0.22020000000000001</v>
      </c>
      <c r="D3" s="89">
        <v>0.22089999999999999</v>
      </c>
      <c r="E3" s="89">
        <v>0.22120000000000001</v>
      </c>
      <c r="F3" s="89">
        <v>0.22239999999999999</v>
      </c>
      <c r="G3" s="89">
        <v>0.2228</v>
      </c>
      <c r="H3" s="90">
        <v>0.22220000000000001</v>
      </c>
      <c r="I3" s="89">
        <v>0.22339999999999999</v>
      </c>
      <c r="J3" s="117">
        <v>0.23569987509499013</v>
      </c>
      <c r="K3" s="117">
        <v>0.2492</v>
      </c>
      <c r="L3" s="117">
        <v>0.25559999999999999</v>
      </c>
      <c r="M3" s="117">
        <f t="shared" ref="M3:M6" si="0">1-SUM(J3:L3)</f>
        <v>0.25950012490500995</v>
      </c>
      <c r="N3" s="89">
        <v>0.22359999999999999</v>
      </c>
      <c r="O3" s="89">
        <v>0.22420000000000001</v>
      </c>
      <c r="P3" s="89">
        <v>0.22450000000000001</v>
      </c>
      <c r="Q3" s="89">
        <v>0.22470000000000001</v>
      </c>
      <c r="R3" s="89">
        <v>0.22500000000000001</v>
      </c>
      <c r="S3" s="89">
        <v>0.22539999999999999</v>
      </c>
      <c r="T3" s="89">
        <v>0.2258</v>
      </c>
      <c r="U3" s="89">
        <v>0.22600000000000001</v>
      </c>
      <c r="V3" s="89">
        <v>0.22639999999999999</v>
      </c>
      <c r="W3" s="89">
        <v>0.2266</v>
      </c>
      <c r="X3" s="89">
        <v>0.22700000000000001</v>
      </c>
    </row>
    <row r="4" spans="2:25" x14ac:dyDescent="0.25">
      <c r="B4" s="6" t="s">
        <v>313</v>
      </c>
      <c r="C4" s="89">
        <v>0.13</v>
      </c>
      <c r="D4" s="89">
        <v>0.13069999999999998</v>
      </c>
      <c r="E4" s="89">
        <v>0.13099999999999998</v>
      </c>
      <c r="F4" s="89">
        <v>0.13219999999999998</v>
      </c>
      <c r="G4" s="89">
        <v>0.1326</v>
      </c>
      <c r="H4" s="90">
        <v>0.13199999999999998</v>
      </c>
      <c r="I4" s="89">
        <v>0.1326</v>
      </c>
      <c r="J4" s="117">
        <v>0.24820001315957857</v>
      </c>
      <c r="K4" s="117">
        <v>0.24929999999999999</v>
      </c>
      <c r="L4" s="117">
        <v>0.251</v>
      </c>
      <c r="M4" s="117">
        <f t="shared" si="0"/>
        <v>0.25149998684042141</v>
      </c>
      <c r="N4" s="89">
        <v>0.13320000000000001</v>
      </c>
      <c r="O4" s="89">
        <v>0.1336</v>
      </c>
      <c r="P4" s="89">
        <v>0.13400000000000001</v>
      </c>
      <c r="Q4" s="89">
        <v>0.13420000000000001</v>
      </c>
      <c r="R4" s="89">
        <v>0.13439999999999999</v>
      </c>
      <c r="S4" s="89">
        <v>0.13450000000000001</v>
      </c>
      <c r="T4" s="89">
        <v>0.13469999999999999</v>
      </c>
      <c r="U4" s="89">
        <v>0.1348</v>
      </c>
      <c r="V4" s="89">
        <v>0.13500000000000001</v>
      </c>
      <c r="W4" s="89">
        <v>0.13519999999999999</v>
      </c>
      <c r="X4" s="89">
        <v>0.13539999999999999</v>
      </c>
      <c r="Y4" s="91"/>
    </row>
    <row r="5" spans="2:25" x14ac:dyDescent="0.25">
      <c r="B5" s="6" t="s">
        <v>314</v>
      </c>
      <c r="C5" s="89">
        <v>0.14979999999999999</v>
      </c>
      <c r="D5" s="89">
        <v>0.15049999999999999</v>
      </c>
      <c r="E5" s="89">
        <v>0.15079999999999999</v>
      </c>
      <c r="F5" s="89">
        <v>0.152</v>
      </c>
      <c r="G5" s="89">
        <v>0.15239999999999998</v>
      </c>
      <c r="H5" s="90">
        <v>0.15179999999999999</v>
      </c>
      <c r="I5" s="89">
        <v>0.153</v>
      </c>
      <c r="J5" s="117">
        <v>0.24269995089540719</v>
      </c>
      <c r="K5" s="117">
        <v>0.24970000000000001</v>
      </c>
      <c r="L5" s="117">
        <v>0.25309999999999999</v>
      </c>
      <c r="M5" s="117">
        <f t="shared" si="0"/>
        <v>0.25450004910459278</v>
      </c>
      <c r="N5" s="89">
        <v>0.15359999999999999</v>
      </c>
      <c r="O5" s="89">
        <v>0.15419999999999998</v>
      </c>
      <c r="P5" s="89">
        <v>0.15479999999999999</v>
      </c>
      <c r="Q5" s="89">
        <v>0.15519999999999998</v>
      </c>
      <c r="R5" s="89">
        <v>0.15579999999999999</v>
      </c>
      <c r="S5" s="89">
        <v>0.15629999999999999</v>
      </c>
      <c r="T5" s="89">
        <v>0.15659999999999999</v>
      </c>
      <c r="U5" s="89">
        <v>0.157</v>
      </c>
      <c r="V5" s="89">
        <v>0.15720000000000001</v>
      </c>
      <c r="W5" s="89">
        <v>0.15759999999999999</v>
      </c>
      <c r="X5" s="89">
        <v>0.1578</v>
      </c>
    </row>
    <row r="6" spans="2:25" x14ac:dyDescent="0.25">
      <c r="B6" s="6" t="s">
        <v>32</v>
      </c>
      <c r="C6" s="86">
        <f>1-SUM(C2:C5)</f>
        <v>0.22830000000000017</v>
      </c>
      <c r="D6" s="86">
        <f t="shared" ref="D6:X6" si="1">1-SUM(D2:D5)</f>
        <v>0.22440000000000004</v>
      </c>
      <c r="E6" s="86">
        <f t="shared" si="1"/>
        <v>0.22260000000000013</v>
      </c>
      <c r="F6" s="86">
        <f t="shared" si="1"/>
        <v>0.21699999999999997</v>
      </c>
      <c r="G6" s="86">
        <f t="shared" si="1"/>
        <v>0.21499999999999997</v>
      </c>
      <c r="H6" s="86">
        <f t="shared" si="1"/>
        <v>0.21760000000000002</v>
      </c>
      <c r="I6" s="86">
        <f t="shared" si="1"/>
        <v>0.21279999999999988</v>
      </c>
      <c r="J6" s="117">
        <v>0.24709999999999999</v>
      </c>
      <c r="K6" s="117">
        <v>0.24970000000000001</v>
      </c>
      <c r="L6" s="117">
        <v>0.25309999999999999</v>
      </c>
      <c r="M6" s="117">
        <f t="shared" si="0"/>
        <v>0.25009999999999999</v>
      </c>
      <c r="N6" s="86">
        <f t="shared" si="1"/>
        <v>0.20920000000000005</v>
      </c>
      <c r="O6" s="86">
        <f t="shared" si="1"/>
        <v>0.20679999999999998</v>
      </c>
      <c r="P6" s="86">
        <f t="shared" si="1"/>
        <v>0.20350000000000001</v>
      </c>
      <c r="Q6" s="86">
        <f t="shared" si="1"/>
        <v>0.20150000000000001</v>
      </c>
      <c r="R6" s="86">
        <f t="shared" si="1"/>
        <v>0.19999999999999996</v>
      </c>
      <c r="S6" s="86">
        <f t="shared" si="1"/>
        <v>0.1986</v>
      </c>
      <c r="T6" s="86">
        <f t="shared" si="1"/>
        <v>0.19729999999999992</v>
      </c>
      <c r="U6" s="86">
        <f t="shared" si="1"/>
        <v>0.19619999999999993</v>
      </c>
      <c r="V6" s="86">
        <f t="shared" si="1"/>
        <v>0.19500000000000006</v>
      </c>
      <c r="W6" s="86">
        <f t="shared" si="1"/>
        <v>0.19400000000000006</v>
      </c>
      <c r="X6" s="86">
        <f t="shared" si="1"/>
        <v>0.19280000000000008</v>
      </c>
    </row>
    <row r="8" spans="2:25" x14ac:dyDescent="0.25">
      <c r="B8" s="78" t="s">
        <v>316</v>
      </c>
      <c r="C8" s="92">
        <v>2015</v>
      </c>
      <c r="D8" s="92">
        <v>2016</v>
      </c>
      <c r="E8" s="93">
        <v>2017</v>
      </c>
      <c r="F8" s="93">
        <v>2018</v>
      </c>
      <c r="G8" s="94" t="s">
        <v>309</v>
      </c>
      <c r="H8" s="94" t="s">
        <v>310</v>
      </c>
      <c r="I8" s="94" t="s">
        <v>311</v>
      </c>
      <c r="J8" s="82" t="s">
        <v>327</v>
      </c>
      <c r="K8" s="82" t="s">
        <v>328</v>
      </c>
      <c r="L8" s="82" t="s">
        <v>329</v>
      </c>
      <c r="M8" s="82" t="s">
        <v>330</v>
      </c>
      <c r="N8" s="82" t="s">
        <v>9</v>
      </c>
      <c r="O8" s="94" t="s">
        <v>10</v>
      </c>
      <c r="P8" s="94" t="s">
        <v>11</v>
      </c>
      <c r="Q8" s="94" t="s">
        <v>12</v>
      </c>
      <c r="R8" s="94" t="s">
        <v>13</v>
      </c>
      <c r="S8" s="94" t="s">
        <v>14</v>
      </c>
      <c r="T8" s="94" t="s">
        <v>15</v>
      </c>
      <c r="U8" s="94" t="s">
        <v>16</v>
      </c>
      <c r="V8" s="95" t="s">
        <v>17</v>
      </c>
      <c r="W8" s="82" t="s">
        <v>293</v>
      </c>
      <c r="X8" s="82" t="s">
        <v>294</v>
      </c>
    </row>
    <row r="9" spans="2:25" x14ac:dyDescent="0.25">
      <c r="B9" s="6" t="s">
        <v>307</v>
      </c>
      <c r="C9" s="22">
        <f>ROUND(C2*'Demand Supply gap'!B$8,2)</f>
        <v>19972.27</v>
      </c>
      <c r="D9" s="22">
        <f>ROUND(D2*'Demand Supply gap'!C$8,2)</f>
        <v>20760.990000000002</v>
      </c>
      <c r="E9" s="22">
        <f>ROUND(E2*'Demand Supply gap'!D$8,2)</f>
        <v>21464.77</v>
      </c>
      <c r="F9" s="22">
        <f>ROUND(F2*'Demand Supply gap'!E$8,2)</f>
        <v>22559.57</v>
      </c>
      <c r="G9" s="22">
        <f>ROUND(G2*'Demand Supply gap'!F$8,2)</f>
        <v>23830.1</v>
      </c>
      <c r="H9" s="22">
        <f>ROUND(H2*'Demand Supply gap'!G$8,2)</f>
        <v>23076.21</v>
      </c>
      <c r="I9" s="22">
        <f>ROUND(I2*'Demand Supply gap'!H$8,2)</f>
        <v>24294.62</v>
      </c>
      <c r="J9" s="114">
        <f>ROUND(J2*$N9,2)</f>
        <v>6148.4</v>
      </c>
      <c r="K9" s="114">
        <f t="shared" ref="K9:L9" si="2">ROUND(K2*$N9,2)</f>
        <v>6323.27</v>
      </c>
      <c r="L9" s="114">
        <f t="shared" si="2"/>
        <v>6439.85</v>
      </c>
      <c r="M9" s="114">
        <f>N9-SUM(J9:L9)</f>
        <v>6432.2599999999984</v>
      </c>
      <c r="N9" s="22">
        <f>ROUND(N2*'Demand Supply gap'!I$8,2)</f>
        <v>25343.78</v>
      </c>
      <c r="O9" s="22">
        <f>ROUND(O2*'Demand Supply gap'!J$8,2)</f>
        <v>26336.15</v>
      </c>
      <c r="P9" s="22">
        <f>ROUND(P2*'Demand Supply gap'!K$8,2)</f>
        <v>27531.35</v>
      </c>
      <c r="Q9" s="22">
        <f>ROUND(Q2*'Demand Supply gap'!L$8,2)</f>
        <v>28759.46</v>
      </c>
      <c r="R9" s="22">
        <f>ROUND(R2*'Demand Supply gap'!M$8,2)</f>
        <v>30015.27</v>
      </c>
      <c r="S9" s="22">
        <f>ROUND(S2*'Demand Supply gap'!N$8,2)</f>
        <v>31343.88</v>
      </c>
      <c r="T9" s="22">
        <f>ROUND(T2*'Demand Supply gap'!O$8,2)</f>
        <v>32756.35</v>
      </c>
      <c r="U9" s="22">
        <f>ROUND(U2*'Demand Supply gap'!P$8,2)</f>
        <v>34245.53</v>
      </c>
      <c r="V9" s="22">
        <f>ROUND(V2*'Demand Supply gap'!Q$8,2)</f>
        <v>35822.910000000003</v>
      </c>
      <c r="W9" s="22">
        <f>ROUND(W2*'Demand Supply gap'!R$8,2)</f>
        <v>37482.589999999997</v>
      </c>
      <c r="X9" s="22">
        <f>ROUND(X2*'Demand Supply gap'!S$8,2)</f>
        <v>39276.519999999997</v>
      </c>
      <c r="Y9" s="19">
        <f>(X9/N9)^(1/10)-1</f>
        <v>4.4783153197391457E-2</v>
      </c>
    </row>
    <row r="10" spans="2:25" x14ac:dyDescent="0.25">
      <c r="B10" s="6" t="s">
        <v>312</v>
      </c>
      <c r="C10" s="22">
        <f>ROUND(C3*'Demand Supply gap'!B$8,2)</f>
        <v>16186.58</v>
      </c>
      <c r="D10" s="22">
        <f>ROUND(D3*'Demand Supply gap'!C$8,2)</f>
        <v>16768.2</v>
      </c>
      <c r="E10" s="22">
        <f>ROUND(E3*'Demand Supply gap'!D$8,2)</f>
        <v>17303.23</v>
      </c>
      <c r="F10" s="22">
        <f>ROUND(F3*'Demand Supply gap'!E$8,2)</f>
        <v>18152.13</v>
      </c>
      <c r="G10" s="22">
        <f>ROUND(G3*'Demand Supply gap'!F$8,2)</f>
        <v>19153.48</v>
      </c>
      <c r="H10" s="22">
        <f>ROUND(H3*'Demand Supply gap'!G$8,2)</f>
        <v>18551.14</v>
      </c>
      <c r="I10" s="22">
        <f>ROUND(I3*'Demand Supply gap'!H$8,2)</f>
        <v>19509.05</v>
      </c>
      <c r="J10" s="114">
        <f t="shared" ref="J10:L10" si="3">ROUND(J3*$N10,2)</f>
        <v>4763.4799999999996</v>
      </c>
      <c r="K10" s="114">
        <f t="shared" si="3"/>
        <v>5036.32</v>
      </c>
      <c r="L10" s="114">
        <f t="shared" si="3"/>
        <v>5165.66</v>
      </c>
      <c r="M10" s="114">
        <f t="shared" ref="M10:M13" si="4">N10-SUM(J10:L10)</f>
        <v>5244.4900000000016</v>
      </c>
      <c r="N10" s="22">
        <f>ROUND(N3*'Demand Supply gap'!I$8,2)</f>
        <v>20209.95</v>
      </c>
      <c r="O10" s="22">
        <f>ROUND(O3*'Demand Supply gap'!J$8,2)</f>
        <v>20997.74</v>
      </c>
      <c r="P10" s="22">
        <f>ROUND(P3*'Demand Supply gap'!K$8,2)</f>
        <v>21824.82</v>
      </c>
      <c r="Q10" s="22">
        <f>ROUND(Q3*'Demand Supply gap'!L$8,2)</f>
        <v>22722.400000000001</v>
      </c>
      <c r="R10" s="22">
        <f>ROUND(R3*'Demand Supply gap'!M$8,2)</f>
        <v>23712.9</v>
      </c>
      <c r="S10" s="22">
        <f>ROUND(S3*'Demand Supply gap'!N$8,2)</f>
        <v>24771.78</v>
      </c>
      <c r="T10" s="22">
        <f>ROUND(T3*'Demand Supply gap'!O$8,2)</f>
        <v>25897.7</v>
      </c>
      <c r="U10" s="22">
        <f>ROUND(U3*'Demand Supply gap'!P$8,2)</f>
        <v>27061.15</v>
      </c>
      <c r="V10" s="22">
        <f>ROUND(V3*'Demand Supply gap'!Q$8,2)</f>
        <v>28318.11</v>
      </c>
      <c r="W10" s="22">
        <f>ROUND(W3*'Demand Supply gap'!R$8,2)</f>
        <v>29635.57</v>
      </c>
      <c r="X10" s="22">
        <f>ROUND(X3*'Demand Supply gap'!S$8,2)</f>
        <v>31065.4</v>
      </c>
      <c r="Y10" s="19">
        <f t="shared" ref="Y10:Y13" si="5">(X10/N10)^(1/10)-1</f>
        <v>4.3929501860683784E-2</v>
      </c>
    </row>
    <row r="11" spans="2:25" x14ac:dyDescent="0.25">
      <c r="B11" s="6" t="s">
        <v>313</v>
      </c>
      <c r="C11" s="22">
        <f>ROUND(C4*'Demand Supply gap'!B$8,2)</f>
        <v>9556.11</v>
      </c>
      <c r="D11" s="22">
        <f>ROUND(D4*'Demand Supply gap'!C$8,2)</f>
        <v>9921.25</v>
      </c>
      <c r="E11" s="22">
        <f>ROUND(E4*'Demand Supply gap'!D$8,2)</f>
        <v>10247.39</v>
      </c>
      <c r="F11" s="22">
        <f>ROUND(F4*'Demand Supply gap'!E$8,2)</f>
        <v>10790.07</v>
      </c>
      <c r="G11" s="22">
        <f>ROUND(G4*'Demand Supply gap'!F$8,2)</f>
        <v>11399.25</v>
      </c>
      <c r="H11" s="22">
        <f>ROUND(H4*'Demand Supply gap'!G$8,2)</f>
        <v>11020.48</v>
      </c>
      <c r="I11" s="111">
        <f>ROUND(I4*'Demand Supply gap'!H$8,2)</f>
        <v>11579.68</v>
      </c>
      <c r="J11" s="114">
        <f t="shared" ref="J11:L11" si="6">ROUND(J4*$N11,2)</f>
        <v>2988.13</v>
      </c>
      <c r="K11" s="114">
        <f t="shared" si="6"/>
        <v>3001.37</v>
      </c>
      <c r="L11" s="114">
        <f t="shared" si="6"/>
        <v>3021.84</v>
      </c>
      <c r="M11" s="114">
        <f t="shared" si="4"/>
        <v>3027.8600000000006</v>
      </c>
      <c r="N11" s="22">
        <f>ROUND(N4*'Demand Supply gap'!I$8,2)</f>
        <v>12039.2</v>
      </c>
      <c r="O11" s="22">
        <f>ROUND(O4*'Demand Supply gap'!J$8,2)</f>
        <v>12512.48</v>
      </c>
      <c r="P11" s="22">
        <f>ROUND(P4*'Demand Supply gap'!K$8,2)</f>
        <v>13026.84</v>
      </c>
      <c r="Q11" s="22">
        <f>ROUND(Q4*'Demand Supply gap'!L$8,2)</f>
        <v>13570.74</v>
      </c>
      <c r="R11" s="22">
        <f>ROUND(R4*'Demand Supply gap'!M$8,2)</f>
        <v>14164.51</v>
      </c>
      <c r="S11" s="22">
        <f>ROUND(S4*'Demand Supply gap'!N$8,2)</f>
        <v>14781.74</v>
      </c>
      <c r="T11" s="22">
        <f>ROUND(T4*'Demand Supply gap'!O$8,2)</f>
        <v>15449.16</v>
      </c>
      <c r="U11" s="22">
        <f>ROUND(U4*'Demand Supply gap'!P$8,2)</f>
        <v>16140.9</v>
      </c>
      <c r="V11" s="22">
        <f>ROUND(V4*'Demand Supply gap'!Q$8,2)</f>
        <v>16885.8</v>
      </c>
      <c r="W11" s="22">
        <f>ROUND(W4*'Demand Supply gap'!R$8,2)</f>
        <v>17681.95</v>
      </c>
      <c r="X11" s="22">
        <f>ROUND(X4*'Demand Supply gap'!S$8,2)</f>
        <v>18529.759999999998</v>
      </c>
      <c r="Y11" s="19">
        <f t="shared" si="5"/>
        <v>4.4064228975598363E-2</v>
      </c>
    </row>
    <row r="12" spans="2:25" x14ac:dyDescent="0.25">
      <c r="B12" s="6" t="s">
        <v>314</v>
      </c>
      <c r="C12" s="22">
        <f>ROUND(C5*'Demand Supply gap'!B$8,2)</f>
        <v>11011.58</v>
      </c>
      <c r="D12" s="22">
        <f>ROUND(D5*'Demand Supply gap'!C$8,2)</f>
        <v>11424.24</v>
      </c>
      <c r="E12" s="22">
        <f>ROUND(E5*'Demand Supply gap'!D$8,2)</f>
        <v>11796.24</v>
      </c>
      <c r="F12" s="22">
        <f>ROUND(F5*'Demand Supply gap'!E$8,2)</f>
        <v>12406.13</v>
      </c>
      <c r="G12" s="22">
        <f>ROUND(G5*'Demand Supply gap'!F$8,2)</f>
        <v>13101.4</v>
      </c>
      <c r="H12" s="22">
        <f>ROUND(H5*'Demand Supply gap'!G$8,2)</f>
        <v>12673.55</v>
      </c>
      <c r="I12" s="22">
        <f>ROUND(I5*'Demand Supply gap'!H$8,2)</f>
        <v>13361.17</v>
      </c>
      <c r="J12" s="114">
        <f t="shared" ref="J12:L12" si="7">ROUND(J5*$N12,2)</f>
        <v>3369.41</v>
      </c>
      <c r="K12" s="114">
        <f t="shared" si="7"/>
        <v>3466.6</v>
      </c>
      <c r="L12" s="114">
        <f t="shared" si="7"/>
        <v>3513.8</v>
      </c>
      <c r="M12" s="114">
        <f t="shared" si="4"/>
        <v>3533.2299999999996</v>
      </c>
      <c r="N12" s="22">
        <f>ROUND(N5*'Demand Supply gap'!I$8,2)</f>
        <v>13883.04</v>
      </c>
      <c r="O12" s="22">
        <f>ROUND(O5*'Demand Supply gap'!J$8,2)</f>
        <v>14441.8</v>
      </c>
      <c r="P12" s="22">
        <f>ROUND(P5*'Demand Supply gap'!K$8,2)</f>
        <v>15048.92</v>
      </c>
      <c r="Q12" s="22">
        <f>ROUND(Q5*'Demand Supply gap'!L$8,2)</f>
        <v>15694.33</v>
      </c>
      <c r="R12" s="22">
        <f>ROUND(R5*'Demand Supply gap'!M$8,2)</f>
        <v>16419.87</v>
      </c>
      <c r="S12" s="22">
        <f>ROUND(S5*'Demand Supply gap'!N$8,2)</f>
        <v>17177.59</v>
      </c>
      <c r="T12" s="22">
        <f>ROUND(T5*'Demand Supply gap'!O$8,2)</f>
        <v>17960.939999999999</v>
      </c>
      <c r="U12" s="22">
        <f>ROUND(U5*'Demand Supply gap'!P$8,2)</f>
        <v>18799.12</v>
      </c>
      <c r="V12" s="22">
        <f>ROUND(V5*'Demand Supply gap'!Q$8,2)</f>
        <v>19662.57</v>
      </c>
      <c r="W12" s="22">
        <f>ROUND(W5*'Demand Supply gap'!R$8,2)</f>
        <v>20611.5</v>
      </c>
      <c r="X12" s="22">
        <f>ROUND(X5*'Demand Supply gap'!S$8,2)</f>
        <v>21595.25</v>
      </c>
      <c r="Y12" s="19">
        <f t="shared" si="5"/>
        <v>4.5171036360973638E-2</v>
      </c>
    </row>
    <row r="13" spans="2:25" x14ac:dyDescent="0.25">
      <c r="B13" s="6" t="s">
        <v>32</v>
      </c>
      <c r="C13" s="22">
        <f>ROUND(C6*'Demand Supply gap'!B$8,2)</f>
        <v>16782</v>
      </c>
      <c r="D13" s="22">
        <f>ROUND(D6*'Demand Supply gap'!C$8,2)</f>
        <v>17033.88</v>
      </c>
      <c r="E13" s="22">
        <f>ROUND(E6*'Demand Supply gap'!D$8,2)</f>
        <v>17412.75</v>
      </c>
      <c r="F13" s="22">
        <f>ROUND(F6*'Demand Supply gap'!E$8,2)</f>
        <v>17711.39</v>
      </c>
      <c r="G13" s="22">
        <f>ROUND(G6*'Demand Supply gap'!F$8,2)</f>
        <v>18482.939999999999</v>
      </c>
      <c r="H13" s="22">
        <f>ROUND(H6*'Demand Supply gap'!G$8,2)</f>
        <v>18167.09</v>
      </c>
      <c r="I13" s="22">
        <f>ROUND(I6*'Demand Supply gap'!H$8,2)</f>
        <v>18583.38</v>
      </c>
      <c r="J13" s="114">
        <f t="shared" ref="J13:L13" si="8">ROUND(J6*$N13,2)</f>
        <v>4672.2700000000004</v>
      </c>
      <c r="K13" s="114">
        <f t="shared" si="8"/>
        <v>4721.43</v>
      </c>
      <c r="L13" s="114">
        <f t="shared" si="8"/>
        <v>4785.72</v>
      </c>
      <c r="M13" s="114">
        <f t="shared" si="4"/>
        <v>4728.989999999998</v>
      </c>
      <c r="N13" s="22">
        <f>ROUND(N6*'Demand Supply gap'!I$8,2)</f>
        <v>18908.41</v>
      </c>
      <c r="O13" s="22">
        <f>ROUND(O6*'Demand Supply gap'!J$8,2)</f>
        <v>19368.12</v>
      </c>
      <c r="P13" s="22">
        <f>ROUND(P6*'Demand Supply gap'!K$8,2)</f>
        <v>19783.3</v>
      </c>
      <c r="Q13" s="22">
        <f>ROUND(Q6*'Demand Supply gap'!L$8,2)</f>
        <v>20376.34</v>
      </c>
      <c r="R13" s="22">
        <f>ROUND(R6*'Demand Supply gap'!M$8,2)</f>
        <v>21078.14</v>
      </c>
      <c r="S13" s="22">
        <f>ROUND(S6*'Demand Supply gap'!N$8,2)</f>
        <v>21826.42</v>
      </c>
      <c r="T13" s="22">
        <f>ROUND(T6*'Demand Supply gap'!O$8,2)</f>
        <v>22628.95</v>
      </c>
      <c r="U13" s="22">
        <f>ROUND(U6*'Demand Supply gap'!P$8,2)</f>
        <v>23492.91</v>
      </c>
      <c r="V13" s="22">
        <f>ROUND(V6*'Demand Supply gap'!Q$8,2)</f>
        <v>24390.6</v>
      </c>
      <c r="W13" s="22">
        <f>ROUND(W6*'Demand Supply gap'!R$8,2)</f>
        <v>25372.03</v>
      </c>
      <c r="X13" s="22">
        <f>ROUND(X6*'Demand Supply gap'!S$8,2)</f>
        <v>26385.07</v>
      </c>
      <c r="Y13" s="19">
        <f t="shared" si="5"/>
        <v>3.388045194101541E-2</v>
      </c>
    </row>
    <row r="14" spans="2:25" x14ac:dyDescent="0.25">
      <c r="C14">
        <f>SUM(C9:C13)</f>
        <v>73508.540000000008</v>
      </c>
      <c r="D14">
        <f t="shared" ref="D14:X14" si="9">SUM(D9:D13)</f>
        <v>75908.56</v>
      </c>
      <c r="E14">
        <f t="shared" si="9"/>
        <v>78224.38</v>
      </c>
      <c r="F14">
        <f t="shared" si="9"/>
        <v>81619.289999999994</v>
      </c>
      <c r="G14">
        <f t="shared" si="9"/>
        <v>85967.17</v>
      </c>
      <c r="H14">
        <f t="shared" si="9"/>
        <v>83488.47</v>
      </c>
      <c r="I14">
        <f t="shared" si="9"/>
        <v>87327.900000000009</v>
      </c>
      <c r="N14">
        <f t="shared" si="9"/>
        <v>90384.38</v>
      </c>
      <c r="O14">
        <f t="shared" si="9"/>
        <v>93656.29</v>
      </c>
      <c r="P14">
        <f t="shared" si="9"/>
        <v>97215.23</v>
      </c>
      <c r="Q14">
        <f t="shared" si="9"/>
        <v>101123.26999999999</v>
      </c>
      <c r="R14">
        <f t="shared" si="9"/>
        <v>105390.68999999999</v>
      </c>
      <c r="S14">
        <f t="shared" si="9"/>
        <v>109901.41</v>
      </c>
      <c r="T14">
        <f t="shared" si="9"/>
        <v>114693.1</v>
      </c>
      <c r="U14">
        <f t="shared" si="9"/>
        <v>119739.61</v>
      </c>
      <c r="V14">
        <f t="shared" si="9"/>
        <v>125079.99000000002</v>
      </c>
      <c r="W14">
        <f t="shared" si="9"/>
        <v>130783.64</v>
      </c>
      <c r="X14">
        <f t="shared" si="9"/>
        <v>136852</v>
      </c>
    </row>
    <row r="15" spans="2:25" x14ac:dyDescent="0.25">
      <c r="C15" s="98">
        <f>C14-'Demand Supply gap'!B8</f>
        <v>-9.9999999947613105E-3</v>
      </c>
      <c r="D15" s="98">
        <f>D14-'Demand Supply gap'!C8</f>
        <v>-1.0000000009313226E-2</v>
      </c>
      <c r="E15" s="98">
        <f>E14-'Demand Supply gap'!D8</f>
        <v>0</v>
      </c>
      <c r="F15" s="98">
        <f>F14-'Demand Supply gap'!E8</f>
        <v>0</v>
      </c>
      <c r="G15" s="98">
        <f>G14-'Demand Supply gap'!F8</f>
        <v>9.9999999947613105E-3</v>
      </c>
      <c r="H15" s="98">
        <f>H14-'Demand Supply gap'!G8</f>
        <v>9.9999999947613105E-3</v>
      </c>
      <c r="I15" s="98">
        <f>I14-'Demand Supply gap'!H8</f>
        <v>0</v>
      </c>
      <c r="J15" s="98"/>
      <c r="K15" s="98"/>
      <c r="L15" s="98"/>
      <c r="M15" s="98"/>
      <c r="N15" s="98">
        <f>N14-'Demand Supply gap'!I8</f>
        <v>3.5000000061700121E-3</v>
      </c>
      <c r="O15" s="98">
        <f>O14-'Demand Supply gap'!J8</f>
        <v>-9.2930000391788781E-4</v>
      </c>
      <c r="P15" s="98">
        <f>P14-'Demand Supply gap'!K8</f>
        <v>1.5386598533950746E-5</v>
      </c>
      <c r="Q15" s="98">
        <f>Q14-'Demand Supply gap'!L8</f>
        <v>-1.2229994870722294E-2</v>
      </c>
      <c r="R15" s="98">
        <f>R14-'Demand Supply gap'!M8</f>
        <v>5.2598993497667834E-3</v>
      </c>
      <c r="S15" s="98">
        <f>S14-'Demand Supply gap'!N8</f>
        <v>3.9530230569653213E-3</v>
      </c>
      <c r="T15" s="98">
        <f>T14-'Demand Supply gap'!O8</f>
        <v>-7.350625135586597E-3</v>
      </c>
      <c r="U15" s="98">
        <f>U14-'Demand Supply gap'!P8</f>
        <v>5.9259473491692916E-3</v>
      </c>
      <c r="V15" s="98">
        <f>V14-'Demand Supply gap'!Q8</f>
        <v>-4.1575537761673331E-4</v>
      </c>
      <c r="W15" s="98">
        <f>W14-'Demand Supply gap'!R8</f>
        <v>2.0212861563777551E-3</v>
      </c>
      <c r="X15" s="98">
        <f>X14-'Demand Supply gap'!S8</f>
        <v>1.2190738343633711E-3</v>
      </c>
    </row>
    <row r="16" spans="2:25" x14ac:dyDescent="0.25">
      <c r="B16" s="97" t="s">
        <v>315</v>
      </c>
    </row>
    <row r="18" spans="2:24" x14ac:dyDescent="0.25">
      <c r="B18" s="78" t="s">
        <v>308</v>
      </c>
      <c r="C18" s="79">
        <v>2015</v>
      </c>
      <c r="D18" s="79">
        <v>2016</v>
      </c>
      <c r="E18" s="80">
        <v>2017</v>
      </c>
      <c r="F18" s="80">
        <v>2018</v>
      </c>
      <c r="G18" s="81" t="s">
        <v>309</v>
      </c>
      <c r="H18" s="81" t="s">
        <v>310</v>
      </c>
      <c r="I18" s="81" t="s">
        <v>311</v>
      </c>
      <c r="J18" s="82" t="s">
        <v>327</v>
      </c>
      <c r="K18" s="82" t="s">
        <v>328</v>
      </c>
      <c r="L18" s="82" t="s">
        <v>329</v>
      </c>
      <c r="M18" s="82" t="s">
        <v>330</v>
      </c>
      <c r="N18" s="82" t="s">
        <v>9</v>
      </c>
      <c r="O18" s="81" t="s">
        <v>10</v>
      </c>
      <c r="P18" s="81" t="s">
        <v>11</v>
      </c>
      <c r="Q18" s="81" t="s">
        <v>12</v>
      </c>
      <c r="R18" s="81" t="s">
        <v>13</v>
      </c>
      <c r="S18" s="81" t="s">
        <v>14</v>
      </c>
      <c r="T18" s="81" t="s">
        <v>15</v>
      </c>
      <c r="U18" s="81" t="s">
        <v>16</v>
      </c>
      <c r="V18" s="83" t="s">
        <v>17</v>
      </c>
      <c r="W18" s="82" t="s">
        <v>293</v>
      </c>
      <c r="X18" s="82" t="s">
        <v>294</v>
      </c>
    </row>
    <row r="19" spans="2:24" x14ac:dyDescent="0.25">
      <c r="B19" s="6" t="s">
        <v>307</v>
      </c>
      <c r="C19" s="87">
        <f>C2-1.42%</f>
        <v>0.25749999999999995</v>
      </c>
      <c r="D19" s="87">
        <f t="shared" ref="D19:X19" si="10">D2-1.42%</f>
        <v>0.25929999999999997</v>
      </c>
      <c r="E19" s="87">
        <f t="shared" si="10"/>
        <v>0.26019999999999999</v>
      </c>
      <c r="F19" s="87">
        <f t="shared" si="10"/>
        <v>0.26219999999999999</v>
      </c>
      <c r="G19" s="87">
        <f t="shared" si="10"/>
        <v>0.26300000000000001</v>
      </c>
      <c r="H19" s="87">
        <f t="shared" si="10"/>
        <v>0.26219999999999999</v>
      </c>
      <c r="I19" s="87">
        <f t="shared" si="10"/>
        <v>0.26400000000000001</v>
      </c>
      <c r="J19" s="116">
        <f>J2</f>
        <v>0.2426000581570438</v>
      </c>
      <c r="K19" s="116">
        <f t="shared" ref="K19:M19" si="11">K2</f>
        <v>0.2495</v>
      </c>
      <c r="L19" s="116">
        <f t="shared" si="11"/>
        <v>0.25409999999999999</v>
      </c>
      <c r="M19" s="116">
        <f t="shared" si="11"/>
        <v>0.25379994184295618</v>
      </c>
      <c r="N19" s="87">
        <f t="shared" si="10"/>
        <v>0.26619999999999999</v>
      </c>
      <c r="O19" s="87">
        <f t="shared" si="10"/>
        <v>0.26700000000000002</v>
      </c>
      <c r="P19" s="87">
        <f t="shared" si="10"/>
        <v>0.26900000000000002</v>
      </c>
      <c r="Q19" s="87">
        <f t="shared" si="10"/>
        <v>0.2702</v>
      </c>
      <c r="R19" s="87">
        <f t="shared" si="10"/>
        <v>0.27060000000000001</v>
      </c>
      <c r="S19" s="87">
        <f t="shared" si="10"/>
        <v>0.27100000000000002</v>
      </c>
      <c r="T19" s="87">
        <f t="shared" si="10"/>
        <v>0.27140000000000003</v>
      </c>
      <c r="U19" s="87">
        <f t="shared" si="10"/>
        <v>0.27179999999999999</v>
      </c>
      <c r="V19" s="87">
        <f t="shared" si="10"/>
        <v>0.2722</v>
      </c>
      <c r="W19" s="87">
        <f t="shared" si="10"/>
        <v>0.27240000000000003</v>
      </c>
      <c r="X19" s="87">
        <f t="shared" si="10"/>
        <v>0.27279999999999999</v>
      </c>
    </row>
    <row r="20" spans="2:24" x14ac:dyDescent="0.25">
      <c r="B20" s="6" t="s">
        <v>312</v>
      </c>
      <c r="C20" s="89">
        <f>C3-0.76%</f>
        <v>0.21260000000000001</v>
      </c>
      <c r="D20" s="89">
        <f t="shared" ref="D20:X20" si="12">D3-0.76%</f>
        <v>0.21329999999999999</v>
      </c>
      <c r="E20" s="89">
        <f t="shared" si="12"/>
        <v>0.21360000000000001</v>
      </c>
      <c r="F20" s="89">
        <f t="shared" si="12"/>
        <v>0.21479999999999999</v>
      </c>
      <c r="G20" s="89">
        <f t="shared" si="12"/>
        <v>0.2152</v>
      </c>
      <c r="H20" s="89">
        <f t="shared" si="12"/>
        <v>0.21460000000000001</v>
      </c>
      <c r="I20" s="89">
        <f t="shared" si="12"/>
        <v>0.21579999999999999</v>
      </c>
      <c r="J20" s="116">
        <f t="shared" ref="J20:M20" si="13">J3</f>
        <v>0.23569987509499013</v>
      </c>
      <c r="K20" s="116">
        <f t="shared" si="13"/>
        <v>0.2492</v>
      </c>
      <c r="L20" s="116">
        <f t="shared" si="13"/>
        <v>0.25559999999999999</v>
      </c>
      <c r="M20" s="116">
        <f t="shared" si="13"/>
        <v>0.25950012490500995</v>
      </c>
      <c r="N20" s="89">
        <f t="shared" si="12"/>
        <v>0.216</v>
      </c>
      <c r="O20" s="89">
        <f t="shared" si="12"/>
        <v>0.21660000000000001</v>
      </c>
      <c r="P20" s="89">
        <f t="shared" si="12"/>
        <v>0.21690000000000001</v>
      </c>
      <c r="Q20" s="89">
        <f t="shared" si="12"/>
        <v>0.21710000000000002</v>
      </c>
      <c r="R20" s="89">
        <f t="shared" si="12"/>
        <v>0.21740000000000001</v>
      </c>
      <c r="S20" s="89">
        <f t="shared" si="12"/>
        <v>0.21779999999999999</v>
      </c>
      <c r="T20" s="89">
        <f t="shared" si="12"/>
        <v>0.21820000000000001</v>
      </c>
      <c r="U20" s="89">
        <f t="shared" si="12"/>
        <v>0.21840000000000001</v>
      </c>
      <c r="V20" s="89">
        <f t="shared" si="12"/>
        <v>0.21879999999999999</v>
      </c>
      <c r="W20" s="89">
        <f t="shared" si="12"/>
        <v>0.219</v>
      </c>
      <c r="X20" s="89">
        <f t="shared" si="12"/>
        <v>0.21940000000000001</v>
      </c>
    </row>
    <row r="21" spans="2:24" x14ac:dyDescent="0.25">
      <c r="B21" s="6" t="s">
        <v>313</v>
      </c>
      <c r="C21" s="89">
        <f>C4+0.4%</f>
        <v>0.13400000000000001</v>
      </c>
      <c r="D21" s="89">
        <f t="shared" ref="D21:X21" si="14">D4+0.4%</f>
        <v>0.13469999999999999</v>
      </c>
      <c r="E21" s="89">
        <f t="shared" si="14"/>
        <v>0.13499999999999998</v>
      </c>
      <c r="F21" s="89">
        <f t="shared" si="14"/>
        <v>0.13619999999999999</v>
      </c>
      <c r="G21" s="89">
        <f t="shared" si="14"/>
        <v>0.1366</v>
      </c>
      <c r="H21" s="89">
        <f t="shared" si="14"/>
        <v>0.13599999999999998</v>
      </c>
      <c r="I21" s="89">
        <f t="shared" si="14"/>
        <v>0.1366</v>
      </c>
      <c r="J21" s="116">
        <f t="shared" ref="J21:M21" si="15">J4</f>
        <v>0.24820001315957857</v>
      </c>
      <c r="K21" s="116">
        <f t="shared" si="15"/>
        <v>0.24929999999999999</v>
      </c>
      <c r="L21" s="116">
        <f t="shared" si="15"/>
        <v>0.251</v>
      </c>
      <c r="M21" s="116">
        <f t="shared" si="15"/>
        <v>0.25149998684042141</v>
      </c>
      <c r="N21" s="89">
        <f t="shared" si="14"/>
        <v>0.13720000000000002</v>
      </c>
      <c r="O21" s="89">
        <f t="shared" si="14"/>
        <v>0.1376</v>
      </c>
      <c r="P21" s="89">
        <f t="shared" si="14"/>
        <v>0.13800000000000001</v>
      </c>
      <c r="Q21" s="89">
        <f t="shared" si="14"/>
        <v>0.13820000000000002</v>
      </c>
      <c r="R21" s="89">
        <f t="shared" si="14"/>
        <v>0.1384</v>
      </c>
      <c r="S21" s="89">
        <f t="shared" si="14"/>
        <v>0.13850000000000001</v>
      </c>
      <c r="T21" s="89">
        <f t="shared" si="14"/>
        <v>0.13869999999999999</v>
      </c>
      <c r="U21" s="89">
        <f t="shared" si="14"/>
        <v>0.13880000000000001</v>
      </c>
      <c r="V21" s="89">
        <f t="shared" si="14"/>
        <v>0.13900000000000001</v>
      </c>
      <c r="W21" s="89">
        <f t="shared" si="14"/>
        <v>0.13919999999999999</v>
      </c>
      <c r="X21" s="89">
        <f t="shared" si="14"/>
        <v>0.1394</v>
      </c>
    </row>
    <row r="22" spans="2:24" x14ac:dyDescent="0.25">
      <c r="B22" s="6" t="s">
        <v>314</v>
      </c>
      <c r="C22" s="89">
        <f>C5+0.22%</f>
        <v>0.152</v>
      </c>
      <c r="D22" s="89">
        <f t="shared" ref="D22:X22" si="16">D5+0.22%</f>
        <v>0.1527</v>
      </c>
      <c r="E22" s="89">
        <f t="shared" si="16"/>
        <v>0.153</v>
      </c>
      <c r="F22" s="89">
        <f t="shared" si="16"/>
        <v>0.1542</v>
      </c>
      <c r="G22" s="89">
        <f t="shared" si="16"/>
        <v>0.15459999999999999</v>
      </c>
      <c r="H22" s="89">
        <f t="shared" si="16"/>
        <v>0.154</v>
      </c>
      <c r="I22" s="89">
        <f t="shared" si="16"/>
        <v>0.1552</v>
      </c>
      <c r="J22" s="116">
        <f t="shared" ref="J22:M22" si="17">J5</f>
        <v>0.24269995089540719</v>
      </c>
      <c r="K22" s="116">
        <f t="shared" si="17"/>
        <v>0.24970000000000001</v>
      </c>
      <c r="L22" s="116">
        <f t="shared" si="17"/>
        <v>0.25309999999999999</v>
      </c>
      <c r="M22" s="116">
        <f t="shared" si="17"/>
        <v>0.25450004910459278</v>
      </c>
      <c r="N22" s="89">
        <f t="shared" si="16"/>
        <v>0.15579999999999999</v>
      </c>
      <c r="O22" s="89">
        <f t="shared" si="16"/>
        <v>0.15639999999999998</v>
      </c>
      <c r="P22" s="89">
        <f t="shared" si="16"/>
        <v>0.157</v>
      </c>
      <c r="Q22" s="89">
        <f t="shared" si="16"/>
        <v>0.15739999999999998</v>
      </c>
      <c r="R22" s="89">
        <f t="shared" si="16"/>
        <v>0.158</v>
      </c>
      <c r="S22" s="89">
        <f t="shared" si="16"/>
        <v>0.1585</v>
      </c>
      <c r="T22" s="89">
        <f t="shared" si="16"/>
        <v>0.1588</v>
      </c>
      <c r="U22" s="89">
        <f t="shared" si="16"/>
        <v>0.15920000000000001</v>
      </c>
      <c r="V22" s="89">
        <f t="shared" si="16"/>
        <v>0.15940000000000001</v>
      </c>
      <c r="W22" s="89">
        <f t="shared" si="16"/>
        <v>0.1598</v>
      </c>
      <c r="X22" s="89">
        <f t="shared" si="16"/>
        <v>0.16</v>
      </c>
    </row>
    <row r="23" spans="2:24" x14ac:dyDescent="0.25">
      <c r="B23" s="6" t="s">
        <v>32</v>
      </c>
      <c r="C23" s="86">
        <f>1-SUM(C19:C22)</f>
        <v>0.24390000000000001</v>
      </c>
      <c r="D23" s="86">
        <f t="shared" ref="D23:X23" si="18">1-SUM(D19:D22)</f>
        <v>0.24</v>
      </c>
      <c r="E23" s="86">
        <f t="shared" si="18"/>
        <v>0.23819999999999997</v>
      </c>
      <c r="F23" s="86">
        <f t="shared" si="18"/>
        <v>0.23260000000000003</v>
      </c>
      <c r="G23" s="86">
        <f t="shared" si="18"/>
        <v>0.23060000000000003</v>
      </c>
      <c r="H23" s="86">
        <f t="shared" si="18"/>
        <v>0.23319999999999996</v>
      </c>
      <c r="I23" s="86">
        <f t="shared" si="18"/>
        <v>0.22839999999999994</v>
      </c>
      <c r="J23" s="116">
        <f t="shared" ref="J23:M23" si="19">J6</f>
        <v>0.24709999999999999</v>
      </c>
      <c r="K23" s="116">
        <f t="shared" si="19"/>
        <v>0.24970000000000001</v>
      </c>
      <c r="L23" s="116">
        <f t="shared" si="19"/>
        <v>0.25309999999999999</v>
      </c>
      <c r="M23" s="116">
        <f t="shared" si="19"/>
        <v>0.25009999999999999</v>
      </c>
      <c r="N23" s="86">
        <f t="shared" si="18"/>
        <v>0.22480000000000011</v>
      </c>
      <c r="O23" s="86">
        <f t="shared" si="18"/>
        <v>0.22240000000000004</v>
      </c>
      <c r="P23" s="86">
        <f t="shared" si="18"/>
        <v>0.21909999999999996</v>
      </c>
      <c r="Q23" s="86">
        <f t="shared" si="18"/>
        <v>0.21709999999999996</v>
      </c>
      <c r="R23" s="86">
        <f t="shared" si="18"/>
        <v>0.21560000000000001</v>
      </c>
      <c r="S23" s="86">
        <f t="shared" si="18"/>
        <v>0.21420000000000006</v>
      </c>
      <c r="T23" s="86">
        <f t="shared" si="18"/>
        <v>0.21289999999999987</v>
      </c>
      <c r="U23" s="86">
        <f t="shared" si="18"/>
        <v>0.21179999999999999</v>
      </c>
      <c r="V23" s="86">
        <f t="shared" si="18"/>
        <v>0.21060000000000001</v>
      </c>
      <c r="W23" s="86">
        <f t="shared" si="18"/>
        <v>0.20960000000000001</v>
      </c>
      <c r="X23" s="86">
        <f t="shared" si="18"/>
        <v>0.20840000000000003</v>
      </c>
    </row>
    <row r="25" spans="2:24" x14ac:dyDescent="0.25">
      <c r="B25" s="78" t="s">
        <v>316</v>
      </c>
      <c r="C25" s="92">
        <v>2015</v>
      </c>
      <c r="D25" s="92">
        <v>2016</v>
      </c>
      <c r="E25" s="93">
        <v>2017</v>
      </c>
      <c r="F25" s="93">
        <v>2018</v>
      </c>
      <c r="G25" s="94" t="s">
        <v>309</v>
      </c>
      <c r="H25" s="94" t="s">
        <v>310</v>
      </c>
      <c r="I25" s="94" t="s">
        <v>311</v>
      </c>
      <c r="J25" s="82" t="s">
        <v>327</v>
      </c>
      <c r="K25" s="82" t="s">
        <v>328</v>
      </c>
      <c r="L25" s="82" t="s">
        <v>329</v>
      </c>
      <c r="M25" s="82" t="s">
        <v>330</v>
      </c>
      <c r="N25" s="82" t="s">
        <v>9</v>
      </c>
      <c r="O25" s="94" t="s">
        <v>10</v>
      </c>
      <c r="P25" s="94" t="s">
        <v>11</v>
      </c>
      <c r="Q25" s="94" t="s">
        <v>12</v>
      </c>
      <c r="R25" s="94" t="s">
        <v>13</v>
      </c>
      <c r="S25" s="94" t="s">
        <v>14</v>
      </c>
      <c r="T25" s="94" t="s">
        <v>15</v>
      </c>
      <c r="U25" s="94" t="s">
        <v>16</v>
      </c>
      <c r="V25" s="95" t="s">
        <v>17</v>
      </c>
      <c r="W25" s="82" t="s">
        <v>293</v>
      </c>
      <c r="X25" s="82" t="s">
        <v>294</v>
      </c>
    </row>
    <row r="26" spans="2:24" x14ac:dyDescent="0.25">
      <c r="B26" s="6" t="s">
        <v>307</v>
      </c>
      <c r="C26" s="22">
        <f>ROUND(C19*'Demand Supply gap'!B$12,2)</f>
        <v>6624.96</v>
      </c>
      <c r="D26" s="22">
        <f>ROUND(D19*'Demand Supply gap'!C$12,2)</f>
        <v>6101.76</v>
      </c>
      <c r="E26" s="22">
        <f>ROUND(E19*'Demand Supply gap'!D$12,2)</f>
        <v>8141.59</v>
      </c>
      <c r="F26" s="22">
        <f>ROUND(F19*'Demand Supply gap'!E$12,2)</f>
        <v>9630.26</v>
      </c>
      <c r="G26" s="22">
        <f>ROUND(G19*'Demand Supply gap'!F$12,2)</f>
        <v>7461.09</v>
      </c>
      <c r="H26" s="22">
        <f>ROUND(H19*'Demand Supply gap'!G$12,2)</f>
        <v>6348.29</v>
      </c>
      <c r="I26" s="22">
        <f>ROUND(I19*'Demand Supply gap'!H$12,2)</f>
        <v>9682.92</v>
      </c>
      <c r="J26" s="114">
        <f>ROUND(J19*$N26,2)</f>
        <v>2685.04</v>
      </c>
      <c r="K26" s="114">
        <f t="shared" ref="K26:L26" si="20">ROUND(K19*$N26,2)</f>
        <v>2761.4</v>
      </c>
      <c r="L26" s="114">
        <f t="shared" si="20"/>
        <v>2812.32</v>
      </c>
      <c r="M26" s="114">
        <f>N26-SUM(J26:L26)</f>
        <v>2808.99</v>
      </c>
      <c r="N26" s="22">
        <f>ROUND(N19*'Demand Supply gap'!I$12,2)</f>
        <v>11067.75</v>
      </c>
      <c r="O26" s="22">
        <f>ROUND(O19*'Demand Supply gap'!J$12,2)</f>
        <v>11752.93</v>
      </c>
      <c r="P26" s="22">
        <f>ROUND(P19*'Demand Supply gap'!K$12,2)</f>
        <v>12552.43</v>
      </c>
      <c r="Q26" s="22">
        <f>ROUND(Q19*'Demand Supply gap'!L$12,2)</f>
        <v>13388.52</v>
      </c>
      <c r="R26" s="22">
        <f>ROUND(R19*'Demand Supply gap'!M$12,2)</f>
        <v>14259.36</v>
      </c>
      <c r="S26" s="22">
        <f>ROUND(S19*'Demand Supply gap'!N$12,2)</f>
        <v>15189.47</v>
      </c>
      <c r="T26" s="22">
        <f>ROUND(T19*'Demand Supply gap'!O$12,2)</f>
        <v>16186.41</v>
      </c>
      <c r="U26" s="22">
        <f>ROUND(U19*'Demand Supply gap'!P$12,2)</f>
        <v>17248.97</v>
      </c>
      <c r="V26" s="22">
        <f>ROUND(V19*'Demand Supply gap'!Q$12,2)</f>
        <v>18385.259999999998</v>
      </c>
      <c r="W26" s="22">
        <f>ROUND(W19*'Demand Supply gap'!R$12,2)</f>
        <v>19594</v>
      </c>
      <c r="X26" s="22">
        <f>ROUND(X19*'Demand Supply gap'!S$12,2)</f>
        <v>20906.61</v>
      </c>
    </row>
    <row r="27" spans="2:24" x14ac:dyDescent="0.25">
      <c r="B27" s="6" t="s">
        <v>312</v>
      </c>
      <c r="C27" s="22">
        <f>ROUND(C20*'Demand Supply gap'!B$12,2)</f>
        <v>5469.77</v>
      </c>
      <c r="D27" s="22">
        <f>ROUND(D20*'Demand Supply gap'!C$12,2)</f>
        <v>5019.3</v>
      </c>
      <c r="E27" s="22">
        <f>ROUND(E20*'Demand Supply gap'!D$12,2)</f>
        <v>6683.49</v>
      </c>
      <c r="F27" s="22">
        <f>ROUND(F20*'Demand Supply gap'!E$12,2)</f>
        <v>7889.32</v>
      </c>
      <c r="G27" s="22">
        <f>ROUND(G20*'Demand Supply gap'!F$12,2)</f>
        <v>6105.04</v>
      </c>
      <c r="H27" s="22">
        <f>ROUND(H20*'Demand Supply gap'!G$12,2)</f>
        <v>5195.82</v>
      </c>
      <c r="I27" s="22">
        <f>ROUND(I20*'Demand Supply gap'!H$12,2)</f>
        <v>7915.05</v>
      </c>
      <c r="J27" s="114">
        <f t="shared" ref="J27:L27" si="21">ROUND(J20*$N27,2)</f>
        <v>2116.7199999999998</v>
      </c>
      <c r="K27" s="114">
        <f t="shared" si="21"/>
        <v>2237.96</v>
      </c>
      <c r="L27" s="114">
        <f t="shared" si="21"/>
        <v>2295.44</v>
      </c>
      <c r="M27" s="114">
        <f t="shared" ref="M27:M30" si="22">N27-SUM(J27:L27)</f>
        <v>2330.4699999999993</v>
      </c>
      <c r="N27" s="22">
        <f>ROUND(N20*'Demand Supply gap'!I$12,2)</f>
        <v>8980.59</v>
      </c>
      <c r="O27" s="22">
        <f>ROUND(O20*'Demand Supply gap'!J$12,2)</f>
        <v>9534.4</v>
      </c>
      <c r="P27" s="22">
        <f>ROUND(P20*'Demand Supply gap'!K$12,2)</f>
        <v>10121.27</v>
      </c>
      <c r="Q27" s="22">
        <f>ROUND(Q20*'Demand Supply gap'!L$12,2)</f>
        <v>10757.39</v>
      </c>
      <c r="R27" s="22">
        <f>ROUND(R20*'Demand Supply gap'!M$12,2)</f>
        <v>11455.97</v>
      </c>
      <c r="S27" s="22">
        <f>ROUND(S20*'Demand Supply gap'!N$12,2)</f>
        <v>12207.63</v>
      </c>
      <c r="T27" s="22">
        <f>ROUND(T20*'Demand Supply gap'!O$12,2)</f>
        <v>13013.54</v>
      </c>
      <c r="U27" s="22">
        <f>ROUND(U20*'Demand Supply gap'!P$12,2)</f>
        <v>13860.1</v>
      </c>
      <c r="V27" s="22">
        <f>ROUND(V20*'Demand Supply gap'!Q$12,2)</f>
        <v>14778.45</v>
      </c>
      <c r="W27" s="22">
        <f>ROUND(W20*'Demand Supply gap'!R$12,2)</f>
        <v>15752.89</v>
      </c>
      <c r="X27" s="22">
        <f>ROUND(X20*'Demand Supply gap'!S$12,2)</f>
        <v>16814.18</v>
      </c>
    </row>
    <row r="28" spans="2:24" x14ac:dyDescent="0.25">
      <c r="B28" s="6" t="s">
        <v>313</v>
      </c>
      <c r="C28" s="22">
        <f>ROUND(C21*'Demand Supply gap'!B$12,2)</f>
        <v>3447.55</v>
      </c>
      <c r="D28" s="22">
        <f>ROUND(D21*'Demand Supply gap'!C$12,2)</f>
        <v>3169.71</v>
      </c>
      <c r="E28" s="22">
        <f>ROUND(E21*'Demand Supply gap'!D$12,2)</f>
        <v>4224.12</v>
      </c>
      <c r="F28" s="22">
        <f>ROUND(F21*'Demand Supply gap'!E$12,2)</f>
        <v>5002.45</v>
      </c>
      <c r="G28" s="22">
        <f>ROUND(G21*'Demand Supply gap'!F$12,2)</f>
        <v>3875.23</v>
      </c>
      <c r="H28" s="22">
        <f>ROUND(H21*'Demand Supply gap'!G$12,2)</f>
        <v>3292.78</v>
      </c>
      <c r="I28" s="22">
        <f>ROUND(I21*'Demand Supply gap'!H$12,2)</f>
        <v>5010.18</v>
      </c>
      <c r="J28" s="114">
        <f t="shared" ref="J28:L28" si="23">ROUND(J21*$N28,2)</f>
        <v>1415.82</v>
      </c>
      <c r="K28" s="114">
        <f t="shared" si="23"/>
        <v>1422.09</v>
      </c>
      <c r="L28" s="114">
        <f t="shared" si="23"/>
        <v>1431.79</v>
      </c>
      <c r="M28" s="114">
        <f t="shared" si="22"/>
        <v>1434.6400000000003</v>
      </c>
      <c r="N28" s="22">
        <f>ROUND(N21*'Demand Supply gap'!I$12,2)</f>
        <v>5704.34</v>
      </c>
      <c r="O28" s="22">
        <f>ROUND(O21*'Demand Supply gap'!J$12,2)</f>
        <v>6056.94</v>
      </c>
      <c r="P28" s="22">
        <f>ROUND(P21*'Demand Supply gap'!K$12,2)</f>
        <v>6439.54</v>
      </c>
      <c r="Q28" s="22">
        <f>ROUND(Q21*'Demand Supply gap'!L$12,2)</f>
        <v>6847.87</v>
      </c>
      <c r="R28" s="22">
        <f>ROUND(R21*'Demand Supply gap'!M$12,2)</f>
        <v>7293.04</v>
      </c>
      <c r="S28" s="22">
        <f>ROUND(S21*'Demand Supply gap'!N$12,2)</f>
        <v>7762.89</v>
      </c>
      <c r="T28" s="22">
        <f>ROUND(T21*'Demand Supply gap'!O$12,2)</f>
        <v>8272.1299999999992</v>
      </c>
      <c r="U28" s="22">
        <f>ROUND(U21*'Demand Supply gap'!P$12,2)</f>
        <v>8808.52</v>
      </c>
      <c r="V28" s="22">
        <f>ROUND(V21*'Demand Supply gap'!Q$12,2)</f>
        <v>9388.5</v>
      </c>
      <c r="W28" s="22">
        <f>ROUND(W21*'Demand Supply gap'!R$12,2)</f>
        <v>10012.799999999999</v>
      </c>
      <c r="X28" s="22">
        <f>ROUND(X21*'Demand Supply gap'!S$12,2)</f>
        <v>10683.21</v>
      </c>
    </row>
    <row r="29" spans="2:24" x14ac:dyDescent="0.25">
      <c r="B29" s="6" t="s">
        <v>314</v>
      </c>
      <c r="C29" s="22">
        <f>ROUND(C22*'Demand Supply gap'!B$12,2)</f>
        <v>3910.65</v>
      </c>
      <c r="D29" s="22">
        <f>ROUND(D22*'Demand Supply gap'!C$12,2)</f>
        <v>3593.28</v>
      </c>
      <c r="E29" s="22">
        <f>ROUND(E22*'Demand Supply gap'!D$12,2)</f>
        <v>4787.33</v>
      </c>
      <c r="F29" s="22">
        <f>ROUND(F22*'Demand Supply gap'!E$12,2)</f>
        <v>5663.56</v>
      </c>
      <c r="G29" s="22">
        <f>ROUND(G22*'Demand Supply gap'!F$12,2)</f>
        <v>4385.87</v>
      </c>
      <c r="H29" s="22">
        <f>ROUND(H22*'Demand Supply gap'!G$12,2)</f>
        <v>3728.59</v>
      </c>
      <c r="I29" s="22">
        <f>ROUND(I22*'Demand Supply gap'!H$12,2)</f>
        <v>5692.38</v>
      </c>
      <c r="J29" s="114">
        <f t="shared" ref="J29:L29" si="24">ROUND(J22*$N29,2)</f>
        <v>1572.13</v>
      </c>
      <c r="K29" s="114">
        <f t="shared" si="24"/>
        <v>1617.47</v>
      </c>
      <c r="L29" s="114">
        <f t="shared" si="24"/>
        <v>1639.5</v>
      </c>
      <c r="M29" s="114">
        <f t="shared" si="22"/>
        <v>1648.5699999999997</v>
      </c>
      <c r="N29" s="22">
        <f>ROUND(N22*'Demand Supply gap'!I$12,2)</f>
        <v>6477.67</v>
      </c>
      <c r="O29" s="22">
        <f>ROUND(O22*'Demand Supply gap'!J$12,2)</f>
        <v>6884.49</v>
      </c>
      <c r="P29" s="22">
        <f>ROUND(P22*'Demand Supply gap'!K$12,2)</f>
        <v>7326.14</v>
      </c>
      <c r="Q29" s="22">
        <f>ROUND(Q22*'Demand Supply gap'!L$12,2)</f>
        <v>7799.23</v>
      </c>
      <c r="R29" s="22">
        <f>ROUND(R22*'Demand Supply gap'!M$12,2)</f>
        <v>8325.86</v>
      </c>
      <c r="S29" s="22">
        <f>ROUND(S22*'Demand Supply gap'!N$12,2)</f>
        <v>8883.8799999999992</v>
      </c>
      <c r="T29" s="22">
        <f>ROUND(T22*'Demand Supply gap'!O$12,2)</f>
        <v>9470.9</v>
      </c>
      <c r="U29" s="22">
        <f>ROUND(U22*'Demand Supply gap'!P$12,2)</f>
        <v>10103.15</v>
      </c>
      <c r="V29" s="22">
        <f>ROUND(V22*'Demand Supply gap'!Q$12,2)</f>
        <v>10766.38</v>
      </c>
      <c r="W29" s="22">
        <f>ROUND(W22*'Demand Supply gap'!R$12,2)</f>
        <v>11494.57</v>
      </c>
      <c r="X29" s="22">
        <f>ROUND(X22*'Demand Supply gap'!S$12,2)</f>
        <v>12261.94</v>
      </c>
    </row>
    <row r="30" spans="2:24" x14ac:dyDescent="0.25">
      <c r="B30" s="6" t="s">
        <v>32</v>
      </c>
      <c r="C30" s="22">
        <f>ROUND(C23*'Demand Supply gap'!B$12,2)</f>
        <v>6275.06</v>
      </c>
      <c r="D30" s="22">
        <f>ROUND(D23*'Demand Supply gap'!C$12,2)</f>
        <v>5647.6</v>
      </c>
      <c r="E30" s="22">
        <f>ROUND(E23*'Demand Supply gap'!D$12,2)</f>
        <v>7453.22</v>
      </c>
      <c r="F30" s="22">
        <f>ROUND(F23*'Demand Supply gap'!E$12,2)</f>
        <v>8543.09</v>
      </c>
      <c r="G30" s="22">
        <f>ROUND(G23*'Demand Supply gap'!F$12,2)</f>
        <v>6541.93</v>
      </c>
      <c r="H30" s="22">
        <f>ROUND(H23*'Demand Supply gap'!G$12,2)</f>
        <v>5646.16</v>
      </c>
      <c r="I30" s="22">
        <f>ROUND(I23*'Demand Supply gap'!H$12,2)</f>
        <v>8377.19</v>
      </c>
      <c r="J30" s="114">
        <f t="shared" ref="J30:L30" si="25">ROUND(J23*$N30,2)</f>
        <v>2309.5100000000002</v>
      </c>
      <c r="K30" s="114">
        <f t="shared" si="25"/>
        <v>2333.81</v>
      </c>
      <c r="L30" s="114">
        <f t="shared" si="25"/>
        <v>2365.59</v>
      </c>
      <c r="M30" s="114">
        <f t="shared" si="22"/>
        <v>2337.5599999999995</v>
      </c>
      <c r="N30" s="22">
        <f>ROUND(N23*'Demand Supply gap'!I$12,2)</f>
        <v>9346.4699999999993</v>
      </c>
      <c r="O30" s="22">
        <f>ROUND(O23*'Demand Supply gap'!J$12,2)</f>
        <v>9789.7099999999991</v>
      </c>
      <c r="P30" s="22">
        <f>ROUND(P23*'Demand Supply gap'!K$12,2)</f>
        <v>10223.93</v>
      </c>
      <c r="Q30" s="22">
        <f>ROUND(Q23*'Demand Supply gap'!L$12,2)</f>
        <v>10757.39</v>
      </c>
      <c r="R30" s="22">
        <f>ROUND(R23*'Demand Supply gap'!M$12,2)</f>
        <v>11361.12</v>
      </c>
      <c r="S30" s="22">
        <f>ROUND(S23*'Demand Supply gap'!N$12,2)</f>
        <v>12005.85</v>
      </c>
      <c r="T30" s="22">
        <f>ROUND(T23*'Demand Supply gap'!O$12,2)</f>
        <v>12697.45</v>
      </c>
      <c r="U30" s="22">
        <f>ROUND(U23*'Demand Supply gap'!P$12,2)</f>
        <v>13441.25</v>
      </c>
      <c r="V30" s="22">
        <f>ROUND(V23*'Demand Supply gap'!Q$12,2)</f>
        <v>14224.6</v>
      </c>
      <c r="W30" s="22">
        <f>ROUND(W23*'Demand Supply gap'!R$12,2)</f>
        <v>15076.74</v>
      </c>
      <c r="X30" s="22">
        <f>ROUND(X23*'Demand Supply gap'!S$12,2)</f>
        <v>15971.18</v>
      </c>
    </row>
    <row r="31" spans="2:24" x14ac:dyDescent="0.25">
      <c r="C31">
        <f>SUM(C26:C30)</f>
        <v>25727.99</v>
      </c>
      <c r="D31">
        <f t="shared" ref="D31:X31" si="26">SUM(D26:D30)</f>
        <v>23531.65</v>
      </c>
      <c r="E31">
        <f t="shared" si="26"/>
        <v>31289.75</v>
      </c>
      <c r="F31">
        <f t="shared" si="26"/>
        <v>36728.680000000008</v>
      </c>
      <c r="G31">
        <f t="shared" si="26"/>
        <v>28369.16</v>
      </c>
      <c r="H31">
        <f t="shared" si="26"/>
        <v>24211.640000000003</v>
      </c>
      <c r="I31">
        <f t="shared" si="26"/>
        <v>36677.72</v>
      </c>
      <c r="N31">
        <f t="shared" si="26"/>
        <v>41576.82</v>
      </c>
      <c r="O31">
        <f t="shared" si="26"/>
        <v>44018.47</v>
      </c>
      <c r="P31">
        <f t="shared" si="26"/>
        <v>46663.310000000005</v>
      </c>
      <c r="Q31">
        <f t="shared" si="26"/>
        <v>49550.399999999994</v>
      </c>
      <c r="R31">
        <f t="shared" si="26"/>
        <v>52695.350000000006</v>
      </c>
      <c r="S31">
        <f t="shared" si="26"/>
        <v>56049.719999999994</v>
      </c>
      <c r="T31">
        <f t="shared" si="26"/>
        <v>59640.430000000008</v>
      </c>
      <c r="U31">
        <f t="shared" si="26"/>
        <v>63461.99</v>
      </c>
      <c r="V31">
        <f t="shared" si="26"/>
        <v>67543.19</v>
      </c>
      <c r="W31">
        <f t="shared" si="26"/>
        <v>71931</v>
      </c>
      <c r="X31">
        <f t="shared" si="26"/>
        <v>76637.119999999995</v>
      </c>
    </row>
    <row r="32" spans="2:24" x14ac:dyDescent="0.25">
      <c r="C32">
        <f>C31-'Demand Supply gap'!B12</f>
        <v>0</v>
      </c>
      <c r="D32">
        <f>D31-'Demand Supply gap'!C12</f>
        <v>-9.9999999983992893E-3</v>
      </c>
      <c r="E32">
        <f>E31-'Demand Supply gap'!D12</f>
        <v>0</v>
      </c>
      <c r="F32">
        <f>F31-'Demand Supply gap'!E12</f>
        <v>0</v>
      </c>
      <c r="G32">
        <f>G31-'Demand Supply gap'!F12</f>
        <v>0</v>
      </c>
      <c r="H32">
        <f>H31-'Demand Supply gap'!G12</f>
        <v>-9.9999999983992893E-3</v>
      </c>
      <c r="I32">
        <f>I31-'Demand Supply gap'!H12</f>
        <v>0</v>
      </c>
      <c r="N32">
        <f>N31-'Demand Supply gap'!I12</f>
        <v>1.0000000002037268E-2</v>
      </c>
      <c r="O32">
        <f>O31-'Demand Supply gap'!J12</f>
        <v>1.0000000002037268E-2</v>
      </c>
      <c r="P32">
        <f>P31-'Demand Supply gap'!K12</f>
        <v>0</v>
      </c>
      <c r="Q32">
        <f>Q31-'Demand Supply gap'!L12</f>
        <v>-1.0000000009313226E-2</v>
      </c>
      <c r="R32">
        <f>R31-'Demand Supply gap'!M12</f>
        <v>1.0000000009313226E-2</v>
      </c>
      <c r="S32">
        <f>S31-'Demand Supply gap'!N12</f>
        <v>0</v>
      </c>
      <c r="T32">
        <f>T31-'Demand Supply gap'!O12</f>
        <v>1.0000000009313226E-2</v>
      </c>
      <c r="U32">
        <f>U31-'Demand Supply gap'!P12</f>
        <v>0</v>
      </c>
      <c r="V32">
        <f>V31-'Demand Supply gap'!Q12</f>
        <v>0</v>
      </c>
      <c r="W32">
        <f>W31-'Demand Supply gap'!R12</f>
        <v>0</v>
      </c>
      <c r="X32">
        <f>X31-'Demand Supply gap'!S12</f>
        <v>0</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271D4D-25C2-42AD-BD50-28DE0A1F6316}">
  <dimension ref="A1:T38"/>
  <sheetViews>
    <sheetView workbookViewId="0">
      <selection activeCell="S14" sqref="S14"/>
    </sheetView>
  </sheetViews>
  <sheetFormatPr defaultRowHeight="15" x14ac:dyDescent="0.25"/>
  <cols>
    <col min="1" max="1" width="17.85546875" bestFit="1" customWidth="1"/>
    <col min="2" max="2" width="9" bestFit="1" customWidth="1"/>
  </cols>
  <sheetData>
    <row r="1" spans="1:20" x14ac:dyDescent="0.25">
      <c r="A1" s="99" t="s">
        <v>318</v>
      </c>
      <c r="B1" s="100">
        <v>2015</v>
      </c>
      <c r="C1" s="100">
        <v>2016</v>
      </c>
      <c r="D1" s="100">
        <v>2017</v>
      </c>
      <c r="E1" s="100">
        <v>2018</v>
      </c>
      <c r="F1" s="100">
        <v>2019</v>
      </c>
      <c r="G1" s="100">
        <v>2020</v>
      </c>
      <c r="H1" s="100">
        <v>2021</v>
      </c>
      <c r="I1" s="100" t="s">
        <v>296</v>
      </c>
      <c r="J1" s="100" t="s">
        <v>10</v>
      </c>
      <c r="K1" s="100" t="s">
        <v>11</v>
      </c>
      <c r="L1" s="100" t="s">
        <v>12</v>
      </c>
      <c r="M1" s="100" t="s">
        <v>13</v>
      </c>
      <c r="N1" s="100" t="s">
        <v>14</v>
      </c>
      <c r="O1" s="100" t="s">
        <v>15</v>
      </c>
      <c r="P1" s="100" t="s">
        <v>16</v>
      </c>
      <c r="Q1" s="100" t="s">
        <v>17</v>
      </c>
      <c r="R1" s="100" t="s">
        <v>293</v>
      </c>
      <c r="S1" s="100" t="s">
        <v>319</v>
      </c>
    </row>
    <row r="2" spans="1:20" x14ac:dyDescent="0.25">
      <c r="A2" s="70" t="s">
        <v>317</v>
      </c>
      <c r="B2" s="84">
        <v>0.65140000000000009</v>
      </c>
      <c r="C2" s="84">
        <v>0.65220000000000011</v>
      </c>
      <c r="D2" s="84">
        <v>0.65370000000000006</v>
      </c>
      <c r="E2" s="84">
        <v>0.65520000000000012</v>
      </c>
      <c r="F2" s="84">
        <v>0.65730000000000011</v>
      </c>
      <c r="G2" s="85">
        <v>0.65400000000000014</v>
      </c>
      <c r="H2" s="84">
        <v>0.65820000000000012</v>
      </c>
      <c r="I2" s="84">
        <v>0.66080000000000005</v>
      </c>
      <c r="J2" s="84">
        <v>0.66220000000000012</v>
      </c>
      <c r="K2" s="84">
        <v>0.66350000000000009</v>
      </c>
      <c r="L2" s="84">
        <v>0.6644000000000001</v>
      </c>
      <c r="M2" s="84">
        <v>0.66520000000000012</v>
      </c>
      <c r="N2" s="84">
        <v>0.66600000000000015</v>
      </c>
      <c r="O2" s="84">
        <v>0.66720000000000013</v>
      </c>
      <c r="P2" s="84">
        <v>0.66800000000000015</v>
      </c>
      <c r="Q2" s="84">
        <v>0.66860000000000008</v>
      </c>
      <c r="R2" s="84">
        <v>0.66920000000000013</v>
      </c>
      <c r="S2" s="84">
        <v>0.67060000000000008</v>
      </c>
    </row>
    <row r="3" spans="1:20" x14ac:dyDescent="0.25">
      <c r="A3" s="70" t="s">
        <v>100</v>
      </c>
      <c r="B3" s="84">
        <v>0.15229999999999999</v>
      </c>
      <c r="C3" s="84">
        <v>0.1517</v>
      </c>
      <c r="D3" s="84">
        <v>0.15139999999999998</v>
      </c>
      <c r="E3" s="84">
        <v>0.15060000000000001</v>
      </c>
      <c r="F3" s="84">
        <v>0.15039999999999998</v>
      </c>
      <c r="G3" s="85">
        <v>0.1492</v>
      </c>
      <c r="H3" s="84">
        <v>0.14850000000000002</v>
      </c>
      <c r="I3" s="84">
        <v>0.1482</v>
      </c>
      <c r="J3" s="84">
        <v>0.1477</v>
      </c>
      <c r="K3" s="84">
        <v>0.14729999999999999</v>
      </c>
      <c r="L3" s="84">
        <v>0.14650000000000002</v>
      </c>
      <c r="M3" s="84">
        <v>0.14550000000000002</v>
      </c>
      <c r="N3" s="84">
        <v>0.14529999999999998</v>
      </c>
      <c r="O3" s="84">
        <v>0.14439999999999997</v>
      </c>
      <c r="P3" s="84">
        <v>0.14410000000000001</v>
      </c>
      <c r="Q3" s="84">
        <v>0.14319999999999999</v>
      </c>
      <c r="R3" s="84">
        <v>0.1426</v>
      </c>
      <c r="S3" s="84">
        <v>0.14219999999999999</v>
      </c>
    </row>
    <row r="4" spans="1:20" x14ac:dyDescent="0.25">
      <c r="A4" s="70" t="s">
        <v>77</v>
      </c>
      <c r="B4" s="84">
        <v>0.12369999999999999</v>
      </c>
      <c r="C4" s="84">
        <v>0.12319999999999999</v>
      </c>
      <c r="D4" s="84">
        <v>0.12299999999999998</v>
      </c>
      <c r="E4" s="84">
        <v>0.12249999999999998</v>
      </c>
      <c r="F4" s="84">
        <v>0.12230000000000001</v>
      </c>
      <c r="G4" s="85">
        <v>0.12180000000000001</v>
      </c>
      <c r="H4" s="84">
        <v>0.1216</v>
      </c>
      <c r="I4" s="84">
        <v>0.12119999999999999</v>
      </c>
      <c r="J4" s="84">
        <v>0.1208</v>
      </c>
      <c r="K4" s="84">
        <v>0.12050000000000001</v>
      </c>
      <c r="L4" s="84">
        <v>0.12019999999999999</v>
      </c>
      <c r="M4" s="84">
        <v>0.1198</v>
      </c>
      <c r="N4" s="84">
        <v>0.11950000000000001</v>
      </c>
      <c r="O4" s="84">
        <v>0.1191</v>
      </c>
      <c r="P4" s="84">
        <v>0.1188</v>
      </c>
      <c r="Q4" s="84">
        <v>0.11839999999999999</v>
      </c>
      <c r="R4" s="84">
        <v>0.11819999999999999</v>
      </c>
      <c r="S4" s="84">
        <v>0.11800000000000001</v>
      </c>
    </row>
    <row r="5" spans="1:20" x14ac:dyDescent="0.25">
      <c r="A5" s="70" t="s">
        <v>114</v>
      </c>
      <c r="B5" s="84">
        <v>4.1599999999999998E-2</v>
      </c>
      <c r="C5" s="84">
        <v>4.2499999999999996E-2</v>
      </c>
      <c r="D5" s="84">
        <v>4.3200000000000002E-2</v>
      </c>
      <c r="E5" s="84">
        <v>4.3700000000000003E-2</v>
      </c>
      <c r="F5" s="84">
        <v>4.4599999999999987E-2</v>
      </c>
      <c r="G5" s="85">
        <v>4.5099999999999987E-2</v>
      </c>
      <c r="H5" s="84">
        <v>4.5499999999999999E-2</v>
      </c>
      <c r="I5" s="84">
        <v>4.6200000000000005E-2</v>
      </c>
      <c r="J5" s="84">
        <v>4.6700000000000005E-2</v>
      </c>
      <c r="K5" s="84">
        <v>4.7200000000000006E-2</v>
      </c>
      <c r="L5" s="84">
        <v>4.7500000000000001E-2</v>
      </c>
      <c r="M5" s="84">
        <v>4.7799999999999995E-2</v>
      </c>
      <c r="N5" s="84">
        <v>4.8200000000000007E-2</v>
      </c>
      <c r="O5" s="84">
        <v>4.859999999999999E-2</v>
      </c>
      <c r="P5" s="84">
        <v>4.9000000000000002E-2</v>
      </c>
      <c r="Q5" s="84">
        <v>4.9200000000000008E-2</v>
      </c>
      <c r="R5" s="84">
        <v>4.9000000000000002E-2</v>
      </c>
      <c r="S5" s="84">
        <v>4.859999999999999E-2</v>
      </c>
    </row>
    <row r="6" spans="1:20" x14ac:dyDescent="0.25">
      <c r="A6" s="70" t="s">
        <v>126</v>
      </c>
      <c r="B6" s="84">
        <f>B7-SUM(B2:B5)</f>
        <v>3.0999999999999917E-2</v>
      </c>
      <c r="C6" s="84">
        <f t="shared" ref="C6:S6" si="0">C7-SUM(C2:C5)</f>
        <v>3.0399999999999983E-2</v>
      </c>
      <c r="D6" s="84">
        <f t="shared" si="0"/>
        <v>2.8699999999999948E-2</v>
      </c>
      <c r="E6" s="84">
        <f t="shared" si="0"/>
        <v>2.8000000000000025E-2</v>
      </c>
      <c r="F6" s="84">
        <f t="shared" si="0"/>
        <v>2.5399999999999978E-2</v>
      </c>
      <c r="G6" s="85">
        <f t="shared" si="0"/>
        <v>2.9899999999999816E-2</v>
      </c>
      <c r="H6" s="84">
        <f t="shared" si="0"/>
        <v>2.6199999999999779E-2</v>
      </c>
      <c r="I6" s="84">
        <f t="shared" si="0"/>
        <v>2.3599999999999954E-2</v>
      </c>
      <c r="J6" s="84">
        <f t="shared" si="0"/>
        <v>2.2599999999999953E-2</v>
      </c>
      <c r="K6" s="84">
        <f t="shared" si="0"/>
        <v>2.1499999999999853E-2</v>
      </c>
      <c r="L6" s="84">
        <f t="shared" si="0"/>
        <v>2.1399999999999864E-2</v>
      </c>
      <c r="M6" s="84">
        <f t="shared" si="0"/>
        <v>2.1699999999999831E-2</v>
      </c>
      <c r="N6" s="84">
        <f t="shared" si="0"/>
        <v>2.0999999999999797E-2</v>
      </c>
      <c r="O6" s="84">
        <f t="shared" si="0"/>
        <v>2.0699999999999941E-2</v>
      </c>
      <c r="P6" s="84">
        <f t="shared" si="0"/>
        <v>2.0099999999999785E-2</v>
      </c>
      <c r="Q6" s="84">
        <f t="shared" si="0"/>
        <v>2.0599999999999952E-2</v>
      </c>
      <c r="R6" s="84">
        <f t="shared" si="0"/>
        <v>2.0999999999999908E-2</v>
      </c>
      <c r="S6" s="84">
        <f t="shared" si="0"/>
        <v>2.0599999999999952E-2</v>
      </c>
    </row>
    <row r="7" spans="1:20" x14ac:dyDescent="0.25">
      <c r="A7" s="101" t="s">
        <v>63</v>
      </c>
      <c r="B7" s="102">
        <v>1</v>
      </c>
      <c r="C7" s="102">
        <v>1</v>
      </c>
      <c r="D7" s="102">
        <v>1</v>
      </c>
      <c r="E7" s="102">
        <v>1</v>
      </c>
      <c r="F7" s="102">
        <v>1</v>
      </c>
      <c r="G7" s="102">
        <v>1</v>
      </c>
      <c r="H7" s="102">
        <v>1</v>
      </c>
      <c r="I7" s="102">
        <v>1</v>
      </c>
      <c r="J7" s="102">
        <v>1</v>
      </c>
      <c r="K7" s="102">
        <v>1</v>
      </c>
      <c r="L7" s="102">
        <v>1</v>
      </c>
      <c r="M7" s="102">
        <v>1</v>
      </c>
      <c r="N7" s="102">
        <v>1</v>
      </c>
      <c r="O7" s="102">
        <v>1</v>
      </c>
      <c r="P7" s="102">
        <v>1</v>
      </c>
      <c r="Q7" s="102">
        <v>1</v>
      </c>
      <c r="R7" s="102">
        <v>1</v>
      </c>
      <c r="S7" s="102">
        <v>1</v>
      </c>
    </row>
    <row r="9" spans="1:20" x14ac:dyDescent="0.25">
      <c r="F9" s="64"/>
    </row>
    <row r="10" spans="1:20" x14ac:dyDescent="0.25">
      <c r="D10" s="64"/>
      <c r="E10" s="64"/>
      <c r="F10" s="64"/>
    </row>
    <row r="11" spans="1:20" x14ac:dyDescent="0.25">
      <c r="A11" s="99" t="s">
        <v>318</v>
      </c>
      <c r="B11" s="100">
        <v>2015</v>
      </c>
      <c r="C11" s="100">
        <v>2016</v>
      </c>
      <c r="D11" s="100">
        <v>2017</v>
      </c>
      <c r="E11" s="100">
        <v>2018</v>
      </c>
      <c r="F11" s="100">
        <v>2019</v>
      </c>
      <c r="G11" s="100">
        <v>2020</v>
      </c>
      <c r="H11" s="100">
        <v>2021</v>
      </c>
      <c r="I11" s="100" t="s">
        <v>296</v>
      </c>
      <c r="J11" s="100" t="s">
        <v>10</v>
      </c>
      <c r="K11" s="100" t="s">
        <v>11</v>
      </c>
      <c r="L11" s="100" t="s">
        <v>12</v>
      </c>
      <c r="M11" s="100" t="s">
        <v>13</v>
      </c>
      <c r="N11" s="100" t="s">
        <v>14</v>
      </c>
      <c r="O11" s="100" t="s">
        <v>15</v>
      </c>
      <c r="P11" s="100" t="s">
        <v>16</v>
      </c>
      <c r="Q11" s="100" t="s">
        <v>17</v>
      </c>
      <c r="R11" s="100" t="s">
        <v>293</v>
      </c>
      <c r="S11" s="100" t="s">
        <v>319</v>
      </c>
    </row>
    <row r="12" spans="1:20" x14ac:dyDescent="0.25">
      <c r="A12" s="70" t="s">
        <v>317</v>
      </c>
      <c r="B12" s="96">
        <f>ROUND(B2*'Demand Supply gap'!B$8,2)</f>
        <v>47883.47</v>
      </c>
      <c r="C12" s="96">
        <f>ROUND(C2*'Demand Supply gap'!C$8,2)</f>
        <v>49507.57</v>
      </c>
      <c r="D12" s="96">
        <f>ROUND(D2*'Demand Supply gap'!D$8,2)</f>
        <v>51135.28</v>
      </c>
      <c r="E12" s="96">
        <f>ROUND(E2*'Demand Supply gap'!E$8,2)</f>
        <v>53476.959999999999</v>
      </c>
      <c r="F12" s="96">
        <f>ROUND(F2*'Demand Supply gap'!F$8,2)</f>
        <v>56506.21</v>
      </c>
      <c r="G12" s="96">
        <f>ROUND(G2*'Demand Supply gap'!G$8,2)</f>
        <v>54601.45</v>
      </c>
      <c r="H12" s="96">
        <f>ROUND(H2*'Demand Supply gap'!H$8,2)</f>
        <v>57479.22</v>
      </c>
      <c r="I12" s="96">
        <f>ROUND(I2*'Demand Supply gap'!I$8,2)</f>
        <v>59726</v>
      </c>
      <c r="J12" s="96">
        <f>ROUND(J2*'Demand Supply gap'!J$8,2)</f>
        <v>62019.199999999997</v>
      </c>
      <c r="K12" s="96">
        <f>ROUND(K2*'Demand Supply gap'!K$8,2)</f>
        <v>64502.31</v>
      </c>
      <c r="L12" s="96">
        <f>ROUND(L2*'Demand Supply gap'!L$8,2)</f>
        <v>67186.31</v>
      </c>
      <c r="M12" s="96">
        <f>ROUND(M2*'Demand Supply gap'!M$8,2)</f>
        <v>70105.88</v>
      </c>
      <c r="N12" s="96">
        <f>ROUND(N2*'Demand Supply gap'!N$8,2)</f>
        <v>73194.34</v>
      </c>
      <c r="O12" s="96">
        <f>ROUND(O2*'Demand Supply gap'!O$8,2)</f>
        <v>76523.240000000005</v>
      </c>
      <c r="P12" s="96">
        <f>ROUND(P2*'Demand Supply gap'!P$8,2)</f>
        <v>79986.06</v>
      </c>
      <c r="Q12" s="96">
        <f>ROUND(Q2*'Demand Supply gap'!Q$8,2)</f>
        <v>83628.479999999996</v>
      </c>
      <c r="R12" s="96">
        <f>ROUND(R2*'Demand Supply gap'!R$8,2)</f>
        <v>87520.41</v>
      </c>
      <c r="S12" s="96">
        <f>ROUND(S2*'Demand Supply gap'!S$8,2)</f>
        <v>91772.95</v>
      </c>
      <c r="T12" s="19">
        <f>(S12/I12)^(1/10)-1</f>
        <v>4.3890934926115621E-2</v>
      </c>
    </row>
    <row r="13" spans="1:20" x14ac:dyDescent="0.25">
      <c r="A13" s="70" t="s">
        <v>100</v>
      </c>
      <c r="B13" s="96">
        <f>ROUND(B3*'Demand Supply gap'!B$8,2)</f>
        <v>11195.35</v>
      </c>
      <c r="C13" s="96">
        <f>ROUND(C3*'Demand Supply gap'!C$8,2)</f>
        <v>11515.33</v>
      </c>
      <c r="D13" s="96">
        <f>ROUND(D3*'Demand Supply gap'!D$8,2)</f>
        <v>11843.17</v>
      </c>
      <c r="E13" s="96">
        <f>ROUND(E3*'Demand Supply gap'!E$8,2)</f>
        <v>12291.87</v>
      </c>
      <c r="F13" s="96">
        <f>ROUND(F3*'Demand Supply gap'!F$8,2)</f>
        <v>12929.46</v>
      </c>
      <c r="G13" s="96">
        <f>ROUND(G3*'Demand Supply gap'!G$8,2)</f>
        <v>12456.48</v>
      </c>
      <c r="H13" s="96">
        <f>ROUND(H3*'Demand Supply gap'!H$8,2)</f>
        <v>12968.19</v>
      </c>
      <c r="I13" s="96">
        <f>ROUND(I3*'Demand Supply gap'!I$8,2)</f>
        <v>13394.96</v>
      </c>
      <c r="J13" s="96">
        <f>ROUND(J3*'Demand Supply gap'!J$8,2)</f>
        <v>13833.03</v>
      </c>
      <c r="K13" s="96">
        <f>ROUND(K3*'Demand Supply gap'!K$8,2)</f>
        <v>14319.8</v>
      </c>
      <c r="L13" s="96">
        <f>ROUND(L3*'Demand Supply gap'!L$8,2)</f>
        <v>14814.56</v>
      </c>
      <c r="M13" s="96">
        <f>ROUND(M3*'Demand Supply gap'!M$8,2)</f>
        <v>15334.34</v>
      </c>
      <c r="N13" s="96">
        <f>ROUND(N3*'Demand Supply gap'!N$8,2)</f>
        <v>15968.67</v>
      </c>
      <c r="O13" s="96">
        <f>ROUND(O3*'Demand Supply gap'!O$8,2)</f>
        <v>16561.68</v>
      </c>
      <c r="P13" s="96">
        <f>ROUND(P3*'Demand Supply gap'!P$8,2)</f>
        <v>17254.48</v>
      </c>
      <c r="Q13" s="96">
        <f>ROUND(Q3*'Demand Supply gap'!Q$8,2)</f>
        <v>17911.45</v>
      </c>
      <c r="R13" s="96">
        <f>ROUND(R3*'Demand Supply gap'!R$8,2)</f>
        <v>18649.75</v>
      </c>
      <c r="S13" s="96">
        <f>ROUND(S3*'Demand Supply gap'!S$8,2)</f>
        <v>19460.349999999999</v>
      </c>
      <c r="T13" s="19">
        <f t="shared" ref="T13:T16" si="1">(S13/I13)^(1/10)-1</f>
        <v>3.8056333577610735E-2</v>
      </c>
    </row>
    <row r="14" spans="1:20" x14ac:dyDescent="0.25">
      <c r="A14" s="70" t="s">
        <v>77</v>
      </c>
      <c r="B14" s="96">
        <f>ROUND(B4*'Demand Supply gap'!B$8,2)</f>
        <v>9093.01</v>
      </c>
      <c r="C14" s="96">
        <f>ROUND(C4*'Demand Supply gap'!C$8,2)</f>
        <v>9351.94</v>
      </c>
      <c r="D14" s="96">
        <f>ROUND(D4*'Demand Supply gap'!D$8,2)</f>
        <v>9621.6</v>
      </c>
      <c r="E14" s="96">
        <f>ROUND(E4*'Demand Supply gap'!E$8,2)</f>
        <v>9998.36</v>
      </c>
      <c r="F14" s="96">
        <f>ROUND(F4*'Demand Supply gap'!F$8,2)</f>
        <v>10513.78</v>
      </c>
      <c r="G14" s="96">
        <f>ROUND(G4*'Demand Supply gap'!G$8,2)</f>
        <v>10168.89</v>
      </c>
      <c r="H14" s="72">
        <f>ROUND(H4*'Demand Supply gap'!H$8,2)</f>
        <v>10619.07</v>
      </c>
      <c r="I14" s="96">
        <f>ROUND(I4*'Demand Supply gap'!I$8,2)</f>
        <v>10954.59</v>
      </c>
      <c r="J14" s="96">
        <f>ROUND(J4*'Demand Supply gap'!J$8,2)</f>
        <v>11313.68</v>
      </c>
      <c r="K14" s="96">
        <f>ROUND(K4*'Demand Supply gap'!K$8,2)</f>
        <v>11714.44</v>
      </c>
      <c r="L14" s="96">
        <f>ROUND(L4*'Demand Supply gap'!L$8,2)</f>
        <v>12155.02</v>
      </c>
      <c r="M14" s="96">
        <f>ROUND(M4*'Demand Supply gap'!M$8,2)</f>
        <v>12625.8</v>
      </c>
      <c r="N14" s="96">
        <f>ROUND(N4*'Demand Supply gap'!N$8,2)</f>
        <v>13133.22</v>
      </c>
      <c r="O14" s="96">
        <f>ROUND(O4*'Demand Supply gap'!O$8,2)</f>
        <v>13659.95</v>
      </c>
      <c r="P14" s="96">
        <f>ROUND(P4*'Demand Supply gap'!P$8,2)</f>
        <v>14225.06</v>
      </c>
      <c r="Q14" s="96">
        <f>ROUND(Q4*'Demand Supply gap'!Q$8,2)</f>
        <v>14809.47</v>
      </c>
      <c r="R14" s="96">
        <f>ROUND(R4*'Demand Supply gap'!R$8,2)</f>
        <v>15458.63</v>
      </c>
      <c r="S14" s="72">
        <f>ROUND(S4*'Demand Supply gap'!S$8,2)</f>
        <v>16148.54</v>
      </c>
      <c r="T14" s="19">
        <f t="shared" si="1"/>
        <v>3.956994130909397E-2</v>
      </c>
    </row>
    <row r="15" spans="1:20" x14ac:dyDescent="0.25">
      <c r="A15" s="70" t="s">
        <v>114</v>
      </c>
      <c r="B15" s="96">
        <f>ROUND(B5*'Demand Supply gap'!B$8,2)</f>
        <v>3057.96</v>
      </c>
      <c r="C15" s="96">
        <f>ROUND(C5*'Demand Supply gap'!C$8,2)</f>
        <v>3226.11</v>
      </c>
      <c r="D15" s="96">
        <f>ROUND(D5*'Demand Supply gap'!D$8,2)</f>
        <v>3379.29</v>
      </c>
      <c r="E15" s="96">
        <f>ROUND(E5*'Demand Supply gap'!E$8,2)</f>
        <v>3566.76</v>
      </c>
      <c r="F15" s="96">
        <f>ROUND(F5*'Demand Supply gap'!F$8,2)</f>
        <v>3834.14</v>
      </c>
      <c r="G15" s="96">
        <f>ROUND(G5*'Demand Supply gap'!G$8,2)</f>
        <v>3765.33</v>
      </c>
      <c r="H15" s="96">
        <f>ROUND(H5*'Demand Supply gap'!H$8,2)</f>
        <v>3973.42</v>
      </c>
      <c r="I15" s="96">
        <f>ROUND(I5*'Demand Supply gap'!I$8,2)</f>
        <v>4175.76</v>
      </c>
      <c r="J15" s="96">
        <f>ROUND(J5*'Demand Supply gap'!J$8,2)</f>
        <v>4373.75</v>
      </c>
      <c r="K15" s="96">
        <f>ROUND(K5*'Demand Supply gap'!K$8,2)</f>
        <v>4588.5600000000004</v>
      </c>
      <c r="L15" s="96">
        <f>ROUND(L5*'Demand Supply gap'!L$8,2)</f>
        <v>4803.3599999999997</v>
      </c>
      <c r="M15" s="96">
        <f>ROUND(M5*'Demand Supply gap'!M$8,2)</f>
        <v>5037.67</v>
      </c>
      <c r="N15" s="96">
        <f>ROUND(N5*'Demand Supply gap'!N$8,2)</f>
        <v>5297.25</v>
      </c>
      <c r="O15" s="96">
        <f>ROUND(O5*'Demand Supply gap'!O$8,2)</f>
        <v>5574.09</v>
      </c>
      <c r="P15" s="96">
        <f>ROUND(P5*'Demand Supply gap'!P$8,2)</f>
        <v>5867.24</v>
      </c>
      <c r="Q15" s="96">
        <f>ROUND(Q5*'Demand Supply gap'!Q$8,2)</f>
        <v>6153.94</v>
      </c>
      <c r="R15" s="96">
        <f>ROUND(R5*'Demand Supply gap'!R$8,2)</f>
        <v>6408.4</v>
      </c>
      <c r="S15" s="96">
        <f>ROUND(S5*'Demand Supply gap'!S$8,2)</f>
        <v>6651.01</v>
      </c>
      <c r="T15" s="19">
        <f t="shared" si="1"/>
        <v>4.7647563026477435E-2</v>
      </c>
    </row>
    <row r="16" spans="1:20" x14ac:dyDescent="0.25">
      <c r="A16" s="70" t="s">
        <v>126</v>
      </c>
      <c r="B16" s="96">
        <f>ROUND(B6*'Demand Supply gap'!B$8,2)</f>
        <v>2278.77</v>
      </c>
      <c r="C16" s="96">
        <f>ROUND(C6*'Demand Supply gap'!C$8,2)</f>
        <v>2307.62</v>
      </c>
      <c r="D16" s="96">
        <f>ROUND(D6*'Demand Supply gap'!D$8,2)</f>
        <v>2245.04</v>
      </c>
      <c r="E16" s="96">
        <f>ROUND(E6*'Demand Supply gap'!E$8,2)</f>
        <v>2285.34</v>
      </c>
      <c r="F16" s="96">
        <f>ROUND(F6*'Demand Supply gap'!F$8,2)</f>
        <v>2183.5700000000002</v>
      </c>
      <c r="G16" s="96">
        <f>ROUND(G6*'Demand Supply gap'!G$8,2)</f>
        <v>2496.3000000000002</v>
      </c>
      <c r="H16" s="96">
        <f>ROUND(H6*'Demand Supply gap'!H$8,2)</f>
        <v>2287.9899999999998</v>
      </c>
      <c r="I16" s="96">
        <f>ROUND(I6*'Demand Supply gap'!I$8,2)</f>
        <v>2133.0700000000002</v>
      </c>
      <c r="J16" s="96">
        <f>ROUND(J6*'Demand Supply gap'!J$8,2)</f>
        <v>2116.63</v>
      </c>
      <c r="K16" s="96">
        <f>ROUND(K6*'Demand Supply gap'!K$8,2)</f>
        <v>2090.13</v>
      </c>
      <c r="L16" s="96">
        <f>ROUND(L6*'Demand Supply gap'!L$8,2)</f>
        <v>2164.04</v>
      </c>
      <c r="M16" s="96">
        <f>ROUND(M6*'Demand Supply gap'!M$8,2)</f>
        <v>2286.98</v>
      </c>
      <c r="N16" s="96">
        <f>ROUND(N6*'Demand Supply gap'!N$8,2)</f>
        <v>2307.9299999999998</v>
      </c>
      <c r="O16" s="96">
        <f>ROUND(O6*'Demand Supply gap'!O$8,2)</f>
        <v>2374.15</v>
      </c>
      <c r="P16" s="96">
        <f>ROUND(P6*'Demand Supply gap'!P$8,2)</f>
        <v>2406.77</v>
      </c>
      <c r="Q16" s="96">
        <f>ROUND(Q6*'Demand Supply gap'!Q$8,2)</f>
        <v>2576.65</v>
      </c>
      <c r="R16" s="96">
        <f>ROUND(R6*'Demand Supply gap'!R$8,2)</f>
        <v>2746.46</v>
      </c>
      <c r="S16" s="96">
        <f>ROUND(S6*'Demand Supply gap'!S$8,2)</f>
        <v>2819.15</v>
      </c>
      <c r="T16" s="19">
        <f t="shared" si="1"/>
        <v>2.8279807673328827E-2</v>
      </c>
    </row>
    <row r="17" spans="1:19" x14ac:dyDescent="0.25">
      <c r="A17" s="101" t="s">
        <v>63</v>
      </c>
      <c r="B17" s="96">
        <f>SUM(B12:B16)</f>
        <v>73508.560000000012</v>
      </c>
      <c r="C17" s="96">
        <f t="shared" ref="C17:S17" si="2">SUM(C12:C16)</f>
        <v>75908.569999999992</v>
      </c>
      <c r="D17" s="96">
        <f t="shared" si="2"/>
        <v>78224.37999999999</v>
      </c>
      <c r="E17" s="96">
        <f t="shared" si="2"/>
        <v>81619.289999999994</v>
      </c>
      <c r="F17" s="96">
        <f t="shared" si="2"/>
        <v>85967.16</v>
      </c>
      <c r="G17" s="96">
        <f t="shared" si="2"/>
        <v>83488.45</v>
      </c>
      <c r="H17" s="96">
        <f t="shared" si="2"/>
        <v>87327.890000000014</v>
      </c>
      <c r="I17" s="96">
        <f t="shared" si="2"/>
        <v>90384.37999999999</v>
      </c>
      <c r="J17" s="96">
        <f t="shared" si="2"/>
        <v>93656.290000000008</v>
      </c>
      <c r="K17" s="96">
        <f t="shared" si="2"/>
        <v>97215.24</v>
      </c>
      <c r="L17" s="96">
        <f t="shared" si="2"/>
        <v>101123.29</v>
      </c>
      <c r="M17" s="96">
        <f t="shared" si="2"/>
        <v>105390.67</v>
      </c>
      <c r="N17" s="96">
        <f t="shared" si="2"/>
        <v>109901.40999999999</v>
      </c>
      <c r="O17" s="96">
        <f t="shared" si="2"/>
        <v>114693.11</v>
      </c>
      <c r="P17" s="96">
        <f t="shared" si="2"/>
        <v>119739.61</v>
      </c>
      <c r="Q17" s="96">
        <f t="shared" si="2"/>
        <v>125079.98999999999</v>
      </c>
      <c r="R17" s="96">
        <f t="shared" si="2"/>
        <v>130783.65000000001</v>
      </c>
      <c r="S17" s="96">
        <f t="shared" si="2"/>
        <v>136852</v>
      </c>
    </row>
    <row r="18" spans="1:19" x14ac:dyDescent="0.25">
      <c r="B18" s="98">
        <f>B17-'Demand Supply gap'!B8</f>
        <v>1.0000000009313226E-2</v>
      </c>
      <c r="C18" s="98">
        <f>C17-'Demand Supply gap'!C8</f>
        <v>0</v>
      </c>
      <c r="D18" s="98">
        <f>D17-'Demand Supply gap'!D8</f>
        <v>0</v>
      </c>
      <c r="E18" s="98">
        <f>E17-'Demand Supply gap'!E8</f>
        <v>0</v>
      </c>
      <c r="F18" s="98">
        <f>F17-'Demand Supply gap'!F8</f>
        <v>0</v>
      </c>
      <c r="G18" s="98">
        <f>G17-'Demand Supply gap'!G8</f>
        <v>-1.0000000009313226E-2</v>
      </c>
      <c r="H18" s="98">
        <f>H17-'Demand Supply gap'!H8</f>
        <v>-9.9999999802093953E-3</v>
      </c>
      <c r="I18" s="98">
        <f>I17-'Demand Supply gap'!I8</f>
        <v>3.4999999916180968E-3</v>
      </c>
      <c r="J18" s="98">
        <f>J17-'Demand Supply gap'!J8</f>
        <v>-9.2929998936597258E-4</v>
      </c>
      <c r="K18" s="98">
        <f>K17-'Demand Supply gap'!K8</f>
        <v>1.0015386607847176E-2</v>
      </c>
      <c r="L18" s="98">
        <f>L17-'Demand Supply gap'!L8</f>
        <v>7.7700051333522424E-3</v>
      </c>
      <c r="M18" s="98">
        <f>M17-'Demand Supply gap'!M8</f>
        <v>-1.4740100639755838E-2</v>
      </c>
      <c r="N18" s="98">
        <f>N17-'Demand Supply gap'!N8</f>
        <v>3.9530230424134061E-3</v>
      </c>
      <c r="O18" s="98">
        <f>O17-'Demand Supply gap'!O8</f>
        <v>2.6493748591747135E-3</v>
      </c>
      <c r="P18" s="98">
        <f>P17-'Demand Supply gap'!P8</f>
        <v>5.9259473491692916E-3</v>
      </c>
      <c r="Q18" s="98">
        <f>Q17-'Demand Supply gap'!Q8</f>
        <v>-4.1575540672056377E-4</v>
      </c>
      <c r="R18" s="98">
        <f>R17-'Demand Supply gap'!R8</f>
        <v>1.2021286165690981E-2</v>
      </c>
      <c r="S18" s="98">
        <f>S17-'Demand Supply gap'!S8</f>
        <v>1.2190738343633711E-3</v>
      </c>
    </row>
    <row r="20" spans="1:19" x14ac:dyDescent="0.25">
      <c r="A20" t="s">
        <v>320</v>
      </c>
    </row>
    <row r="22" spans="1:19" x14ac:dyDescent="0.25">
      <c r="A22" s="99" t="s">
        <v>318</v>
      </c>
      <c r="B22" s="100">
        <v>2015</v>
      </c>
      <c r="C22" s="100">
        <v>2016</v>
      </c>
      <c r="D22" s="100">
        <v>2017</v>
      </c>
      <c r="E22" s="100">
        <v>2018</v>
      </c>
      <c r="F22" s="100">
        <v>2019</v>
      </c>
      <c r="G22" s="100">
        <v>2020</v>
      </c>
      <c r="H22" s="100">
        <v>2021</v>
      </c>
      <c r="I22" s="100" t="s">
        <v>296</v>
      </c>
      <c r="J22" s="100" t="s">
        <v>10</v>
      </c>
      <c r="K22" s="100" t="s">
        <v>11</v>
      </c>
      <c r="L22" s="100" t="s">
        <v>12</v>
      </c>
      <c r="M22" s="100" t="s">
        <v>13</v>
      </c>
      <c r="N22" s="100" t="s">
        <v>14</v>
      </c>
      <c r="O22" s="100" t="s">
        <v>15</v>
      </c>
      <c r="P22" s="100" t="s">
        <v>16</v>
      </c>
      <c r="Q22" s="100" t="s">
        <v>17</v>
      </c>
      <c r="R22" s="100" t="s">
        <v>293</v>
      </c>
      <c r="S22" s="100" t="s">
        <v>319</v>
      </c>
    </row>
    <row r="23" spans="1:19" x14ac:dyDescent="0.25">
      <c r="A23" s="70" t="s">
        <v>317</v>
      </c>
      <c r="B23" s="103">
        <f>B2-1.26%</f>
        <v>0.63880000000000003</v>
      </c>
      <c r="C23" s="103">
        <f t="shared" ref="C23:S23" si="3">C2-1.26%</f>
        <v>0.63960000000000017</v>
      </c>
      <c r="D23" s="103">
        <f t="shared" si="3"/>
        <v>0.6411</v>
      </c>
      <c r="E23" s="103">
        <f t="shared" si="3"/>
        <v>0.64260000000000006</v>
      </c>
      <c r="F23" s="103">
        <f t="shared" si="3"/>
        <v>0.64470000000000005</v>
      </c>
      <c r="G23" s="103">
        <f t="shared" si="3"/>
        <v>0.64140000000000019</v>
      </c>
      <c r="H23" s="103">
        <f t="shared" si="3"/>
        <v>0.64560000000000017</v>
      </c>
      <c r="I23" s="103">
        <f t="shared" si="3"/>
        <v>0.64820000000000011</v>
      </c>
      <c r="J23" s="103">
        <f t="shared" si="3"/>
        <v>0.64960000000000018</v>
      </c>
      <c r="K23" s="103">
        <f t="shared" si="3"/>
        <v>0.65090000000000003</v>
      </c>
      <c r="L23" s="103">
        <f t="shared" si="3"/>
        <v>0.65180000000000016</v>
      </c>
      <c r="M23" s="103">
        <f t="shared" si="3"/>
        <v>0.65260000000000007</v>
      </c>
      <c r="N23" s="103">
        <f t="shared" si="3"/>
        <v>0.6534000000000002</v>
      </c>
      <c r="O23" s="103">
        <f t="shared" si="3"/>
        <v>0.65460000000000007</v>
      </c>
      <c r="P23" s="103">
        <f t="shared" si="3"/>
        <v>0.6554000000000002</v>
      </c>
      <c r="Q23" s="103">
        <f t="shared" si="3"/>
        <v>0.65600000000000014</v>
      </c>
      <c r="R23" s="103">
        <f t="shared" si="3"/>
        <v>0.65660000000000007</v>
      </c>
      <c r="S23" s="103">
        <f t="shared" si="3"/>
        <v>0.65800000000000014</v>
      </c>
    </row>
    <row r="24" spans="1:19" x14ac:dyDescent="0.25">
      <c r="A24" s="70" t="s">
        <v>100</v>
      </c>
      <c r="B24" s="103">
        <f>B3+0.22%</f>
        <v>0.1545</v>
      </c>
      <c r="C24" s="103">
        <f t="shared" ref="C24:S24" si="4">C3+0.22%</f>
        <v>0.15390000000000001</v>
      </c>
      <c r="D24" s="103">
        <f t="shared" si="4"/>
        <v>0.15359999999999999</v>
      </c>
      <c r="E24" s="103">
        <f t="shared" si="4"/>
        <v>0.15280000000000002</v>
      </c>
      <c r="F24" s="103">
        <f t="shared" si="4"/>
        <v>0.15259999999999999</v>
      </c>
      <c r="G24" s="103">
        <f t="shared" si="4"/>
        <v>0.15140000000000001</v>
      </c>
      <c r="H24" s="103">
        <f t="shared" si="4"/>
        <v>0.15070000000000003</v>
      </c>
      <c r="I24" s="103">
        <f t="shared" si="4"/>
        <v>0.15040000000000001</v>
      </c>
      <c r="J24" s="103">
        <f t="shared" si="4"/>
        <v>0.14990000000000001</v>
      </c>
      <c r="K24" s="103">
        <f t="shared" si="4"/>
        <v>0.14949999999999999</v>
      </c>
      <c r="L24" s="103">
        <f t="shared" si="4"/>
        <v>0.14870000000000003</v>
      </c>
      <c r="M24" s="103">
        <f t="shared" si="4"/>
        <v>0.14770000000000003</v>
      </c>
      <c r="N24" s="103">
        <f t="shared" si="4"/>
        <v>0.14749999999999999</v>
      </c>
      <c r="O24" s="103">
        <f t="shared" si="4"/>
        <v>0.14659999999999998</v>
      </c>
      <c r="P24" s="103">
        <f t="shared" si="4"/>
        <v>0.14630000000000001</v>
      </c>
      <c r="Q24" s="103">
        <f t="shared" si="4"/>
        <v>0.1454</v>
      </c>
      <c r="R24" s="103">
        <f t="shared" si="4"/>
        <v>0.14480000000000001</v>
      </c>
      <c r="S24" s="103">
        <f t="shared" si="4"/>
        <v>0.1444</v>
      </c>
    </row>
    <row r="25" spans="1:19" x14ac:dyDescent="0.25">
      <c r="A25" s="70" t="s">
        <v>77</v>
      </c>
      <c r="B25" s="103">
        <f>B4+0.3%</f>
        <v>0.12669999999999998</v>
      </c>
      <c r="C25" s="103">
        <f t="shared" ref="C25:S25" si="5">C4+0.3%</f>
        <v>0.12619999999999998</v>
      </c>
      <c r="D25" s="103">
        <f t="shared" si="5"/>
        <v>0.12599999999999997</v>
      </c>
      <c r="E25" s="103">
        <f t="shared" si="5"/>
        <v>0.12549999999999997</v>
      </c>
      <c r="F25" s="103">
        <f t="shared" si="5"/>
        <v>0.12529999999999999</v>
      </c>
      <c r="G25" s="103">
        <f t="shared" si="5"/>
        <v>0.12480000000000001</v>
      </c>
      <c r="H25" s="103">
        <f t="shared" si="5"/>
        <v>0.1246</v>
      </c>
      <c r="I25" s="103">
        <f t="shared" si="5"/>
        <v>0.12419999999999999</v>
      </c>
      <c r="J25" s="103">
        <f t="shared" si="5"/>
        <v>0.12380000000000001</v>
      </c>
      <c r="K25" s="103">
        <f t="shared" si="5"/>
        <v>0.12350000000000001</v>
      </c>
      <c r="L25" s="103">
        <f t="shared" si="5"/>
        <v>0.12319999999999999</v>
      </c>
      <c r="M25" s="103">
        <f t="shared" si="5"/>
        <v>0.12280000000000001</v>
      </c>
      <c r="N25" s="103">
        <f t="shared" si="5"/>
        <v>0.12250000000000001</v>
      </c>
      <c r="O25" s="103">
        <f t="shared" si="5"/>
        <v>0.1221</v>
      </c>
      <c r="P25" s="103">
        <f t="shared" si="5"/>
        <v>0.12180000000000001</v>
      </c>
      <c r="Q25" s="103">
        <f t="shared" si="5"/>
        <v>0.12139999999999999</v>
      </c>
      <c r="R25" s="103">
        <f t="shared" si="5"/>
        <v>0.12119999999999999</v>
      </c>
      <c r="S25" s="103">
        <f t="shared" si="5"/>
        <v>0.12100000000000001</v>
      </c>
    </row>
    <row r="26" spans="1:19" x14ac:dyDescent="0.25">
      <c r="A26" s="70" t="s">
        <v>114</v>
      </c>
      <c r="B26" s="103">
        <f>B5+0.02%</f>
        <v>4.1799999999999997E-2</v>
      </c>
      <c r="C26" s="103">
        <f t="shared" ref="C26:S26" si="6">C5+0.02%</f>
        <v>4.2699999999999995E-2</v>
      </c>
      <c r="D26" s="103">
        <f t="shared" si="6"/>
        <v>4.3400000000000001E-2</v>
      </c>
      <c r="E26" s="103">
        <f t="shared" si="6"/>
        <v>4.3900000000000002E-2</v>
      </c>
      <c r="F26" s="103">
        <f t="shared" si="6"/>
        <v>4.4799999999999986E-2</v>
      </c>
      <c r="G26" s="103">
        <f t="shared" si="6"/>
        <v>4.5299999999999986E-2</v>
      </c>
      <c r="H26" s="103">
        <f t="shared" si="6"/>
        <v>4.5699999999999998E-2</v>
      </c>
      <c r="I26" s="103">
        <f t="shared" si="6"/>
        <v>4.6400000000000004E-2</v>
      </c>
      <c r="J26" s="103">
        <f t="shared" si="6"/>
        <v>4.6900000000000004E-2</v>
      </c>
      <c r="K26" s="103">
        <f t="shared" si="6"/>
        <v>4.7400000000000005E-2</v>
      </c>
      <c r="L26" s="103">
        <f t="shared" si="6"/>
        <v>4.7699999999999999E-2</v>
      </c>
      <c r="M26" s="103">
        <f t="shared" si="6"/>
        <v>4.7999999999999994E-2</v>
      </c>
      <c r="N26" s="103">
        <f t="shared" si="6"/>
        <v>4.8400000000000006E-2</v>
      </c>
      <c r="O26" s="103">
        <f t="shared" si="6"/>
        <v>4.8799999999999989E-2</v>
      </c>
      <c r="P26" s="103">
        <f t="shared" si="6"/>
        <v>4.9200000000000001E-2</v>
      </c>
      <c r="Q26" s="103">
        <f t="shared" si="6"/>
        <v>4.9400000000000006E-2</v>
      </c>
      <c r="R26" s="103">
        <f t="shared" si="6"/>
        <v>4.9200000000000001E-2</v>
      </c>
      <c r="S26" s="103">
        <f t="shared" si="6"/>
        <v>4.8799999999999989E-2</v>
      </c>
    </row>
    <row r="27" spans="1:19" x14ac:dyDescent="0.25">
      <c r="A27" s="70" t="s">
        <v>126</v>
      </c>
      <c r="B27" s="103">
        <f>1-SUM(B23:B26)</f>
        <v>3.8200000000000123E-2</v>
      </c>
      <c r="C27" s="103">
        <f t="shared" ref="C27:S27" si="7">1-SUM(C23:C26)</f>
        <v>3.7599999999999856E-2</v>
      </c>
      <c r="D27" s="103">
        <f t="shared" si="7"/>
        <v>3.5900000000000043E-2</v>
      </c>
      <c r="E27" s="103">
        <f t="shared" si="7"/>
        <v>3.5199999999999898E-2</v>
      </c>
      <c r="F27" s="103">
        <f t="shared" si="7"/>
        <v>3.2600000000000073E-2</v>
      </c>
      <c r="G27" s="103">
        <f t="shared" si="7"/>
        <v>3.70999999999998E-2</v>
      </c>
      <c r="H27" s="103">
        <f t="shared" si="7"/>
        <v>3.3399999999999763E-2</v>
      </c>
      <c r="I27" s="103">
        <f t="shared" si="7"/>
        <v>3.0799999999999939E-2</v>
      </c>
      <c r="J27" s="103">
        <f t="shared" si="7"/>
        <v>2.9799999999999716E-2</v>
      </c>
      <c r="K27" s="103">
        <f t="shared" si="7"/>
        <v>2.8699999999999948E-2</v>
      </c>
      <c r="L27" s="103">
        <f t="shared" si="7"/>
        <v>2.8599999999999848E-2</v>
      </c>
      <c r="M27" s="103">
        <f t="shared" si="7"/>
        <v>2.8899999999999815E-2</v>
      </c>
      <c r="N27" s="103">
        <f t="shared" si="7"/>
        <v>2.8199999999999781E-2</v>
      </c>
      <c r="O27" s="103">
        <f t="shared" si="7"/>
        <v>2.7900000000000036E-2</v>
      </c>
      <c r="P27" s="103">
        <f t="shared" si="7"/>
        <v>2.7299999999999769E-2</v>
      </c>
      <c r="Q27" s="103">
        <f t="shared" si="7"/>
        <v>2.7799999999999936E-2</v>
      </c>
      <c r="R27" s="103">
        <f t="shared" si="7"/>
        <v>2.8199999999999892E-2</v>
      </c>
      <c r="S27" s="103">
        <f t="shared" si="7"/>
        <v>2.7799999999999936E-2</v>
      </c>
    </row>
    <row r="28" spans="1:19" x14ac:dyDescent="0.25">
      <c r="A28" s="101" t="s">
        <v>63</v>
      </c>
    </row>
    <row r="31" spans="1:19" x14ac:dyDescent="0.25">
      <c r="A31" s="99" t="s">
        <v>318</v>
      </c>
      <c r="B31" s="100">
        <v>2015</v>
      </c>
      <c r="C31" s="100">
        <v>2016</v>
      </c>
      <c r="D31" s="100">
        <v>2017</v>
      </c>
      <c r="E31" s="100">
        <v>2018</v>
      </c>
      <c r="F31" s="100">
        <v>2019</v>
      </c>
      <c r="G31" s="100">
        <v>2020</v>
      </c>
      <c r="H31" s="100">
        <v>2021</v>
      </c>
      <c r="I31" s="100" t="s">
        <v>296</v>
      </c>
      <c r="J31" s="100" t="s">
        <v>10</v>
      </c>
      <c r="K31" s="100" t="s">
        <v>11</v>
      </c>
      <c r="L31" s="100" t="s">
        <v>12</v>
      </c>
      <c r="M31" s="100" t="s">
        <v>13</v>
      </c>
      <c r="N31" s="100" t="s">
        <v>14</v>
      </c>
      <c r="O31" s="100" t="s">
        <v>15</v>
      </c>
      <c r="P31" s="100" t="s">
        <v>16</v>
      </c>
      <c r="Q31" s="100" t="s">
        <v>17</v>
      </c>
      <c r="R31" s="100" t="s">
        <v>293</v>
      </c>
      <c r="S31" s="100" t="s">
        <v>319</v>
      </c>
    </row>
    <row r="32" spans="1:19" x14ac:dyDescent="0.25">
      <c r="A32" s="70" t="s">
        <v>317</v>
      </c>
      <c r="B32" s="22">
        <f>ROUND(B23*'Demand Supply gap'!B$12,2)</f>
        <v>16435.04</v>
      </c>
      <c r="C32" s="22">
        <f>ROUND(C23*'Demand Supply gap'!C$12,2)</f>
        <v>15050.85</v>
      </c>
      <c r="D32" s="22">
        <f>ROUND(D23*'Demand Supply gap'!D$12,2)</f>
        <v>20059.86</v>
      </c>
      <c r="E32" s="22">
        <f>ROUND(E23*'Demand Supply gap'!E$12,2)</f>
        <v>23601.85</v>
      </c>
      <c r="F32" s="22">
        <f>ROUND(F23*'Demand Supply gap'!F$12,2)</f>
        <v>18289.599999999999</v>
      </c>
      <c r="G32" s="22">
        <f>ROUND(G23*'Demand Supply gap'!G$12,2)</f>
        <v>15529.35</v>
      </c>
      <c r="H32" s="22">
        <f>ROUND(H23*'Demand Supply gap'!H$12,2)</f>
        <v>23679.14</v>
      </c>
      <c r="I32" s="22">
        <f>ROUND(I23*'Demand Supply gap'!I$12,2)</f>
        <v>26950.09</v>
      </c>
      <c r="J32" s="22">
        <f>ROUND(J23*'Demand Supply gap'!J$12,2)</f>
        <v>28594.39</v>
      </c>
      <c r="K32" s="22">
        <f>ROUND(K23*'Demand Supply gap'!K$12,2)</f>
        <v>30373.15</v>
      </c>
      <c r="L32" s="22">
        <f>ROUND(L23*'Demand Supply gap'!L$12,2)</f>
        <v>32296.959999999999</v>
      </c>
      <c r="M32" s="22">
        <f>ROUND(M23*'Demand Supply gap'!M$12,2)</f>
        <v>34388.980000000003</v>
      </c>
      <c r="N32" s="22">
        <f>ROUND(N23*'Demand Supply gap'!N$12,2)</f>
        <v>36622.89</v>
      </c>
      <c r="O32" s="22">
        <f>ROUND(O23*'Demand Supply gap'!O$12,2)</f>
        <v>39040.620000000003</v>
      </c>
      <c r="P32" s="22">
        <f>ROUND(P23*'Demand Supply gap'!P$12,2)</f>
        <v>41592.99</v>
      </c>
      <c r="Q32" s="22">
        <f>ROUND(Q23*'Demand Supply gap'!Q$12,2)</f>
        <v>44308.33</v>
      </c>
      <c r="R32" s="22">
        <f>ROUND(R23*'Demand Supply gap'!R$12,2)</f>
        <v>47229.89</v>
      </c>
      <c r="S32" s="22">
        <f>ROUND(S23*'Demand Supply gap'!S$12,2)</f>
        <v>50427.22</v>
      </c>
    </row>
    <row r="33" spans="1:19" x14ac:dyDescent="0.25">
      <c r="A33" s="70" t="s">
        <v>100</v>
      </c>
      <c r="B33" s="22">
        <f>ROUND(B24*'Demand Supply gap'!B$12,2)</f>
        <v>3974.97</v>
      </c>
      <c r="C33" s="22">
        <f>ROUND(C24*'Demand Supply gap'!C$12,2)</f>
        <v>3621.52</v>
      </c>
      <c r="D33" s="22">
        <f>ROUND(D24*'Demand Supply gap'!D$12,2)</f>
        <v>4806.1099999999997</v>
      </c>
      <c r="E33" s="22">
        <f>ROUND(E24*'Demand Supply gap'!E$12,2)</f>
        <v>5612.14</v>
      </c>
      <c r="F33" s="22">
        <f>ROUND(F24*'Demand Supply gap'!F$12,2)</f>
        <v>4329.13</v>
      </c>
      <c r="G33" s="22">
        <f>ROUND(G24*'Demand Supply gap'!G$12,2)</f>
        <v>3665.64</v>
      </c>
      <c r="H33" s="22">
        <f>ROUND(H24*'Demand Supply gap'!H$12,2)</f>
        <v>5527.33</v>
      </c>
      <c r="I33" s="22">
        <f>ROUND(I24*'Demand Supply gap'!I$12,2)</f>
        <v>6253.15</v>
      </c>
      <c r="J33" s="22">
        <f>ROUND(J24*'Demand Supply gap'!J$12,2)</f>
        <v>6598.37</v>
      </c>
      <c r="K33" s="22">
        <f>ROUND(K24*'Demand Supply gap'!K$12,2)</f>
        <v>6976.16</v>
      </c>
      <c r="L33" s="22">
        <f>ROUND(L24*'Demand Supply gap'!L$12,2)</f>
        <v>7368.15</v>
      </c>
      <c r="M33" s="22">
        <f>ROUND(M24*'Demand Supply gap'!M$12,2)</f>
        <v>7783.1</v>
      </c>
      <c r="N33" s="22">
        <f>ROUND(N24*'Demand Supply gap'!N$12,2)</f>
        <v>8267.33</v>
      </c>
      <c r="O33" s="22">
        <f>ROUND(O24*'Demand Supply gap'!O$12,2)</f>
        <v>8743.2900000000009</v>
      </c>
      <c r="P33" s="22">
        <f>ROUND(P24*'Demand Supply gap'!P$12,2)</f>
        <v>9284.49</v>
      </c>
      <c r="Q33" s="22">
        <f>ROUND(Q24*'Demand Supply gap'!Q$12,2)</f>
        <v>9820.7800000000007</v>
      </c>
      <c r="R33" s="22">
        <f>ROUND(R24*'Demand Supply gap'!R$12,2)</f>
        <v>10415.61</v>
      </c>
      <c r="S33" s="22">
        <f>ROUND(S24*'Demand Supply gap'!S$12,2)</f>
        <v>11066.4</v>
      </c>
    </row>
    <row r="34" spans="1:19" x14ac:dyDescent="0.25">
      <c r="A34" s="70" t="s">
        <v>77</v>
      </c>
      <c r="B34" s="22">
        <f>ROUND(B25*'Demand Supply gap'!B$12,2)</f>
        <v>3259.74</v>
      </c>
      <c r="C34" s="22">
        <f>ROUND(C25*'Demand Supply gap'!C$12,2)</f>
        <v>2969.7</v>
      </c>
      <c r="D34" s="22">
        <f>ROUND(D25*'Demand Supply gap'!D$12,2)</f>
        <v>3942.51</v>
      </c>
      <c r="E34" s="22">
        <f>ROUND(E25*'Demand Supply gap'!E$12,2)</f>
        <v>4609.45</v>
      </c>
      <c r="F34" s="22">
        <f>ROUND(F25*'Demand Supply gap'!F$12,2)</f>
        <v>3554.66</v>
      </c>
      <c r="G34" s="22">
        <f>ROUND(G25*'Demand Supply gap'!G$12,2)</f>
        <v>3021.61</v>
      </c>
      <c r="H34" s="22">
        <f>ROUND(H25*'Demand Supply gap'!H$12,2)</f>
        <v>4570.04</v>
      </c>
      <c r="I34" s="22">
        <f>ROUND(I25*'Demand Supply gap'!I$12,2)</f>
        <v>5163.84</v>
      </c>
      <c r="J34" s="22">
        <f>ROUND(J25*'Demand Supply gap'!J$12,2)</f>
        <v>5449.49</v>
      </c>
      <c r="K34" s="22">
        <f>ROUND(K25*'Demand Supply gap'!K$12,2)</f>
        <v>5762.92</v>
      </c>
      <c r="L34" s="22">
        <f>ROUND(L25*'Demand Supply gap'!L$12,2)</f>
        <v>6104.61</v>
      </c>
      <c r="M34" s="22">
        <f>ROUND(M25*'Demand Supply gap'!M$12,2)</f>
        <v>6470.99</v>
      </c>
      <c r="N34" s="22">
        <f>ROUND(N25*'Demand Supply gap'!N$12,2)</f>
        <v>6866.09</v>
      </c>
      <c r="O34" s="22">
        <f>ROUND(O25*'Demand Supply gap'!O$12,2)</f>
        <v>7282.1</v>
      </c>
      <c r="P34" s="22">
        <f>ROUND(P25*'Demand Supply gap'!P$12,2)</f>
        <v>7729.67</v>
      </c>
      <c r="Q34" s="22">
        <f>ROUND(Q25*'Demand Supply gap'!Q$12,2)</f>
        <v>8199.74</v>
      </c>
      <c r="R34" s="22">
        <f>ROUND(R25*'Demand Supply gap'!R$12,2)</f>
        <v>8718.0400000000009</v>
      </c>
      <c r="S34" s="22">
        <f>ROUND(S25*'Demand Supply gap'!S$12,2)</f>
        <v>9273.09</v>
      </c>
    </row>
    <row r="35" spans="1:19" x14ac:dyDescent="0.25">
      <c r="A35" s="70" t="s">
        <v>114</v>
      </c>
      <c r="B35" s="22">
        <f>ROUND(B26*'Demand Supply gap'!B$12,2)</f>
        <v>1075.43</v>
      </c>
      <c r="C35" s="22">
        <f>ROUND(C26*'Demand Supply gap'!C$12,2)</f>
        <v>1004.8</v>
      </c>
      <c r="D35" s="22">
        <f>ROUND(D26*'Demand Supply gap'!D$12,2)</f>
        <v>1357.98</v>
      </c>
      <c r="E35" s="22">
        <f>ROUND(E26*'Demand Supply gap'!E$12,2)</f>
        <v>1612.39</v>
      </c>
      <c r="F35" s="22">
        <f>ROUND(F26*'Demand Supply gap'!F$12,2)</f>
        <v>1270.94</v>
      </c>
      <c r="G35" s="22">
        <f>ROUND(G26*'Demand Supply gap'!G$12,2)</f>
        <v>1096.79</v>
      </c>
      <c r="H35" s="22">
        <f>ROUND(H26*'Demand Supply gap'!H$12,2)</f>
        <v>1676.17</v>
      </c>
      <c r="I35" s="22">
        <f>ROUND(I26*'Demand Supply gap'!I$12,2)</f>
        <v>1929.16</v>
      </c>
      <c r="J35" s="22">
        <f>ROUND(J26*'Demand Supply gap'!J$12,2)</f>
        <v>2064.4699999999998</v>
      </c>
      <c r="K35" s="22">
        <f>ROUND(K26*'Demand Supply gap'!K$12,2)</f>
        <v>2211.84</v>
      </c>
      <c r="L35" s="22">
        <f>ROUND(L26*'Demand Supply gap'!L$12,2)</f>
        <v>2363.5500000000002</v>
      </c>
      <c r="M35" s="22">
        <f>ROUND(M26*'Demand Supply gap'!M$12,2)</f>
        <v>2529.38</v>
      </c>
      <c r="N35" s="22">
        <f>ROUND(N26*'Demand Supply gap'!N$12,2)</f>
        <v>2712.81</v>
      </c>
      <c r="O35" s="22">
        <f>ROUND(O26*'Demand Supply gap'!O$12,2)</f>
        <v>2910.45</v>
      </c>
      <c r="P35" s="22">
        <f>ROUND(P26*'Demand Supply gap'!P$12,2)</f>
        <v>3122.33</v>
      </c>
      <c r="Q35" s="22">
        <f>ROUND(Q26*'Demand Supply gap'!Q$12,2)</f>
        <v>3336.63</v>
      </c>
      <c r="R35" s="22">
        <f>ROUND(R26*'Demand Supply gap'!R$12,2)</f>
        <v>3539.01</v>
      </c>
      <c r="S35" s="22">
        <f>ROUND(S26*'Demand Supply gap'!S$12,2)</f>
        <v>3739.89</v>
      </c>
    </row>
    <row r="36" spans="1:19" x14ac:dyDescent="0.25">
      <c r="A36" s="70" t="s">
        <v>126</v>
      </c>
      <c r="B36" s="22">
        <f>ROUND(B27*'Demand Supply gap'!B$12,2)</f>
        <v>982.81</v>
      </c>
      <c r="C36" s="22">
        <f>ROUND(C27*'Demand Supply gap'!C$12,2)</f>
        <v>884.79</v>
      </c>
      <c r="D36" s="22">
        <f>ROUND(D27*'Demand Supply gap'!D$12,2)</f>
        <v>1123.3</v>
      </c>
      <c r="E36" s="22">
        <f>ROUND(E27*'Demand Supply gap'!E$12,2)</f>
        <v>1292.8499999999999</v>
      </c>
      <c r="F36" s="22">
        <f>ROUND(F27*'Demand Supply gap'!F$12,2)</f>
        <v>924.83</v>
      </c>
      <c r="G36" s="22">
        <f>ROUND(G27*'Demand Supply gap'!G$12,2)</f>
        <v>898.25</v>
      </c>
      <c r="H36" s="22">
        <f>ROUND(H27*'Demand Supply gap'!H$12,2)</f>
        <v>1225.04</v>
      </c>
      <c r="I36" s="22">
        <f>ROUND(I27*'Demand Supply gap'!I$12,2)</f>
        <v>1280.57</v>
      </c>
      <c r="J36" s="22">
        <f>ROUND(J27*'Demand Supply gap'!J$12,2)</f>
        <v>1311.75</v>
      </c>
      <c r="K36" s="22">
        <f>ROUND(K27*'Demand Supply gap'!K$12,2)</f>
        <v>1339.24</v>
      </c>
      <c r="L36" s="22">
        <f>ROUND(L27*'Demand Supply gap'!L$12,2)</f>
        <v>1417.14</v>
      </c>
      <c r="M36" s="22">
        <f>ROUND(M27*'Demand Supply gap'!M$12,2)</f>
        <v>1522.9</v>
      </c>
      <c r="N36" s="22">
        <f>ROUND(N27*'Demand Supply gap'!N$12,2)</f>
        <v>1580.6</v>
      </c>
      <c r="O36" s="22">
        <f>ROUND(O27*'Demand Supply gap'!O$12,2)</f>
        <v>1663.97</v>
      </c>
      <c r="P36" s="22">
        <f>ROUND(P27*'Demand Supply gap'!P$12,2)</f>
        <v>1732.51</v>
      </c>
      <c r="Q36" s="22">
        <f>ROUND(Q27*'Demand Supply gap'!Q$12,2)</f>
        <v>1877.7</v>
      </c>
      <c r="R36" s="22">
        <f>ROUND(R27*'Demand Supply gap'!R$12,2)</f>
        <v>2028.45</v>
      </c>
      <c r="S36" s="22">
        <f>ROUND(S27*'Demand Supply gap'!S$12,2)</f>
        <v>2130.5100000000002</v>
      </c>
    </row>
    <row r="37" spans="1:19" x14ac:dyDescent="0.25">
      <c r="A37" s="22"/>
      <c r="B37" s="22">
        <f>SUM(B32:B36)</f>
        <v>25727.99</v>
      </c>
      <c r="C37" s="22">
        <f t="shared" ref="C37:S37" si="8">SUM(C32:C36)</f>
        <v>23531.66</v>
      </c>
      <c r="D37" s="22">
        <f t="shared" si="8"/>
        <v>31289.760000000002</v>
      </c>
      <c r="E37" s="22">
        <f t="shared" si="8"/>
        <v>36728.679999999993</v>
      </c>
      <c r="F37" s="22">
        <f t="shared" si="8"/>
        <v>28369.16</v>
      </c>
      <c r="G37" s="22">
        <f t="shared" si="8"/>
        <v>24211.640000000003</v>
      </c>
      <c r="H37" s="22">
        <f t="shared" si="8"/>
        <v>36677.72</v>
      </c>
      <c r="I37" s="22">
        <f t="shared" si="8"/>
        <v>41576.810000000005</v>
      </c>
      <c r="J37" s="22">
        <f t="shared" si="8"/>
        <v>44018.47</v>
      </c>
      <c r="K37" s="22">
        <f t="shared" si="8"/>
        <v>46663.30999999999</v>
      </c>
      <c r="L37" s="22">
        <f t="shared" si="8"/>
        <v>49550.41</v>
      </c>
      <c r="M37" s="22">
        <f t="shared" si="8"/>
        <v>52695.35</v>
      </c>
      <c r="N37" s="22">
        <f t="shared" si="8"/>
        <v>56049.719999999994</v>
      </c>
      <c r="O37" s="22">
        <f t="shared" si="8"/>
        <v>59640.43</v>
      </c>
      <c r="P37" s="22">
        <f t="shared" si="8"/>
        <v>63461.99</v>
      </c>
      <c r="Q37" s="22">
        <f t="shared" si="8"/>
        <v>67543.179999999993</v>
      </c>
      <c r="R37" s="22">
        <f t="shared" si="8"/>
        <v>71931</v>
      </c>
      <c r="S37" s="22">
        <f t="shared" si="8"/>
        <v>76637.11</v>
      </c>
    </row>
    <row r="38" spans="1:19" x14ac:dyDescent="0.25">
      <c r="A38" s="22"/>
      <c r="B38" s="22">
        <f>B37-'Demand Supply gap'!B12</f>
        <v>0</v>
      </c>
      <c r="C38" s="22">
        <f>C37-'Demand Supply gap'!C12</f>
        <v>0</v>
      </c>
      <c r="D38" s="22">
        <f>D37-'Demand Supply gap'!D12</f>
        <v>1.0000000002037268E-2</v>
      </c>
      <c r="E38" s="22">
        <f>E37-'Demand Supply gap'!E12</f>
        <v>0</v>
      </c>
      <c r="F38" s="22">
        <f>F37-'Demand Supply gap'!F12</f>
        <v>0</v>
      </c>
      <c r="G38" s="22">
        <f>G37-'Demand Supply gap'!G12</f>
        <v>-9.9999999983992893E-3</v>
      </c>
      <c r="H38" s="22">
        <f>H37-'Demand Supply gap'!H12</f>
        <v>0</v>
      </c>
      <c r="I38" s="22">
        <f>I37-'Demand Supply gap'!I12</f>
        <v>0</v>
      </c>
      <c r="J38" s="22">
        <f>J37-'Demand Supply gap'!J12</f>
        <v>1.0000000002037268E-2</v>
      </c>
      <c r="K38" s="22">
        <f>K37-'Demand Supply gap'!K12</f>
        <v>0</v>
      </c>
      <c r="L38" s="22">
        <f>L37-'Demand Supply gap'!L12</f>
        <v>0</v>
      </c>
      <c r="M38" s="22">
        <f>M37-'Demand Supply gap'!M12</f>
        <v>1.0000000002037268E-2</v>
      </c>
      <c r="N38" s="22">
        <f>N37-'Demand Supply gap'!N12</f>
        <v>0</v>
      </c>
      <c r="O38" s="22">
        <f>O37-'Demand Supply gap'!O12</f>
        <v>1.0000000002037268E-2</v>
      </c>
      <c r="P38" s="22">
        <f>P37-'Demand Supply gap'!P12</f>
        <v>0</v>
      </c>
      <c r="Q38" s="22">
        <f>Q37-'Demand Supply gap'!Q12</f>
        <v>-1.0000000009313226E-2</v>
      </c>
      <c r="R38" s="22">
        <f>R37-'Demand Supply gap'!R12</f>
        <v>0</v>
      </c>
      <c r="S38" s="22">
        <f>S37-'Demand Supply gap'!S12</f>
        <v>-9.9999999947613105E-3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685912-2E40-472E-ACA0-8B8D0DFC9583}">
  <dimension ref="A1:I15"/>
  <sheetViews>
    <sheetView workbookViewId="0">
      <selection activeCell="B4" sqref="B4"/>
    </sheetView>
  </sheetViews>
  <sheetFormatPr defaultRowHeight="15" x14ac:dyDescent="0.25"/>
  <sheetData>
    <row r="1" spans="1:9" x14ac:dyDescent="0.25">
      <c r="A1" s="104" t="s">
        <v>128</v>
      </c>
      <c r="B1" s="105" t="s">
        <v>321</v>
      </c>
      <c r="C1" s="106">
        <v>0.47026048373391321</v>
      </c>
      <c r="D1" s="106">
        <v>0.48000481669150319</v>
      </c>
      <c r="E1" s="106">
        <v>0.47576820189687696</v>
      </c>
      <c r="F1" s="106">
        <v>0.48333902987794103</v>
      </c>
      <c r="G1" s="106">
        <v>0.49561639948831604</v>
      </c>
      <c r="H1" s="106">
        <v>0.4911353113179136</v>
      </c>
      <c r="I1" s="106">
        <v>0.49359999999999998</v>
      </c>
    </row>
    <row r="2" spans="1:9" x14ac:dyDescent="0.25">
      <c r="A2" s="105"/>
      <c r="B2" s="105" t="s">
        <v>322</v>
      </c>
      <c r="C2" s="106">
        <v>0.52973951626608673</v>
      </c>
      <c r="D2" s="106">
        <v>0.51999518330849681</v>
      </c>
      <c r="E2" s="106">
        <v>0.52423179810312348</v>
      </c>
      <c r="F2" s="106">
        <v>0.5166609701220588</v>
      </c>
      <c r="G2" s="106">
        <v>0.50438360051168396</v>
      </c>
      <c r="H2" s="106">
        <v>0.50886468868208645</v>
      </c>
      <c r="I2" s="106">
        <f>100%-I1</f>
        <v>0.50639999999999996</v>
      </c>
    </row>
    <row r="4" spans="1:9" x14ac:dyDescent="0.25">
      <c r="A4" s="107" t="s">
        <v>128</v>
      </c>
      <c r="B4" s="108" t="s">
        <v>321</v>
      </c>
      <c r="C4" s="22">
        <f>ROUND(C1*'Demand Supply gap'!B$8,2)</f>
        <v>34568.17</v>
      </c>
      <c r="D4" s="22">
        <f>ROUND(D1*'Demand Supply gap'!C$8,2)</f>
        <v>36436.480000000003</v>
      </c>
      <c r="E4" s="22">
        <f>ROUND(E1*'Demand Supply gap'!D$8,2)</f>
        <v>37216.67</v>
      </c>
      <c r="F4" s="22">
        <f>ROUND(F1*'Demand Supply gap'!E$8,2)</f>
        <v>39449.79</v>
      </c>
      <c r="G4" s="22">
        <f>ROUND(G1*'Demand Supply gap'!F$8,2)</f>
        <v>42606.73</v>
      </c>
      <c r="H4" s="22">
        <f>ROUND(H1*'Demand Supply gap'!G$8,2)</f>
        <v>41004.129999999997</v>
      </c>
      <c r="I4" s="22">
        <f>ROUND(I1*'Demand Supply gap'!H$8,2)</f>
        <v>43105.05</v>
      </c>
    </row>
    <row r="5" spans="1:9" x14ac:dyDescent="0.25">
      <c r="A5" s="108"/>
      <c r="B5" s="108" t="s">
        <v>322</v>
      </c>
      <c r="C5" s="22">
        <f>ROUND(C2*'Demand Supply gap'!B$8,2)</f>
        <v>38940.379999999997</v>
      </c>
      <c r="D5" s="22">
        <f>ROUND(D2*'Demand Supply gap'!C$8,2)</f>
        <v>39472.089999999997</v>
      </c>
      <c r="E5" s="22">
        <f>ROUND(E2*'Demand Supply gap'!D$8,2)</f>
        <v>41007.71</v>
      </c>
      <c r="F5" s="22">
        <f>ROUND(F2*'Demand Supply gap'!E$8,2)</f>
        <v>42169.5</v>
      </c>
      <c r="G5" s="22">
        <f>ROUND(G2*'Demand Supply gap'!F$8,2)</f>
        <v>43360.43</v>
      </c>
      <c r="H5" s="22">
        <f>ROUND(H2*'Demand Supply gap'!G$8,2)</f>
        <v>42484.33</v>
      </c>
      <c r="I5" s="22">
        <f>ROUND(I2*'Demand Supply gap'!H$8,2)</f>
        <v>44222.85</v>
      </c>
    </row>
    <row r="6" spans="1:9" x14ac:dyDescent="0.25">
      <c r="C6">
        <f>SUM(C4:C5)</f>
        <v>73508.549999999988</v>
      </c>
      <c r="D6">
        <f t="shared" ref="D6:I6" si="0">SUM(D4:D5)</f>
        <v>75908.570000000007</v>
      </c>
      <c r="E6">
        <f t="shared" si="0"/>
        <v>78224.38</v>
      </c>
      <c r="F6">
        <f t="shared" si="0"/>
        <v>81619.290000000008</v>
      </c>
      <c r="G6">
        <f t="shared" si="0"/>
        <v>85967.16</v>
      </c>
      <c r="H6">
        <f t="shared" si="0"/>
        <v>83488.459999999992</v>
      </c>
      <c r="I6">
        <f t="shared" si="0"/>
        <v>87327.9</v>
      </c>
    </row>
    <row r="8" spans="1:9" x14ac:dyDescent="0.25">
      <c r="A8" t="s">
        <v>323</v>
      </c>
    </row>
    <row r="11" spans="1:9" x14ac:dyDescent="0.25">
      <c r="A11" s="104" t="s">
        <v>128</v>
      </c>
      <c r="B11" s="105" t="s">
        <v>321</v>
      </c>
      <c r="C11" s="109">
        <v>0.43246048373391321</v>
      </c>
      <c r="D11" s="109">
        <v>0.44220481669150319</v>
      </c>
      <c r="E11" s="109">
        <v>0.43796820189687696</v>
      </c>
      <c r="F11" s="109">
        <v>0.44553902987794103</v>
      </c>
      <c r="G11" s="109">
        <v>0.45781639948831604</v>
      </c>
      <c r="H11" s="109">
        <v>0.4533353113179136</v>
      </c>
      <c r="I11" s="109">
        <v>0.45579999999999998</v>
      </c>
    </row>
    <row r="12" spans="1:9" x14ac:dyDescent="0.25">
      <c r="A12" s="105"/>
      <c r="B12" s="105" t="s">
        <v>322</v>
      </c>
      <c r="C12" s="109">
        <v>0.56753951626608679</v>
      </c>
      <c r="D12" s="109">
        <v>0.55779518330849687</v>
      </c>
      <c r="E12" s="109">
        <v>0.56203179810312309</v>
      </c>
      <c r="F12" s="109">
        <v>0.55446097012205897</v>
      </c>
      <c r="G12" s="109">
        <v>0.54218360051168402</v>
      </c>
      <c r="H12" s="109">
        <v>0.5466646886820864</v>
      </c>
      <c r="I12" s="109">
        <v>0.54420000000000002</v>
      </c>
    </row>
    <row r="14" spans="1:9" x14ac:dyDescent="0.25">
      <c r="A14" s="104" t="s">
        <v>128</v>
      </c>
      <c r="B14" s="105" t="s">
        <v>321</v>
      </c>
      <c r="C14" s="96">
        <f>ROUND(C11*'Demand Supply gap'!B$12,2)</f>
        <v>11126.34</v>
      </c>
      <c r="D14" s="96">
        <f>ROUND(D11*'Demand Supply gap'!C$12,2)</f>
        <v>10405.81</v>
      </c>
      <c r="E14" s="96">
        <f>ROUND(E11*'Demand Supply gap'!D$12,2)</f>
        <v>13703.92</v>
      </c>
      <c r="F14" s="96">
        <f>ROUND(F11*'Demand Supply gap'!E$12,2)</f>
        <v>16364.06</v>
      </c>
      <c r="G14" s="96">
        <f>ROUND(G11*'Demand Supply gap'!F$12,2)</f>
        <v>12987.87</v>
      </c>
      <c r="H14" s="96">
        <f>ROUND(H11*'Demand Supply gap'!G$12,2)</f>
        <v>10976</v>
      </c>
      <c r="I14" s="96">
        <f>ROUND(I11*'Demand Supply gap'!H$12,2)</f>
        <v>16717.7</v>
      </c>
    </row>
    <row r="15" spans="1:9" x14ac:dyDescent="0.25">
      <c r="A15" s="105"/>
      <c r="B15" s="105" t="s">
        <v>322</v>
      </c>
      <c r="C15" s="96">
        <f>ROUND(C12*'Demand Supply gap'!B$12,2)</f>
        <v>14601.65</v>
      </c>
      <c r="D15" s="96">
        <f>ROUND(D12*'Demand Supply gap'!C$12,2)</f>
        <v>13125.85</v>
      </c>
      <c r="E15" s="96">
        <f>ROUND(E12*'Demand Supply gap'!D$12,2)</f>
        <v>17585.830000000002</v>
      </c>
      <c r="F15" s="96">
        <f>ROUND(F12*'Demand Supply gap'!E$12,2)</f>
        <v>20364.62</v>
      </c>
      <c r="G15" s="96">
        <f>ROUND(G12*'Demand Supply gap'!F$12,2)</f>
        <v>15381.29</v>
      </c>
      <c r="H15" s="96">
        <f>ROUND(H12*'Demand Supply gap'!G$12,2)</f>
        <v>13235.65</v>
      </c>
      <c r="I15" s="96">
        <f>ROUND(I12*'Demand Supply gap'!H$12,2)</f>
        <v>19960.02</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B12458-737F-4C87-8D15-A612BE6A7340}">
  <dimension ref="A1:I19"/>
  <sheetViews>
    <sheetView workbookViewId="0">
      <selection activeCell="E20" sqref="E20"/>
    </sheetView>
  </sheetViews>
  <sheetFormatPr defaultRowHeight="15" x14ac:dyDescent="0.25"/>
  <cols>
    <col min="1" max="1" width="45.28515625" bestFit="1" customWidth="1"/>
    <col min="8" max="9" width="10.5703125" bestFit="1" customWidth="1"/>
  </cols>
  <sheetData>
    <row r="1" spans="1:9" x14ac:dyDescent="0.25">
      <c r="A1" s="15" t="s">
        <v>324</v>
      </c>
      <c r="B1">
        <v>2021</v>
      </c>
      <c r="C1">
        <v>2022</v>
      </c>
      <c r="E1" s="113">
        <v>2021</v>
      </c>
      <c r="F1" s="113">
        <v>2022</v>
      </c>
      <c r="H1" s="113" t="s">
        <v>325</v>
      </c>
      <c r="I1" s="113" t="s">
        <v>326</v>
      </c>
    </row>
    <row r="2" spans="1:9" x14ac:dyDescent="0.25">
      <c r="A2" s="110" t="s">
        <v>74</v>
      </c>
      <c r="B2" s="22">
        <f>'Production By Company'!H4</f>
        <v>7873.6</v>
      </c>
      <c r="C2" s="22">
        <f>'Production By Company'!M4</f>
        <v>8086.4</v>
      </c>
      <c r="E2" s="112">
        <f t="shared" ref="E2:F9" si="0">B2/B$10</f>
        <v>9.016133446470144E-2</v>
      </c>
      <c r="F2" s="112">
        <f t="shared" si="0"/>
        <v>8.9466789650310852E-2</v>
      </c>
      <c r="H2" s="86">
        <f>E2-0.45%</f>
        <v>8.5661334464701436E-2</v>
      </c>
      <c r="I2" s="86">
        <f>F2-0.45%</f>
        <v>8.4966789650310848E-2</v>
      </c>
    </row>
    <row r="3" spans="1:9" x14ac:dyDescent="0.25">
      <c r="A3" s="110" t="s">
        <v>120</v>
      </c>
      <c r="B3" s="22">
        <f>'Production By Company'!H20</f>
        <v>4902</v>
      </c>
      <c r="C3" s="22">
        <f>'Production By Company'!M20</f>
        <v>5031</v>
      </c>
      <c r="E3" s="112">
        <f t="shared" si="0"/>
        <v>5.6133263252637476E-2</v>
      </c>
      <c r="F3" s="112">
        <f t="shared" si="0"/>
        <v>5.566227477378239E-2</v>
      </c>
      <c r="H3" s="86">
        <f>E3+0.16%</f>
        <v>5.7733263252637473E-2</v>
      </c>
      <c r="I3" s="86">
        <f>F3+0.16%</f>
        <v>5.7262274773782387E-2</v>
      </c>
    </row>
    <row r="4" spans="1:9" x14ac:dyDescent="0.25">
      <c r="A4" s="110" t="s">
        <v>117</v>
      </c>
      <c r="B4" s="22">
        <f>'Production By Company'!H34</f>
        <v>3626</v>
      </c>
      <c r="C4" s="22">
        <f>'Production By Company'!M34</f>
        <v>3724</v>
      </c>
      <c r="E4" s="112">
        <f t="shared" si="0"/>
        <v>4.1521667187691451E-2</v>
      </c>
      <c r="F4" s="112">
        <f t="shared" si="0"/>
        <v>4.1201811023169478E-2</v>
      </c>
      <c r="H4" s="86">
        <f>E4+0.2%</f>
        <v>4.3521667187691453E-2</v>
      </c>
      <c r="I4" s="86">
        <f>F4+0.2%</f>
        <v>4.320181102316948E-2</v>
      </c>
    </row>
    <row r="5" spans="1:9" x14ac:dyDescent="0.25">
      <c r="A5" s="110" t="s">
        <v>139</v>
      </c>
      <c r="B5" s="22">
        <f>'Production By Company'!H15</f>
        <v>2960</v>
      </c>
      <c r="C5" s="22">
        <f>'Production By Company'!M15</f>
        <v>3120</v>
      </c>
      <c r="E5" s="112">
        <f t="shared" si="0"/>
        <v>3.3895238520564447E-2</v>
      </c>
      <c r="F5" s="112">
        <f t="shared" si="0"/>
        <v>3.4519240169787531E-2</v>
      </c>
      <c r="H5" s="86">
        <f>E5+0.06%</f>
        <v>3.449523852056445E-2</v>
      </c>
      <c r="I5" s="86">
        <f>F5+0.06%</f>
        <v>3.5119240169787534E-2</v>
      </c>
    </row>
    <row r="6" spans="1:9" x14ac:dyDescent="0.25">
      <c r="A6" s="110" t="s">
        <v>264</v>
      </c>
      <c r="B6" s="22">
        <f>'Production By Company'!H70</f>
        <v>2880</v>
      </c>
      <c r="C6" s="22">
        <f>'Production By Company'!M70</f>
        <v>3040</v>
      </c>
      <c r="E6" s="112">
        <f t="shared" si="0"/>
        <v>3.2979150992981626E-2</v>
      </c>
      <c r="F6" s="112">
        <f t="shared" si="0"/>
        <v>3.3634131447485283E-2</v>
      </c>
      <c r="H6" s="86">
        <f t="shared" ref="H6:I8" si="1">E6-0.04%</f>
        <v>3.2579150992981629E-2</v>
      </c>
      <c r="I6" s="86">
        <f t="shared" si="1"/>
        <v>3.3234131447485285E-2</v>
      </c>
    </row>
    <row r="7" spans="1:9" x14ac:dyDescent="0.25">
      <c r="A7" t="s">
        <v>72</v>
      </c>
      <c r="B7" s="22">
        <f>'Production By Company'!H81</f>
        <v>2520</v>
      </c>
      <c r="C7" s="22">
        <f>'Production By Company'!M81</f>
        <v>2660</v>
      </c>
      <c r="E7" s="112">
        <f t="shared" si="0"/>
        <v>2.8856757118858923E-2</v>
      </c>
      <c r="F7" s="112">
        <f t="shared" si="0"/>
        <v>2.9429865016549626E-2</v>
      </c>
      <c r="H7" s="86">
        <f t="shared" si="1"/>
        <v>2.8456757118858922E-2</v>
      </c>
      <c r="I7" s="86">
        <f t="shared" si="1"/>
        <v>2.9029865016549625E-2</v>
      </c>
    </row>
    <row r="8" spans="1:9" x14ac:dyDescent="0.25">
      <c r="A8" s="110" t="s">
        <v>170</v>
      </c>
      <c r="B8" s="22">
        <f>'Production By Company'!H41</f>
        <v>2442</v>
      </c>
      <c r="C8" s="22">
        <f>'Production By Company'!M41</f>
        <v>2508</v>
      </c>
      <c r="E8" s="112">
        <f t="shared" si="0"/>
        <v>2.7963571779465672E-2</v>
      </c>
      <c r="F8" s="112">
        <f t="shared" si="0"/>
        <v>2.7748158444175362E-2</v>
      </c>
      <c r="H8" s="86">
        <f t="shared" si="1"/>
        <v>2.7563571779465671E-2</v>
      </c>
      <c r="I8" s="86">
        <f t="shared" si="1"/>
        <v>2.7348158444175361E-2</v>
      </c>
    </row>
    <row r="9" spans="1:9" x14ac:dyDescent="0.25">
      <c r="A9" s="96" t="s">
        <v>32</v>
      </c>
      <c r="B9" s="111">
        <f>B10-SUM(B2:B8)</f>
        <v>60124.299999999996</v>
      </c>
      <c r="C9" s="111">
        <f>C10-SUM(C2:C8)</f>
        <v>62214.976499999997</v>
      </c>
      <c r="E9" s="112">
        <f t="shared" si="0"/>
        <v>0.68848901668309903</v>
      </c>
      <c r="F9" s="112">
        <f t="shared" si="0"/>
        <v>0.68833772947473948</v>
      </c>
      <c r="H9" s="86">
        <f>1-SUM(H2:H8)</f>
        <v>0.68998901668309887</v>
      </c>
      <c r="I9" s="86">
        <f>1-SUM(I2:I8)</f>
        <v>0.68983772947473954</v>
      </c>
    </row>
    <row r="10" spans="1:9" x14ac:dyDescent="0.25">
      <c r="A10" s="96" t="s">
        <v>63</v>
      </c>
      <c r="B10" s="111">
        <f>'Demand Supply gap'!H8</f>
        <v>87327.9</v>
      </c>
      <c r="C10" s="111">
        <f>'Demand Supply gap'!I8</f>
        <v>90384.376499999998</v>
      </c>
      <c r="E10" s="96"/>
      <c r="F10" s="96"/>
      <c r="H10" s="96"/>
      <c r="I10" s="96"/>
    </row>
    <row r="13" spans="1:9" x14ac:dyDescent="0.25">
      <c r="A13" t="s">
        <v>74</v>
      </c>
    </row>
    <row r="14" spans="1:9" x14ac:dyDescent="0.25">
      <c r="A14" t="s">
        <v>120</v>
      </c>
    </row>
    <row r="15" spans="1:9" x14ac:dyDescent="0.25">
      <c r="A15" t="s">
        <v>117</v>
      </c>
    </row>
    <row r="16" spans="1:9" x14ac:dyDescent="0.25">
      <c r="A16" t="s">
        <v>139</v>
      </c>
    </row>
    <row r="17" spans="1:1" x14ac:dyDescent="0.25">
      <c r="A17" t="s">
        <v>264</v>
      </c>
    </row>
    <row r="18" spans="1:1" x14ac:dyDescent="0.25">
      <c r="A18" t="s">
        <v>72</v>
      </c>
    </row>
    <row r="19" spans="1:1" x14ac:dyDescent="0.25">
      <c r="A19" t="s">
        <v>170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AA754C-804C-44F5-A0B7-B836ACAD4372}">
  <dimension ref="A1:AE21"/>
  <sheetViews>
    <sheetView workbookViewId="0">
      <selection activeCell="K19" sqref="K19"/>
    </sheetView>
  </sheetViews>
  <sheetFormatPr defaultRowHeight="15" x14ac:dyDescent="0.25"/>
  <sheetData>
    <row r="1" spans="1:31" x14ac:dyDescent="0.25">
      <c r="A1" s="28" t="s">
        <v>252</v>
      </c>
      <c r="B1" s="28">
        <v>2015</v>
      </c>
      <c r="C1" s="28">
        <v>2015</v>
      </c>
      <c r="D1" s="47">
        <v>2016</v>
      </c>
      <c r="E1" s="47">
        <v>2016</v>
      </c>
      <c r="F1" s="28">
        <v>2017</v>
      </c>
      <c r="G1" s="28">
        <v>2017</v>
      </c>
      <c r="H1" s="47">
        <v>2018</v>
      </c>
      <c r="I1" s="47">
        <v>2018</v>
      </c>
      <c r="J1" s="28">
        <v>2019</v>
      </c>
      <c r="K1" s="28">
        <v>2019</v>
      </c>
      <c r="L1" s="28">
        <v>2020</v>
      </c>
      <c r="M1" s="28">
        <v>2020</v>
      </c>
      <c r="N1" s="48">
        <v>2021</v>
      </c>
      <c r="O1" s="48">
        <v>2021</v>
      </c>
      <c r="Q1" s="28" t="s">
        <v>255</v>
      </c>
      <c r="R1" s="28">
        <v>2015</v>
      </c>
      <c r="S1" s="28">
        <v>2015</v>
      </c>
      <c r="T1" s="47">
        <v>2016</v>
      </c>
      <c r="U1" s="47">
        <v>2016</v>
      </c>
      <c r="V1" s="28">
        <v>2017</v>
      </c>
      <c r="W1" s="28">
        <v>2017</v>
      </c>
      <c r="X1" s="47">
        <v>2018</v>
      </c>
      <c r="Y1" s="47">
        <v>2018</v>
      </c>
      <c r="Z1" s="28">
        <v>2019</v>
      </c>
      <c r="AA1" s="28">
        <v>2019</v>
      </c>
      <c r="AB1" s="28">
        <v>2020</v>
      </c>
      <c r="AC1" s="28">
        <v>2020</v>
      </c>
      <c r="AD1" s="48">
        <v>2021</v>
      </c>
      <c r="AE1" s="48">
        <v>2021</v>
      </c>
    </row>
    <row r="2" spans="1:31" x14ac:dyDescent="0.25">
      <c r="A2" s="49"/>
      <c r="B2" s="49" t="s">
        <v>253</v>
      </c>
      <c r="C2" s="49" t="s">
        <v>254</v>
      </c>
      <c r="D2" s="49" t="s">
        <v>253</v>
      </c>
      <c r="E2" s="49" t="s">
        <v>254</v>
      </c>
      <c r="F2" s="49" t="s">
        <v>253</v>
      </c>
      <c r="G2" s="49" t="s">
        <v>254</v>
      </c>
      <c r="H2" s="49" t="s">
        <v>253</v>
      </c>
      <c r="I2" s="49" t="s">
        <v>254</v>
      </c>
      <c r="J2" s="49" t="s">
        <v>253</v>
      </c>
      <c r="K2" s="49" t="s">
        <v>254</v>
      </c>
      <c r="L2" s="49" t="s">
        <v>253</v>
      </c>
      <c r="M2" s="49" t="s">
        <v>254</v>
      </c>
      <c r="N2" s="49" t="s">
        <v>253</v>
      </c>
      <c r="O2" s="49" t="s">
        <v>254</v>
      </c>
      <c r="Q2" s="49"/>
      <c r="R2" s="49" t="s">
        <v>253</v>
      </c>
      <c r="S2" s="49" t="s">
        <v>254</v>
      </c>
      <c r="T2" s="49" t="s">
        <v>253</v>
      </c>
      <c r="U2" s="49" t="s">
        <v>254</v>
      </c>
      <c r="V2" s="49" t="s">
        <v>253</v>
      </c>
      <c r="W2" s="49" t="s">
        <v>254</v>
      </c>
      <c r="X2" s="49" t="s">
        <v>253</v>
      </c>
      <c r="Y2" s="49" t="s">
        <v>254</v>
      </c>
      <c r="Z2" s="49" t="s">
        <v>253</v>
      </c>
      <c r="AA2" s="49" t="s">
        <v>254</v>
      </c>
      <c r="AB2" s="49" t="s">
        <v>253</v>
      </c>
      <c r="AC2" s="49" t="s">
        <v>254</v>
      </c>
      <c r="AD2" s="49" t="s">
        <v>253</v>
      </c>
      <c r="AE2" s="49" t="s">
        <v>254</v>
      </c>
    </row>
    <row r="3" spans="1:31" x14ac:dyDescent="0.25">
      <c r="A3" s="50" t="s">
        <v>33</v>
      </c>
      <c r="B3" s="22">
        <v>1561.2850000000001</v>
      </c>
      <c r="C3" s="22">
        <v>5538.5730000000003</v>
      </c>
      <c r="D3" s="22">
        <v>2098.2170000000001</v>
      </c>
      <c r="E3" s="22">
        <v>8797.4560000000001</v>
      </c>
      <c r="F3" s="22">
        <v>2640.7849999999999</v>
      </c>
      <c r="G3" s="22">
        <v>8133.5349999999999</v>
      </c>
      <c r="H3" s="22">
        <v>2923.8110000000001</v>
      </c>
      <c r="I3" s="22">
        <v>7428.6009999999997</v>
      </c>
      <c r="J3" s="22">
        <v>2909.453</v>
      </c>
      <c r="K3" s="22">
        <v>10895.019</v>
      </c>
      <c r="L3" s="22">
        <v>2684.7979999999998</v>
      </c>
      <c r="M3" s="22">
        <v>12944.804</v>
      </c>
      <c r="N3" s="22">
        <v>3860.1060000000002</v>
      </c>
      <c r="O3" s="22">
        <v>11197.994000000001</v>
      </c>
      <c r="Q3" s="51" t="s">
        <v>258</v>
      </c>
      <c r="R3" s="22">
        <v>878.42399999999998</v>
      </c>
      <c r="S3" s="22">
        <v>3733.748</v>
      </c>
      <c r="T3" s="22">
        <v>932.62900000000002</v>
      </c>
      <c r="U3" s="22">
        <v>4374.8639999999996</v>
      </c>
      <c r="V3" s="22">
        <v>1178.3599999999999</v>
      </c>
      <c r="W3" s="22">
        <v>4044.9380000000001</v>
      </c>
      <c r="X3" s="22">
        <v>1349.9649999999999</v>
      </c>
      <c r="Y3" s="22">
        <v>4313.085</v>
      </c>
      <c r="Z3" s="22">
        <v>1114.5139999999999</v>
      </c>
      <c r="AA3" s="22">
        <v>6107.78</v>
      </c>
      <c r="AB3" s="22">
        <v>1174.848</v>
      </c>
      <c r="AC3" s="22">
        <v>7684.7169999999996</v>
      </c>
      <c r="AD3" s="22">
        <v>2200.1750000000002</v>
      </c>
      <c r="AE3" s="22">
        <v>8012.5590000000002</v>
      </c>
    </row>
    <row r="4" spans="1:31" ht="34.5" x14ac:dyDescent="0.25">
      <c r="A4" s="51" t="s">
        <v>237</v>
      </c>
      <c r="B4" s="22">
        <v>1191.8530000000001</v>
      </c>
      <c r="C4" s="22">
        <v>4803</v>
      </c>
      <c r="D4" s="22">
        <v>586.19899999999996</v>
      </c>
      <c r="E4" s="22">
        <v>2361</v>
      </c>
      <c r="F4" s="22">
        <v>864.01400000000001</v>
      </c>
      <c r="G4" s="22">
        <v>3481</v>
      </c>
      <c r="H4" s="22">
        <v>970.92200000000003</v>
      </c>
      <c r="I4" s="22">
        <v>3908</v>
      </c>
      <c r="J4" s="22">
        <v>773.03200000000004</v>
      </c>
      <c r="K4" s="22">
        <v>3114.5889999999999</v>
      </c>
      <c r="L4" s="22">
        <v>568.19500000000005</v>
      </c>
      <c r="M4" s="22">
        <v>2759.4</v>
      </c>
      <c r="N4" s="22">
        <v>930.16300000000001</v>
      </c>
      <c r="O4" s="22">
        <v>2844.95</v>
      </c>
      <c r="Q4" s="50" t="s">
        <v>115</v>
      </c>
      <c r="R4" s="22">
        <v>1148.5039999999999</v>
      </c>
      <c r="S4" s="22">
        <v>4450.2690000000002</v>
      </c>
      <c r="T4" s="22">
        <v>778.13599999999997</v>
      </c>
      <c r="U4" s="22">
        <v>4202.9840000000004</v>
      </c>
      <c r="V4" s="22">
        <v>1077.8009999999999</v>
      </c>
      <c r="W4" s="22">
        <v>3810.518</v>
      </c>
      <c r="X4" s="22">
        <v>1444.2139999999999</v>
      </c>
      <c r="Y4" s="22">
        <v>3863.2669999999998</v>
      </c>
      <c r="Z4" s="22">
        <v>1200.0219999999999</v>
      </c>
      <c r="AA4" s="22">
        <v>4308.192</v>
      </c>
      <c r="AB4" s="22">
        <v>948.94299999999998</v>
      </c>
      <c r="AC4" s="22">
        <v>4538.4380000000001</v>
      </c>
      <c r="AD4" s="22">
        <v>1594.1510000000001</v>
      </c>
      <c r="AE4" s="22">
        <v>3122.8910000000001</v>
      </c>
    </row>
    <row r="5" spans="1:31" ht="34.5" x14ac:dyDescent="0.25">
      <c r="A5" s="50" t="s">
        <v>238</v>
      </c>
      <c r="B5" s="22">
        <v>751.90300000000002</v>
      </c>
      <c r="C5" s="22">
        <v>2379.011</v>
      </c>
      <c r="D5" s="22">
        <v>343.67399999999998</v>
      </c>
      <c r="E5" s="22">
        <v>1636.1679999999999</v>
      </c>
      <c r="F5" s="22">
        <v>247.78800000000001</v>
      </c>
      <c r="G5" s="22">
        <v>760.69100000000003</v>
      </c>
      <c r="H5" s="22">
        <v>906.17200000000003</v>
      </c>
      <c r="I5" s="22">
        <v>2473.0549999999998</v>
      </c>
      <c r="J5" s="22">
        <v>796.42200000000003</v>
      </c>
      <c r="K5" s="22">
        <v>2715.1750000000002</v>
      </c>
      <c r="L5" s="22">
        <v>435.96699999999998</v>
      </c>
      <c r="M5" s="22">
        <v>1694.402</v>
      </c>
      <c r="N5" s="22">
        <v>920.529</v>
      </c>
      <c r="O5" s="22">
        <v>2525.7719999999999</v>
      </c>
      <c r="Q5" s="51" t="s">
        <v>237</v>
      </c>
      <c r="R5" s="22">
        <v>7.423</v>
      </c>
      <c r="S5" s="22">
        <v>607.15899999999999</v>
      </c>
      <c r="T5" s="22">
        <v>4.8319999999999999</v>
      </c>
      <c r="U5" s="22">
        <v>1514.13</v>
      </c>
      <c r="V5" s="22">
        <v>10.911</v>
      </c>
      <c r="W5" s="22">
        <v>1480.452</v>
      </c>
      <c r="X5" s="22">
        <v>13.499000000000001</v>
      </c>
      <c r="Y5" s="22">
        <v>2349.9859999999999</v>
      </c>
      <c r="Z5" s="22">
        <v>10.96</v>
      </c>
      <c r="AA5" s="22">
        <v>1983.509</v>
      </c>
      <c r="AB5" s="22">
        <v>10.686999999999999</v>
      </c>
      <c r="AC5" s="22">
        <v>1096.6199999999999</v>
      </c>
      <c r="AD5" s="22">
        <v>1455.623</v>
      </c>
      <c r="AE5" s="22">
        <v>2999.1320000000001</v>
      </c>
    </row>
    <row r="6" spans="1:31" ht="23.25" x14ac:dyDescent="0.25">
      <c r="A6" s="51" t="s">
        <v>61</v>
      </c>
      <c r="B6" s="22">
        <v>485.7</v>
      </c>
      <c r="C6" s="22">
        <v>1624.6949999999999</v>
      </c>
      <c r="D6" s="22">
        <v>368.13099999999997</v>
      </c>
      <c r="E6" s="22">
        <v>1570.6030000000001</v>
      </c>
      <c r="F6" s="22">
        <v>560.029</v>
      </c>
      <c r="G6" s="22">
        <v>1692.018</v>
      </c>
      <c r="H6" s="22">
        <v>759.68299999999999</v>
      </c>
      <c r="I6" s="22">
        <v>1893.163</v>
      </c>
      <c r="J6" s="22">
        <v>496.34699999999998</v>
      </c>
      <c r="K6" s="22">
        <v>1775.386</v>
      </c>
      <c r="L6" s="22">
        <v>421.59500000000003</v>
      </c>
      <c r="M6" s="22">
        <v>1784.018</v>
      </c>
      <c r="N6" s="22">
        <v>790.79700000000003</v>
      </c>
      <c r="O6" s="22">
        <v>2017.7829999999999</v>
      </c>
      <c r="Q6" s="50" t="s">
        <v>238</v>
      </c>
      <c r="R6" s="22">
        <v>747.41600000000005</v>
      </c>
      <c r="S6" s="22">
        <v>2056</v>
      </c>
      <c r="T6" s="22">
        <v>559.32100000000003</v>
      </c>
      <c r="U6" s="22">
        <v>2122.27</v>
      </c>
      <c r="V6" s="22">
        <v>786.90499999999997</v>
      </c>
      <c r="W6" s="22">
        <v>2283.0509999999999</v>
      </c>
      <c r="X6" s="22">
        <v>861.15099999999995</v>
      </c>
      <c r="Y6" s="22">
        <v>2176.951</v>
      </c>
      <c r="Z6" s="22">
        <v>674.06700000000001</v>
      </c>
      <c r="AA6" s="22">
        <v>2156.2269999999999</v>
      </c>
      <c r="AB6" s="22">
        <v>525.322</v>
      </c>
      <c r="AC6" s="22">
        <v>2041.405</v>
      </c>
      <c r="AD6" s="22">
        <v>801.94200000000001</v>
      </c>
      <c r="AE6" s="22">
        <v>2041.09</v>
      </c>
    </row>
    <row r="7" spans="1:31" ht="23.25" x14ac:dyDescent="0.25">
      <c r="A7" s="50" t="s">
        <v>60</v>
      </c>
      <c r="B7" s="22">
        <v>541.947</v>
      </c>
      <c r="C7" s="22">
        <v>1697.4290000000001</v>
      </c>
      <c r="D7" s="22">
        <v>398.56400000000002</v>
      </c>
      <c r="E7" s="22">
        <v>1628.066</v>
      </c>
      <c r="F7" s="22">
        <v>594.67600000000004</v>
      </c>
      <c r="G7" s="22">
        <v>1760.414</v>
      </c>
      <c r="H7" s="22">
        <v>777.46500000000003</v>
      </c>
      <c r="I7" s="22">
        <v>1850.7470000000001</v>
      </c>
      <c r="J7" s="22">
        <v>512.14300000000003</v>
      </c>
      <c r="K7" s="22">
        <v>1697.22</v>
      </c>
      <c r="L7" s="22">
        <v>384.96800000000002</v>
      </c>
      <c r="M7" s="22">
        <v>1596.585</v>
      </c>
      <c r="N7" s="22">
        <v>690.46299999999997</v>
      </c>
      <c r="O7" s="22">
        <v>1798.6659999999999</v>
      </c>
      <c r="Q7" s="51" t="s">
        <v>239</v>
      </c>
      <c r="R7" s="22">
        <v>330.49900000000002</v>
      </c>
      <c r="S7" s="22">
        <v>1258.5340000000001</v>
      </c>
      <c r="T7" s="22">
        <v>251.21299999999999</v>
      </c>
      <c r="U7" s="22">
        <v>1497.3820000000001</v>
      </c>
      <c r="V7" s="22">
        <v>454.54899999999998</v>
      </c>
      <c r="W7" s="22">
        <v>1684.03</v>
      </c>
      <c r="X7" s="22">
        <v>601.81299999999999</v>
      </c>
      <c r="Y7" s="22">
        <v>1826.9880000000001</v>
      </c>
      <c r="Z7" s="22">
        <v>517.51099999999997</v>
      </c>
      <c r="AA7" s="22">
        <v>2108.4839999999999</v>
      </c>
      <c r="AB7" s="22">
        <v>378.517</v>
      </c>
      <c r="AC7" s="22">
        <v>2095.0100000000002</v>
      </c>
      <c r="AD7" s="22">
        <v>633.20699999999999</v>
      </c>
      <c r="AE7" s="22">
        <v>1896.27</v>
      </c>
    </row>
    <row r="8" spans="1:31" x14ac:dyDescent="0.25">
      <c r="A8" s="51" t="s">
        <v>78</v>
      </c>
      <c r="B8" s="22">
        <v>441.69499999999999</v>
      </c>
      <c r="C8" s="22">
        <v>1339.8430000000001</v>
      </c>
      <c r="D8" s="22">
        <v>301.95600000000002</v>
      </c>
      <c r="E8" s="22">
        <v>1321.742</v>
      </c>
      <c r="F8" s="22">
        <v>499.43400000000003</v>
      </c>
      <c r="G8" s="22">
        <v>1537.4839999999999</v>
      </c>
      <c r="H8" s="22">
        <v>569.53899999999999</v>
      </c>
      <c r="I8" s="22">
        <v>1468.2539999999999</v>
      </c>
      <c r="J8" s="22">
        <v>413.11599999999999</v>
      </c>
      <c r="K8" s="22">
        <v>1380.3030000000001</v>
      </c>
      <c r="L8" s="22">
        <v>311.02699999999999</v>
      </c>
      <c r="M8" s="22">
        <v>1332.1120000000001</v>
      </c>
      <c r="N8" s="22">
        <v>586.01599999999996</v>
      </c>
      <c r="O8" s="22">
        <v>1585.549</v>
      </c>
      <c r="Q8" s="50" t="s">
        <v>64</v>
      </c>
      <c r="R8" s="22">
        <v>285.17399999999998</v>
      </c>
      <c r="S8" s="22">
        <v>1167.433</v>
      </c>
      <c r="T8" s="22">
        <v>373.27499999999998</v>
      </c>
      <c r="U8" s="22">
        <v>1795.4110000000001</v>
      </c>
      <c r="V8" s="22">
        <v>524.69899999999996</v>
      </c>
      <c r="W8" s="22">
        <v>1752.883</v>
      </c>
      <c r="X8" s="22">
        <v>612.82399999999996</v>
      </c>
      <c r="Y8" s="22">
        <v>1645.0540000000001</v>
      </c>
      <c r="Z8" s="22">
        <v>451.97699999999998</v>
      </c>
      <c r="AA8" s="22">
        <v>1763.1289999999999</v>
      </c>
      <c r="AB8" s="22">
        <v>293.35199999999998</v>
      </c>
      <c r="AC8" s="22">
        <v>1483.3720000000001</v>
      </c>
      <c r="AD8" s="22">
        <v>496.56400000000002</v>
      </c>
      <c r="AE8" s="22">
        <v>1431.028</v>
      </c>
    </row>
    <row r="9" spans="1:31" x14ac:dyDescent="0.25">
      <c r="A9" s="50" t="s">
        <v>62</v>
      </c>
      <c r="B9" s="22">
        <v>378.22800000000001</v>
      </c>
      <c r="C9" s="22">
        <v>1284.3219999999999</v>
      </c>
      <c r="D9" s="22">
        <v>291.65600000000001</v>
      </c>
      <c r="E9" s="22">
        <v>1273.0709999999999</v>
      </c>
      <c r="F9" s="22">
        <v>448.49900000000002</v>
      </c>
      <c r="G9" s="22">
        <v>1367.575</v>
      </c>
      <c r="H9" s="22">
        <v>581.38900000000001</v>
      </c>
      <c r="I9" s="22">
        <v>1447.9079999999999</v>
      </c>
      <c r="J9" s="22">
        <v>357.45699999999999</v>
      </c>
      <c r="K9" s="22">
        <v>1285.8530000000001</v>
      </c>
      <c r="L9" s="22">
        <v>296.71300000000002</v>
      </c>
      <c r="M9" s="22">
        <v>1295.4390000000001</v>
      </c>
      <c r="N9" s="22">
        <v>591.82500000000005</v>
      </c>
      <c r="O9" s="22">
        <v>1530.6569999999999</v>
      </c>
      <c r="Q9" s="51" t="s">
        <v>136</v>
      </c>
      <c r="R9" s="22">
        <v>36.984000000000002</v>
      </c>
      <c r="S9" s="22">
        <v>154.53200000000001</v>
      </c>
      <c r="T9" s="22">
        <v>88.138999999999996</v>
      </c>
      <c r="U9" s="22">
        <v>405.15899999999999</v>
      </c>
      <c r="V9" s="22">
        <v>138.03899999999999</v>
      </c>
      <c r="W9" s="22">
        <v>392.32600000000002</v>
      </c>
      <c r="X9" s="22">
        <v>216.44200000000001</v>
      </c>
      <c r="Y9" s="22">
        <v>518.63300000000004</v>
      </c>
      <c r="Z9" s="22">
        <v>264.16800000000001</v>
      </c>
      <c r="AA9" s="22">
        <v>862.01499999999999</v>
      </c>
      <c r="AB9" s="22">
        <v>210.50800000000001</v>
      </c>
      <c r="AC9" s="22">
        <v>840.26800000000003</v>
      </c>
      <c r="AD9" s="22">
        <v>297.69900000000001</v>
      </c>
      <c r="AE9" s="22">
        <v>657.18200000000002</v>
      </c>
    </row>
    <row r="10" spans="1:31" x14ac:dyDescent="0.25">
      <c r="A10" s="51" t="s">
        <v>127</v>
      </c>
      <c r="B10" s="22">
        <v>288.435</v>
      </c>
      <c r="C10" s="22">
        <v>841.82600000000002</v>
      </c>
      <c r="D10" s="22">
        <v>223.87299999999999</v>
      </c>
      <c r="E10" s="22">
        <v>1058.318</v>
      </c>
      <c r="F10" s="22">
        <v>364.94499999999999</v>
      </c>
      <c r="G10" s="22">
        <v>1157.9939999999999</v>
      </c>
      <c r="H10" s="22">
        <v>478.517</v>
      </c>
      <c r="I10" s="22">
        <v>1206.1759999999999</v>
      </c>
      <c r="J10" s="22">
        <v>376.41399999999999</v>
      </c>
      <c r="K10" s="22">
        <v>1224.279</v>
      </c>
      <c r="L10" s="22">
        <v>294.46100000000001</v>
      </c>
      <c r="M10" s="22">
        <v>1252.2760000000001</v>
      </c>
      <c r="N10" s="22">
        <v>558.66300000000001</v>
      </c>
      <c r="O10" s="22">
        <v>1405.8209999999999</v>
      </c>
      <c r="Q10" s="50" t="s">
        <v>257</v>
      </c>
      <c r="R10" s="22">
        <v>112.667</v>
      </c>
      <c r="S10" s="22">
        <v>485.58100000000002</v>
      </c>
      <c r="T10" s="22">
        <v>108.556</v>
      </c>
      <c r="U10" s="22">
        <v>606.37400000000002</v>
      </c>
      <c r="V10" s="22">
        <v>139.715</v>
      </c>
      <c r="W10" s="22">
        <v>492.3</v>
      </c>
      <c r="X10" s="22">
        <v>236.65799999999999</v>
      </c>
      <c r="Y10" s="22">
        <v>684.79700000000003</v>
      </c>
      <c r="Z10" s="22">
        <v>150.81200000000001</v>
      </c>
      <c r="AA10" s="22">
        <v>668.36699999999996</v>
      </c>
      <c r="AB10" s="22">
        <v>144.316</v>
      </c>
      <c r="AC10" s="22">
        <v>702.20899999999995</v>
      </c>
      <c r="AD10" s="22">
        <v>193.81100000000001</v>
      </c>
      <c r="AE10" s="22">
        <v>563.33000000000004</v>
      </c>
    </row>
    <row r="11" spans="1:31" x14ac:dyDescent="0.25">
      <c r="A11" s="50" t="s">
        <v>251</v>
      </c>
      <c r="B11" s="22">
        <v>242.73</v>
      </c>
      <c r="C11" s="22">
        <v>744.44399999999996</v>
      </c>
      <c r="D11" s="22">
        <v>169.572</v>
      </c>
      <c r="E11" s="22">
        <v>790.99599999999998</v>
      </c>
      <c r="F11" s="22">
        <v>227.73500000000001</v>
      </c>
      <c r="G11" s="22">
        <v>736.46100000000001</v>
      </c>
      <c r="H11" s="22">
        <v>282.50599999999997</v>
      </c>
      <c r="I11" s="22">
        <v>798.48800000000006</v>
      </c>
      <c r="J11" s="22">
        <v>218.78399999999999</v>
      </c>
      <c r="K11" s="22">
        <v>729.28700000000003</v>
      </c>
      <c r="L11" s="22">
        <v>221.62200000000001</v>
      </c>
      <c r="M11" s="22">
        <v>881.21400000000006</v>
      </c>
      <c r="N11" s="22">
        <v>393.03300000000002</v>
      </c>
      <c r="O11" s="22">
        <v>1052.2560000000001</v>
      </c>
      <c r="Q11" s="51" t="s">
        <v>135</v>
      </c>
      <c r="R11" s="22">
        <v>26.771000000000001</v>
      </c>
      <c r="S11" s="22">
        <v>98.682000000000002</v>
      </c>
      <c r="T11" s="22">
        <v>94.373999999999995</v>
      </c>
      <c r="U11" s="22">
        <v>340.12900000000002</v>
      </c>
      <c r="V11" s="22">
        <v>265.16800000000001</v>
      </c>
      <c r="W11" s="22">
        <v>801.39599999999996</v>
      </c>
      <c r="X11" s="22">
        <v>398.73099999999999</v>
      </c>
      <c r="Y11" s="22">
        <v>982.11599999999999</v>
      </c>
      <c r="Z11" s="22">
        <v>143.685</v>
      </c>
      <c r="AA11" s="22">
        <v>712.548</v>
      </c>
      <c r="AB11" s="22">
        <v>175.85300000000001</v>
      </c>
      <c r="AC11" s="22">
        <v>385.41199999999998</v>
      </c>
      <c r="AD11" s="22">
        <v>261.32799999999997</v>
      </c>
      <c r="AE11" s="22">
        <v>475.62400000000002</v>
      </c>
    </row>
    <row r="12" spans="1:31" x14ac:dyDescent="0.25">
      <c r="A12" s="51" t="s">
        <v>67</v>
      </c>
      <c r="B12" s="22">
        <v>65.716999999999999</v>
      </c>
      <c r="C12" s="22">
        <v>219.41399999999999</v>
      </c>
      <c r="D12" s="22">
        <v>107.435</v>
      </c>
      <c r="E12" s="22">
        <v>436.988</v>
      </c>
      <c r="F12" s="22">
        <v>124.343</v>
      </c>
      <c r="G12" s="22">
        <v>350.02600000000001</v>
      </c>
      <c r="H12" s="22">
        <v>305.77499999999998</v>
      </c>
      <c r="I12" s="22">
        <v>699.94600000000003</v>
      </c>
      <c r="J12" s="22">
        <v>279.73200000000003</v>
      </c>
      <c r="K12" s="22">
        <v>773.65099999999995</v>
      </c>
      <c r="L12" s="22">
        <v>213.34899999999999</v>
      </c>
      <c r="M12" s="22">
        <v>840.40800000000002</v>
      </c>
      <c r="N12" s="22">
        <v>392.06799999999998</v>
      </c>
      <c r="O12" s="22">
        <v>979.97400000000005</v>
      </c>
      <c r="Q12" s="50" t="s">
        <v>111</v>
      </c>
      <c r="R12" s="22">
        <v>82.096000000000004</v>
      </c>
      <c r="S12" s="22">
        <v>237.054</v>
      </c>
      <c r="T12" s="22">
        <v>63.616</v>
      </c>
      <c r="U12" s="22">
        <v>272.31400000000002</v>
      </c>
      <c r="V12" s="22">
        <v>105.093</v>
      </c>
      <c r="W12" s="22">
        <v>310.87400000000002</v>
      </c>
      <c r="X12" s="22">
        <v>139.51499999999999</v>
      </c>
      <c r="Y12" s="22">
        <v>351.63499999999999</v>
      </c>
      <c r="Z12" s="22">
        <v>126.86799999999999</v>
      </c>
      <c r="AA12" s="22">
        <v>387.18599999999998</v>
      </c>
      <c r="AB12" s="22">
        <v>81.724000000000004</v>
      </c>
      <c r="AC12" s="22">
        <v>289.95699999999999</v>
      </c>
      <c r="AD12" s="22">
        <v>181.917</v>
      </c>
      <c r="AE12" s="22">
        <v>397.577</v>
      </c>
    </row>
    <row r="13" spans="1:31" x14ac:dyDescent="0.25">
      <c r="A13" s="50" t="s">
        <v>32</v>
      </c>
      <c r="B13" s="22">
        <f>B14-SUM(B3:B12)</f>
        <v>3077.9980000000005</v>
      </c>
      <c r="C13" s="22">
        <f t="shared" ref="C13:O13" si="0">C14-SUM(C3:C12)</f>
        <v>4492.8790000000008</v>
      </c>
      <c r="D13" s="22">
        <f t="shared" si="0"/>
        <v>2368.6490000000003</v>
      </c>
      <c r="E13" s="22">
        <f t="shared" si="0"/>
        <v>7118.8359999999993</v>
      </c>
      <c r="F13" s="22">
        <f t="shared" si="0"/>
        <v>3401.875</v>
      </c>
      <c r="G13" s="22">
        <f t="shared" si="0"/>
        <v>7453.130000000001</v>
      </c>
      <c r="H13" s="22">
        <f t="shared" si="0"/>
        <v>4494.4480000000003</v>
      </c>
      <c r="I13" s="22">
        <f t="shared" si="0"/>
        <v>7636.3509999999987</v>
      </c>
      <c r="J13" s="22">
        <f t="shared" si="0"/>
        <v>3417.4529999999995</v>
      </c>
      <c r="K13" s="22">
        <f t="shared" si="0"/>
        <v>9939.5240000000013</v>
      </c>
      <c r="L13" s="22">
        <f t="shared" si="0"/>
        <v>2491.942</v>
      </c>
      <c r="M13" s="22">
        <f t="shared" si="0"/>
        <v>6830.1669999999976</v>
      </c>
      <c r="N13" s="22">
        <f t="shared" si="0"/>
        <v>4307.4689999999991</v>
      </c>
      <c r="O13" s="22">
        <f t="shared" si="0"/>
        <v>7109.2190000000046</v>
      </c>
      <c r="Q13" s="51" t="s">
        <v>32</v>
      </c>
      <c r="R13" s="22">
        <f t="shared" ref="R13" si="1">R14-SUM(R3:R12)</f>
        <v>3511.8790000000008</v>
      </c>
      <c r="S13" s="22">
        <f t="shared" ref="S13" si="2">S14-SUM(S3:S12)</f>
        <v>3881.7450000000008</v>
      </c>
      <c r="T13" s="22">
        <f t="shared" ref="T13" si="3">T14-SUM(T3:T12)</f>
        <v>2687.9429999999993</v>
      </c>
      <c r="U13" s="22">
        <f t="shared" ref="U13" si="4">U14-SUM(U3:U12)</f>
        <v>3990.6909999999989</v>
      </c>
      <c r="V13" s="22">
        <f t="shared" ref="V13" si="5">V14-SUM(V3:V12)</f>
        <v>3826.8230000000003</v>
      </c>
      <c r="W13" s="22">
        <f t="shared" ref="W13" si="6">W14-SUM(W3:W12)</f>
        <v>3872.3889999999992</v>
      </c>
      <c r="X13" s="22">
        <f t="shared" ref="X13" si="7">X14-SUM(X3:X12)</f>
        <v>4705.5709999999999</v>
      </c>
      <c r="Y13" s="22">
        <f t="shared" ref="Y13" si="8">Y14-SUM(Y3:Y12)</f>
        <v>3719.9310000000005</v>
      </c>
      <c r="Z13" s="22">
        <f t="shared" ref="Z13" si="9">Z14-SUM(Z3:Z12)</f>
        <v>3879.2279999999992</v>
      </c>
      <c r="AA13" s="22">
        <f t="shared" ref="AA13" si="10">AA14-SUM(AA3:AA12)</f>
        <v>2642.7210000000014</v>
      </c>
      <c r="AB13" s="22">
        <f t="shared" ref="AB13" si="11">AB14-SUM(AB3:AB12)</f>
        <v>3110.2160000000003</v>
      </c>
      <c r="AC13" s="22">
        <f t="shared" ref="AC13" si="12">AC14-SUM(AC3:AC12)</f>
        <v>3940.109000000004</v>
      </c>
      <c r="AD13" s="22">
        <f t="shared" ref="AD13" si="13">AD14-SUM(AD3:AD12)</f>
        <v>6408.8190000000004</v>
      </c>
      <c r="AE13" s="22">
        <f t="shared" ref="AE13" si="14">AE14-SUM(AE3:AE12)</f>
        <v>2685.8259999999973</v>
      </c>
    </row>
    <row r="14" spans="1:31" x14ac:dyDescent="0.25">
      <c r="A14" s="51" t="s">
        <v>256</v>
      </c>
      <c r="B14" s="52">
        <v>9027.491</v>
      </c>
      <c r="C14" s="52">
        <v>24965.436000000002</v>
      </c>
      <c r="D14" s="52">
        <v>7257.9260000000004</v>
      </c>
      <c r="E14" s="52">
        <v>27993.243999999999</v>
      </c>
      <c r="F14" s="52">
        <v>9974.1229999999996</v>
      </c>
      <c r="G14" s="52">
        <v>28430.328000000001</v>
      </c>
      <c r="H14" s="52">
        <v>13050.227000000001</v>
      </c>
      <c r="I14" s="52">
        <v>30810.688999999998</v>
      </c>
      <c r="J14" s="52">
        <v>10550.352999999999</v>
      </c>
      <c r="K14" s="52">
        <v>35530.286</v>
      </c>
      <c r="L14" s="52">
        <v>8324.6370000000006</v>
      </c>
      <c r="M14" s="52">
        <v>33210.824999999997</v>
      </c>
      <c r="N14" s="52">
        <v>14021.132</v>
      </c>
      <c r="O14" s="52">
        <v>34048.641000000003</v>
      </c>
      <c r="Q14" s="50" t="s">
        <v>256</v>
      </c>
      <c r="R14" s="52">
        <v>7167.8370000000004</v>
      </c>
      <c r="S14" s="52">
        <v>18130.737000000001</v>
      </c>
      <c r="T14" s="52">
        <v>5942.0339999999997</v>
      </c>
      <c r="U14" s="52">
        <v>21121.707999999999</v>
      </c>
      <c r="V14" s="52">
        <v>8508.0630000000001</v>
      </c>
      <c r="W14" s="52">
        <v>20925.156999999999</v>
      </c>
      <c r="X14" s="52">
        <v>10580.383</v>
      </c>
      <c r="Y14" s="52">
        <v>22432.442999999999</v>
      </c>
      <c r="Z14" s="52">
        <v>8533.8119999999999</v>
      </c>
      <c r="AA14" s="52">
        <v>23700.157999999999</v>
      </c>
      <c r="AB14" s="52">
        <v>7054.2860000000001</v>
      </c>
      <c r="AC14" s="52">
        <v>25097.517</v>
      </c>
      <c r="AD14" s="52">
        <v>14525.236000000001</v>
      </c>
      <c r="AE14" s="52">
        <v>24282.508999999998</v>
      </c>
    </row>
    <row r="16" spans="1:31" x14ac:dyDescent="0.25">
      <c r="A16" t="s">
        <v>259</v>
      </c>
      <c r="B16" s="52">
        <v>24965.436000000002</v>
      </c>
      <c r="C16" s="52">
        <v>27993.243999999999</v>
      </c>
      <c r="D16" s="52">
        <v>28430.328000000001</v>
      </c>
      <c r="E16" s="52">
        <v>30810.688999999998</v>
      </c>
      <c r="F16" s="52">
        <v>35530.286</v>
      </c>
      <c r="G16" s="52">
        <v>33210.824999999997</v>
      </c>
      <c r="H16" s="52">
        <v>34048.641000000003</v>
      </c>
    </row>
    <row r="19" spans="11:12" x14ac:dyDescent="0.25">
      <c r="K19">
        <f>K18*1192</f>
        <v>0</v>
      </c>
    </row>
    <row r="20" spans="11:12" x14ac:dyDescent="0.25">
      <c r="K20">
        <v>1192</v>
      </c>
      <c r="L20">
        <f>(3115/773)*K20</f>
        <v>4803.4670116429497</v>
      </c>
    </row>
    <row r="21" spans="11:12" x14ac:dyDescent="0.25">
      <c r="L21">
        <f>(3115/773)*970</f>
        <v>3908.8615782664947</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827EA0-1D8A-4220-8213-4352ADD9FCED}">
  <dimension ref="A1"/>
  <sheetViews>
    <sheetView topLeftCell="A7" workbookViewId="0"/>
  </sheetViews>
  <sheetFormatPr defaultRowHeight="15" x14ac:dyDescent="0.25"/>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FB2D7D-A798-4DED-9CEE-85690847D53E}">
  <dimension ref="A2:Q15"/>
  <sheetViews>
    <sheetView workbookViewId="0">
      <selection activeCell="K3" sqref="K3:Q14"/>
    </sheetView>
  </sheetViews>
  <sheetFormatPr defaultRowHeight="15" x14ac:dyDescent="0.25"/>
  <sheetData>
    <row r="2" spans="1:17" ht="33.75" x14ac:dyDescent="0.25">
      <c r="B2" s="28">
        <v>2015</v>
      </c>
      <c r="C2" s="28">
        <v>2016</v>
      </c>
      <c r="D2" s="28">
        <v>2017</v>
      </c>
      <c r="E2" s="28">
        <v>2018</v>
      </c>
      <c r="F2" s="28">
        <v>2019</v>
      </c>
      <c r="G2" s="28">
        <v>2020</v>
      </c>
      <c r="H2" s="28">
        <v>2021</v>
      </c>
      <c r="K2" s="30" t="s">
        <v>241</v>
      </c>
      <c r="L2" s="30" t="s">
        <v>242</v>
      </c>
      <c r="M2" s="30" t="s">
        <v>243</v>
      </c>
      <c r="N2" s="30" t="s">
        <v>244</v>
      </c>
      <c r="O2" s="30" t="s">
        <v>245</v>
      </c>
      <c r="P2" s="30" t="s">
        <v>246</v>
      </c>
      <c r="Q2" s="31" t="s">
        <v>247</v>
      </c>
    </row>
    <row r="3" spans="1:17" ht="22.5" x14ac:dyDescent="0.25">
      <c r="B3" s="29" t="s">
        <v>248</v>
      </c>
      <c r="C3" s="29" t="s">
        <v>248</v>
      </c>
      <c r="D3" s="29" t="s">
        <v>248</v>
      </c>
      <c r="E3" s="29" t="s">
        <v>248</v>
      </c>
      <c r="F3" s="29" t="s">
        <v>248</v>
      </c>
      <c r="G3" s="29" t="s">
        <v>248</v>
      </c>
      <c r="H3" s="29" t="s">
        <v>248</v>
      </c>
      <c r="K3" s="34">
        <v>1561285</v>
      </c>
      <c r="L3" s="34">
        <v>2098217</v>
      </c>
      <c r="M3" s="34">
        <v>2640785</v>
      </c>
      <c r="N3" s="34">
        <v>2923811</v>
      </c>
      <c r="O3" s="34">
        <v>2909453</v>
      </c>
      <c r="P3" s="34">
        <v>2684798</v>
      </c>
      <c r="Q3" s="35">
        <v>3860106</v>
      </c>
    </row>
    <row r="4" spans="1:17" x14ac:dyDescent="0.25">
      <c r="A4" s="36" t="s">
        <v>33</v>
      </c>
      <c r="B4" s="42">
        <v>5538573</v>
      </c>
      <c r="C4" s="43">
        <v>8797456</v>
      </c>
      <c r="D4" s="42">
        <v>8133535</v>
      </c>
      <c r="E4" s="42">
        <v>7428601</v>
      </c>
      <c r="F4" s="42">
        <v>10895019</v>
      </c>
      <c r="G4" s="42">
        <v>12944804</v>
      </c>
      <c r="H4" s="42">
        <v>11197994</v>
      </c>
      <c r="K4" s="34">
        <v>1191853</v>
      </c>
      <c r="L4" s="34">
        <v>586199</v>
      </c>
      <c r="M4" s="34">
        <v>864014</v>
      </c>
      <c r="N4" s="34">
        <v>970922</v>
      </c>
      <c r="O4" s="34">
        <v>773032</v>
      </c>
      <c r="P4" s="34">
        <v>568195</v>
      </c>
      <c r="Q4" s="35">
        <v>930163</v>
      </c>
    </row>
    <row r="5" spans="1:17" ht="34.5" x14ac:dyDescent="0.25">
      <c r="A5" s="32" t="s">
        <v>237</v>
      </c>
      <c r="B5" s="33">
        <v>0</v>
      </c>
      <c r="C5" s="38">
        <v>0</v>
      </c>
      <c r="D5" s="33">
        <v>0</v>
      </c>
      <c r="E5" s="33">
        <v>0</v>
      </c>
      <c r="F5" s="33">
        <v>3114589</v>
      </c>
      <c r="G5" s="33">
        <v>2759400</v>
      </c>
      <c r="H5" s="33">
        <v>2844950</v>
      </c>
      <c r="K5" s="33">
        <v>751903</v>
      </c>
      <c r="L5" s="33">
        <v>343674</v>
      </c>
      <c r="M5" s="33">
        <v>247788</v>
      </c>
      <c r="N5" s="33">
        <v>906172</v>
      </c>
      <c r="O5" s="33">
        <v>796422</v>
      </c>
      <c r="P5" s="33">
        <v>435967</v>
      </c>
      <c r="Q5" s="40">
        <v>920529</v>
      </c>
    </row>
    <row r="6" spans="1:17" ht="23.25" x14ac:dyDescent="0.25">
      <c r="A6" s="36" t="s">
        <v>238</v>
      </c>
      <c r="B6" s="34">
        <v>2379011</v>
      </c>
      <c r="C6" s="34">
        <v>1636168</v>
      </c>
      <c r="D6" s="34">
        <v>760691</v>
      </c>
      <c r="E6" s="34">
        <v>2473055</v>
      </c>
      <c r="F6" s="34">
        <v>2715175</v>
      </c>
      <c r="G6" s="34">
        <v>1694402</v>
      </c>
      <c r="H6" s="34">
        <v>2525772</v>
      </c>
      <c r="K6" s="34">
        <v>485700</v>
      </c>
      <c r="L6" s="34">
        <v>368131</v>
      </c>
      <c r="M6" s="34">
        <v>560029</v>
      </c>
      <c r="N6" s="34">
        <v>759683</v>
      </c>
      <c r="O6" s="34">
        <v>496347</v>
      </c>
      <c r="P6" s="34">
        <v>421595</v>
      </c>
      <c r="Q6" s="35">
        <v>790797</v>
      </c>
    </row>
    <row r="7" spans="1:17" ht="23.25" x14ac:dyDescent="0.25">
      <c r="A7" s="32" t="s">
        <v>249</v>
      </c>
      <c r="B7" s="33">
        <v>1624695</v>
      </c>
      <c r="C7" s="44">
        <v>1570603</v>
      </c>
      <c r="D7" s="33">
        <v>1692018</v>
      </c>
      <c r="E7" s="33">
        <v>1893163</v>
      </c>
      <c r="F7" s="33">
        <v>1775386</v>
      </c>
      <c r="G7" s="44">
        <v>1784018</v>
      </c>
      <c r="H7" s="33">
        <v>2017783</v>
      </c>
      <c r="K7" s="33">
        <v>541947</v>
      </c>
      <c r="L7" s="33">
        <v>398564</v>
      </c>
      <c r="M7" s="33">
        <v>594676</v>
      </c>
      <c r="N7" s="33">
        <v>777465</v>
      </c>
      <c r="O7" s="33">
        <v>512143</v>
      </c>
      <c r="P7" s="33">
        <v>384968</v>
      </c>
      <c r="Q7" s="40">
        <v>690463</v>
      </c>
    </row>
    <row r="8" spans="1:17" x14ac:dyDescent="0.25">
      <c r="A8" s="36" t="s">
        <v>60</v>
      </c>
      <c r="B8" s="34">
        <v>1697429</v>
      </c>
      <c r="C8" s="42">
        <v>1628066</v>
      </c>
      <c r="D8" s="34">
        <v>1760414</v>
      </c>
      <c r="E8" s="37">
        <v>1850747</v>
      </c>
      <c r="F8" s="34">
        <v>1697220</v>
      </c>
      <c r="G8" s="42">
        <v>1596585</v>
      </c>
      <c r="H8" s="34">
        <v>1798666</v>
      </c>
      <c r="K8" s="33">
        <v>441695</v>
      </c>
      <c r="L8" s="33">
        <v>301956</v>
      </c>
      <c r="M8" s="33">
        <v>499434</v>
      </c>
      <c r="N8" s="33">
        <v>569539</v>
      </c>
      <c r="O8" s="33">
        <v>413116</v>
      </c>
      <c r="P8" s="33">
        <v>311027</v>
      </c>
      <c r="Q8" s="40">
        <v>586016</v>
      </c>
    </row>
    <row r="9" spans="1:17" x14ac:dyDescent="0.25">
      <c r="A9" s="32" t="s">
        <v>78</v>
      </c>
      <c r="B9" s="33">
        <v>1339843</v>
      </c>
      <c r="C9" s="33">
        <v>1321742</v>
      </c>
      <c r="D9" s="33">
        <v>1537484</v>
      </c>
      <c r="E9" s="38">
        <v>1468254</v>
      </c>
      <c r="F9" s="33">
        <v>1380303</v>
      </c>
      <c r="G9" s="33">
        <v>1332112</v>
      </c>
      <c r="H9" s="33">
        <v>1585549</v>
      </c>
      <c r="K9" s="34">
        <v>378228</v>
      </c>
      <c r="L9" s="34">
        <v>291656</v>
      </c>
      <c r="M9" s="34">
        <v>448499</v>
      </c>
      <c r="N9" s="34">
        <v>581389</v>
      </c>
      <c r="O9" s="34">
        <v>357457</v>
      </c>
      <c r="P9" s="34">
        <v>296713</v>
      </c>
      <c r="Q9" s="35">
        <v>591825</v>
      </c>
    </row>
    <row r="10" spans="1:17" ht="23.25" x14ac:dyDescent="0.25">
      <c r="A10" s="36" t="s">
        <v>250</v>
      </c>
      <c r="B10" s="34">
        <v>1284322</v>
      </c>
      <c r="C10" s="37">
        <v>1273071</v>
      </c>
      <c r="D10" s="37">
        <v>1367575</v>
      </c>
      <c r="E10" s="37">
        <v>1447908</v>
      </c>
      <c r="F10" s="37">
        <v>1285853</v>
      </c>
      <c r="G10" s="37">
        <v>1295439</v>
      </c>
      <c r="H10" s="37">
        <v>1530657</v>
      </c>
      <c r="K10" s="34">
        <v>288435</v>
      </c>
      <c r="L10" s="34">
        <v>223873</v>
      </c>
      <c r="M10" s="34">
        <v>364945</v>
      </c>
      <c r="N10" s="34">
        <v>478517</v>
      </c>
      <c r="O10" s="34">
        <v>376414</v>
      </c>
      <c r="P10" s="34">
        <v>294461</v>
      </c>
      <c r="Q10" s="35">
        <v>558663</v>
      </c>
    </row>
    <row r="11" spans="1:17" x14ac:dyDescent="0.25">
      <c r="A11" s="32" t="s">
        <v>127</v>
      </c>
      <c r="B11" s="33">
        <v>841826</v>
      </c>
      <c r="C11" s="38">
        <v>1058318</v>
      </c>
      <c r="D11" s="38">
        <v>1157994</v>
      </c>
      <c r="E11" s="38">
        <v>1206176</v>
      </c>
      <c r="F11" s="38">
        <v>1224279</v>
      </c>
      <c r="G11" s="45">
        <v>1252276</v>
      </c>
      <c r="H11" s="38">
        <v>1405821</v>
      </c>
      <c r="K11" s="33">
        <v>242730</v>
      </c>
      <c r="L11" s="33">
        <v>169572</v>
      </c>
      <c r="M11" s="33">
        <v>227735</v>
      </c>
      <c r="N11" s="33">
        <v>282506</v>
      </c>
      <c r="O11" s="33">
        <v>218784</v>
      </c>
      <c r="P11" s="33">
        <v>221622</v>
      </c>
      <c r="Q11" s="40">
        <v>393033</v>
      </c>
    </row>
    <row r="12" spans="1:17" x14ac:dyDescent="0.25">
      <c r="A12" s="36" t="s">
        <v>251</v>
      </c>
      <c r="B12" s="34">
        <v>744444</v>
      </c>
      <c r="C12" s="34">
        <v>790996</v>
      </c>
      <c r="D12" s="37">
        <v>736461</v>
      </c>
      <c r="E12" s="34">
        <v>798488</v>
      </c>
      <c r="F12" s="34">
        <v>729287</v>
      </c>
      <c r="G12" s="43">
        <v>881214</v>
      </c>
      <c r="H12" s="37">
        <v>1052256</v>
      </c>
      <c r="K12" s="34">
        <v>65717</v>
      </c>
      <c r="L12" s="34">
        <v>107435</v>
      </c>
      <c r="M12" s="34">
        <v>124343</v>
      </c>
      <c r="N12" s="34">
        <v>305775</v>
      </c>
      <c r="O12" s="34">
        <v>279732</v>
      </c>
      <c r="P12" s="34">
        <v>213349</v>
      </c>
      <c r="Q12" s="35">
        <v>392068</v>
      </c>
    </row>
    <row r="13" spans="1:17" x14ac:dyDescent="0.25">
      <c r="A13" s="32" t="s">
        <v>67</v>
      </c>
      <c r="B13" s="33">
        <v>219414</v>
      </c>
      <c r="C13" s="33">
        <v>436988</v>
      </c>
      <c r="D13" s="38">
        <v>350026</v>
      </c>
      <c r="E13" s="33">
        <v>699946</v>
      </c>
      <c r="F13" s="33">
        <v>773651</v>
      </c>
      <c r="G13" s="38">
        <v>840408</v>
      </c>
      <c r="H13" s="38">
        <v>979974</v>
      </c>
    </row>
    <row r="14" spans="1:17" x14ac:dyDescent="0.25">
      <c r="K14" s="46">
        <v>9027491</v>
      </c>
      <c r="L14" s="46">
        <v>7257926</v>
      </c>
      <c r="M14" s="46">
        <v>9974123</v>
      </c>
      <c r="N14" s="46">
        <v>13050227</v>
      </c>
      <c r="O14" s="46">
        <v>10550353</v>
      </c>
      <c r="P14" s="46">
        <v>8324637</v>
      </c>
      <c r="Q14" s="46">
        <v>14021132</v>
      </c>
    </row>
    <row r="15" spans="1:17" x14ac:dyDescent="0.25">
      <c r="B15">
        <v>24965436</v>
      </c>
      <c r="C15">
        <v>27993244</v>
      </c>
      <c r="D15">
        <v>28430328</v>
      </c>
      <c r="E15">
        <v>30810689</v>
      </c>
      <c r="F15">
        <v>35530286</v>
      </c>
      <c r="G15">
        <v>33210825</v>
      </c>
      <c r="H15">
        <v>34048641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C4B528-0911-4824-A275-ED07A57AAA71}">
  <dimension ref="A1:P14"/>
  <sheetViews>
    <sheetView workbookViewId="0">
      <selection activeCell="B3" sqref="B3:H14"/>
    </sheetView>
  </sheetViews>
  <sheetFormatPr defaultRowHeight="15" x14ac:dyDescent="0.25"/>
  <sheetData>
    <row r="1" spans="1:16" x14ac:dyDescent="0.25">
      <c r="B1" s="28">
        <v>2015</v>
      </c>
      <c r="C1" s="28">
        <v>2016</v>
      </c>
      <c r="D1" s="28">
        <v>2017</v>
      </c>
      <c r="E1" s="28">
        <v>2018</v>
      </c>
      <c r="F1" s="28">
        <v>2019</v>
      </c>
      <c r="G1" s="28">
        <v>2020</v>
      </c>
      <c r="H1" s="28">
        <v>2021</v>
      </c>
    </row>
    <row r="2" spans="1:16" ht="33.75" x14ac:dyDescent="0.25">
      <c r="B2" s="29" t="s">
        <v>228</v>
      </c>
      <c r="C2" s="29" t="s">
        <v>228</v>
      </c>
      <c r="D2" s="29" t="s">
        <v>228</v>
      </c>
      <c r="E2" s="29" t="s">
        <v>228</v>
      </c>
      <c r="F2" s="29" t="s">
        <v>228</v>
      </c>
      <c r="G2" s="29" t="s">
        <v>228</v>
      </c>
      <c r="H2" s="29" t="s">
        <v>228</v>
      </c>
      <c r="J2" s="30" t="s">
        <v>229</v>
      </c>
      <c r="K2" s="30" t="s">
        <v>230</v>
      </c>
      <c r="L2" s="30" t="s">
        <v>231</v>
      </c>
      <c r="M2" s="30" t="s">
        <v>232</v>
      </c>
      <c r="N2" s="30" t="s">
        <v>233</v>
      </c>
      <c r="O2" s="30" t="s">
        <v>234</v>
      </c>
      <c r="P2" s="31" t="s">
        <v>235</v>
      </c>
    </row>
    <row r="3" spans="1:16" ht="34.5" x14ac:dyDescent="0.25">
      <c r="A3" s="32" t="s">
        <v>236</v>
      </c>
      <c r="B3" s="33">
        <v>3733748</v>
      </c>
      <c r="C3" s="33">
        <v>4374864</v>
      </c>
      <c r="D3" s="33">
        <v>4044938</v>
      </c>
      <c r="E3" s="33">
        <v>4313085</v>
      </c>
      <c r="F3" s="33">
        <v>6107780</v>
      </c>
      <c r="G3" s="33">
        <v>7684717</v>
      </c>
      <c r="H3" s="33">
        <v>8012559</v>
      </c>
      <c r="J3" s="34">
        <v>878424</v>
      </c>
      <c r="K3" s="34">
        <v>932629</v>
      </c>
      <c r="L3" s="34">
        <v>1178360</v>
      </c>
      <c r="M3" s="34">
        <v>1349965</v>
      </c>
      <c r="N3" s="34">
        <v>1114514</v>
      </c>
      <c r="O3" s="34">
        <v>1174848</v>
      </c>
      <c r="P3" s="35">
        <v>2200175</v>
      </c>
    </row>
    <row r="4" spans="1:16" ht="23.25" x14ac:dyDescent="0.25">
      <c r="A4" s="36" t="s">
        <v>115</v>
      </c>
      <c r="B4" s="34">
        <v>4450269</v>
      </c>
      <c r="C4" s="34">
        <v>4202984</v>
      </c>
      <c r="D4" s="34">
        <v>3810518</v>
      </c>
      <c r="E4" s="34">
        <v>3863267</v>
      </c>
      <c r="F4" s="34">
        <v>4308192</v>
      </c>
      <c r="G4" s="34">
        <v>4538438</v>
      </c>
      <c r="H4" s="37">
        <v>3122891</v>
      </c>
      <c r="J4" s="34">
        <v>1148504</v>
      </c>
      <c r="K4" s="34">
        <v>778136</v>
      </c>
      <c r="L4" s="34">
        <v>1077801</v>
      </c>
      <c r="M4" s="34">
        <v>1444214</v>
      </c>
      <c r="N4" s="34">
        <v>1200022</v>
      </c>
      <c r="O4" s="34">
        <v>948943</v>
      </c>
      <c r="P4" s="35">
        <v>1594151</v>
      </c>
    </row>
    <row r="5" spans="1:16" ht="34.5" x14ac:dyDescent="0.25">
      <c r="A5" s="32" t="s">
        <v>237</v>
      </c>
      <c r="B5" s="33">
        <v>607159</v>
      </c>
      <c r="C5" s="33">
        <v>1514130</v>
      </c>
      <c r="D5" s="33">
        <v>1480452</v>
      </c>
      <c r="E5" s="33">
        <v>2349986</v>
      </c>
      <c r="F5" s="33">
        <v>1983509</v>
      </c>
      <c r="G5" s="33">
        <v>1096620</v>
      </c>
      <c r="H5" s="38">
        <v>2999132</v>
      </c>
      <c r="J5" s="34">
        <v>7423</v>
      </c>
      <c r="K5" s="34">
        <v>4832</v>
      </c>
      <c r="L5" s="34">
        <v>10911</v>
      </c>
      <c r="M5" s="34">
        <v>13499</v>
      </c>
      <c r="N5" s="34">
        <v>10960</v>
      </c>
      <c r="O5" s="34">
        <v>10687</v>
      </c>
      <c r="P5" s="39">
        <v>1455623</v>
      </c>
    </row>
    <row r="6" spans="1:16" ht="23.25" x14ac:dyDescent="0.25">
      <c r="A6" s="36" t="s">
        <v>238</v>
      </c>
      <c r="B6" s="34">
        <v>2056000</v>
      </c>
      <c r="C6" s="34">
        <v>2122270</v>
      </c>
      <c r="D6" s="37">
        <v>2283051</v>
      </c>
      <c r="E6" s="34">
        <v>2176951</v>
      </c>
      <c r="F6" s="34">
        <v>2156227</v>
      </c>
      <c r="G6" s="34">
        <v>2041405</v>
      </c>
      <c r="H6" s="34">
        <v>2041090</v>
      </c>
      <c r="J6" s="34">
        <v>747416</v>
      </c>
      <c r="K6" s="34">
        <v>559321</v>
      </c>
      <c r="L6" s="34">
        <v>786905</v>
      </c>
      <c r="M6" s="34">
        <v>861151</v>
      </c>
      <c r="N6" s="34">
        <v>674067</v>
      </c>
      <c r="O6" s="34">
        <v>525322</v>
      </c>
      <c r="P6" s="35">
        <v>801942</v>
      </c>
    </row>
    <row r="7" spans="1:16" ht="23.25" x14ac:dyDescent="0.25">
      <c r="A7" s="32" t="s">
        <v>239</v>
      </c>
      <c r="B7" s="33">
        <v>1258534</v>
      </c>
      <c r="C7" s="33">
        <v>1497382</v>
      </c>
      <c r="D7" s="38">
        <v>1684030</v>
      </c>
      <c r="E7" s="33">
        <v>1826988</v>
      </c>
      <c r="F7" s="33">
        <v>2108484</v>
      </c>
      <c r="G7" s="33">
        <v>2095010</v>
      </c>
      <c r="H7" s="33">
        <v>1896270</v>
      </c>
      <c r="J7" s="33">
        <v>330499</v>
      </c>
      <c r="K7" s="33">
        <v>251213</v>
      </c>
      <c r="L7" s="33">
        <v>454549</v>
      </c>
      <c r="M7" s="33">
        <v>601813</v>
      </c>
      <c r="N7" s="33">
        <v>517511</v>
      </c>
      <c r="O7" s="33">
        <v>378517</v>
      </c>
      <c r="P7" s="40">
        <v>633207</v>
      </c>
    </row>
    <row r="8" spans="1:16" x14ac:dyDescent="0.25">
      <c r="A8" s="36" t="s">
        <v>64</v>
      </c>
      <c r="B8" s="34">
        <v>1167433</v>
      </c>
      <c r="C8" s="34">
        <v>1795411</v>
      </c>
      <c r="D8" s="34">
        <v>1752883</v>
      </c>
      <c r="E8" s="34">
        <v>1645054</v>
      </c>
      <c r="F8" s="34">
        <v>1763129</v>
      </c>
      <c r="G8" s="34">
        <v>1483372</v>
      </c>
      <c r="H8" s="34">
        <v>1431028</v>
      </c>
      <c r="J8" s="33">
        <v>285174</v>
      </c>
      <c r="K8" s="33">
        <v>373275</v>
      </c>
      <c r="L8" s="33">
        <v>524699</v>
      </c>
      <c r="M8" s="33">
        <v>612824</v>
      </c>
      <c r="N8" s="33">
        <v>451977</v>
      </c>
      <c r="O8" s="33">
        <v>293352</v>
      </c>
      <c r="P8" s="40">
        <v>496564</v>
      </c>
    </row>
    <row r="9" spans="1:16" x14ac:dyDescent="0.25">
      <c r="A9" s="32" t="s">
        <v>136</v>
      </c>
      <c r="B9" s="33">
        <v>154532</v>
      </c>
      <c r="C9" s="33">
        <v>405159</v>
      </c>
      <c r="D9" s="33">
        <v>392326</v>
      </c>
      <c r="E9" s="33">
        <v>518633</v>
      </c>
      <c r="F9" s="33">
        <v>862015</v>
      </c>
      <c r="G9" s="33">
        <v>840268</v>
      </c>
      <c r="H9" s="33">
        <v>657182</v>
      </c>
      <c r="J9" s="34">
        <v>36984</v>
      </c>
      <c r="K9" s="34">
        <v>88139</v>
      </c>
      <c r="L9" s="34">
        <v>138039</v>
      </c>
      <c r="M9" s="34">
        <v>216442</v>
      </c>
      <c r="N9" s="34">
        <v>264168</v>
      </c>
      <c r="O9" s="34">
        <v>210508</v>
      </c>
      <c r="P9" s="35">
        <v>297699</v>
      </c>
    </row>
    <row r="10" spans="1:16" ht="23.25" x14ac:dyDescent="0.25">
      <c r="A10" s="36" t="s">
        <v>240</v>
      </c>
      <c r="B10" s="34">
        <v>485581</v>
      </c>
      <c r="C10" s="34">
        <v>606374</v>
      </c>
      <c r="D10" s="34">
        <v>492300</v>
      </c>
      <c r="E10" s="34">
        <v>684797</v>
      </c>
      <c r="F10" s="34">
        <v>668367</v>
      </c>
      <c r="G10" s="34">
        <v>702209</v>
      </c>
      <c r="H10" s="34">
        <v>563330</v>
      </c>
      <c r="J10" s="34">
        <v>112667</v>
      </c>
      <c r="K10" s="34">
        <v>108556</v>
      </c>
      <c r="L10" s="34">
        <v>139715</v>
      </c>
      <c r="M10" s="34">
        <v>236658</v>
      </c>
      <c r="N10" s="34">
        <v>150812</v>
      </c>
      <c r="O10" s="34">
        <v>144316</v>
      </c>
      <c r="P10" s="35">
        <v>193811</v>
      </c>
    </row>
    <row r="11" spans="1:16" x14ac:dyDescent="0.25">
      <c r="A11" s="32" t="s">
        <v>135</v>
      </c>
      <c r="B11" s="33">
        <v>98682</v>
      </c>
      <c r="C11" s="41">
        <v>340129</v>
      </c>
      <c r="D11" s="33">
        <v>801396</v>
      </c>
      <c r="E11" s="33">
        <v>982116</v>
      </c>
      <c r="F11" s="33">
        <v>712548</v>
      </c>
      <c r="G11" s="41">
        <v>385412</v>
      </c>
      <c r="H11" s="41">
        <v>475624</v>
      </c>
      <c r="J11" s="33">
        <v>26771</v>
      </c>
      <c r="K11" s="33">
        <v>94374</v>
      </c>
      <c r="L11" s="33">
        <v>265168</v>
      </c>
      <c r="M11" s="33">
        <v>398731</v>
      </c>
      <c r="N11" s="33">
        <v>143685</v>
      </c>
      <c r="O11" s="33">
        <v>175853</v>
      </c>
      <c r="P11" s="40">
        <v>261328</v>
      </c>
    </row>
    <row r="12" spans="1:16" x14ac:dyDescent="0.25">
      <c r="A12" s="36" t="s">
        <v>111</v>
      </c>
      <c r="B12" s="34">
        <v>237054</v>
      </c>
      <c r="C12" s="42">
        <v>272314</v>
      </c>
      <c r="D12" s="34">
        <v>310874</v>
      </c>
      <c r="E12" s="37">
        <v>351635</v>
      </c>
      <c r="F12" s="37">
        <v>387186</v>
      </c>
      <c r="G12" s="42">
        <v>289957</v>
      </c>
      <c r="H12" s="42">
        <v>397577</v>
      </c>
      <c r="J12" s="33">
        <v>82096</v>
      </c>
      <c r="K12" s="33">
        <v>63616</v>
      </c>
      <c r="L12" s="33">
        <v>105093</v>
      </c>
      <c r="M12" s="33">
        <v>139515</v>
      </c>
      <c r="N12" s="33">
        <v>126868</v>
      </c>
      <c r="O12" s="33">
        <v>81724</v>
      </c>
      <c r="P12" s="40">
        <v>181917</v>
      </c>
    </row>
    <row r="14" spans="1:16" x14ac:dyDescent="0.25">
      <c r="B14">
        <v>18130737</v>
      </c>
      <c r="C14">
        <v>21121708</v>
      </c>
      <c r="D14">
        <v>20925157</v>
      </c>
      <c r="E14">
        <v>22432443</v>
      </c>
      <c r="F14">
        <v>23700158</v>
      </c>
      <c r="G14">
        <v>25097517</v>
      </c>
      <c r="H14">
        <v>24282509</v>
      </c>
      <c r="J14">
        <v>7167837</v>
      </c>
      <c r="K14">
        <v>5942034</v>
      </c>
      <c r="L14">
        <v>8508063</v>
      </c>
      <c r="M14">
        <v>10580383</v>
      </c>
      <c r="N14">
        <v>8533812</v>
      </c>
      <c r="O14">
        <v>7054286</v>
      </c>
      <c r="P14">
        <v>14525236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E92C6E-468E-470E-89BF-C08DA6DFDFE5}">
  <dimension ref="B1"/>
  <sheetViews>
    <sheetView topLeftCell="A13" workbookViewId="0">
      <selection activeCell="B1" sqref="B1"/>
    </sheetView>
  </sheetViews>
  <sheetFormatPr defaultRowHeight="15" x14ac:dyDescent="0.25"/>
  <sheetData>
    <row r="1" spans="2:2" x14ac:dyDescent="0.25">
      <c r="B1" s="53" t="s">
        <v>260</v>
      </c>
    </row>
  </sheetData>
  <hyperlinks>
    <hyperlink ref="B1" r:id="rId1" xr:uid="{A0362E36-00B1-409A-9168-6BFBD47712AD}"/>
  </hyperlinks>
  <pageMargins left="0.7" right="0.7" top="0.75" bottom="0.75" header="0.3" footer="0.3"/>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6E1610-1BE9-427C-96F3-CA888083E2A6}">
  <dimension ref="A1"/>
  <sheetViews>
    <sheetView workbookViewId="0">
      <selection activeCell="G17" sqref="G17"/>
    </sheetView>
  </sheetViews>
  <sheetFormatPr defaultRowHeight="15" x14ac:dyDescent="0.25"/>
  <cols>
    <col min="1" max="1" width="9.5703125" bestFit="1" customWidth="1"/>
    <col min="2" max="2" width="15.28515625" customWidth="1"/>
    <col min="5" max="5" width="6.42578125" bestFit="1" customWidth="1"/>
    <col min="8" max="8" width="3.42578125" bestFit="1" customWidth="1"/>
    <col min="9" max="9" width="5.28515625" bestFit="1" customWidth="1"/>
    <col min="10" max="10" width="6.140625" bestFit="1" customWidth="1"/>
    <col min="12" max="12" width="5.28515625" bestFit="1" customWidth="1"/>
    <col min="16" max="16" width="4.85546875" bestFit="1" customWidth="1"/>
    <col min="17" max="17" width="4.7109375" bestFit="1" customWidth="1"/>
    <col min="18" max="18" width="5.140625" bestFit="1" customWidth="1"/>
    <col min="19" max="19" width="5" bestFit="1" customWidth="1"/>
    <col min="20" max="20" width="4.42578125" bestFit="1" customWidth="1"/>
    <col min="22" max="23" width="5.140625" bestFit="1" customWidth="1"/>
  </cols>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19</vt:i4>
      </vt:variant>
    </vt:vector>
  </HeadingPairs>
  <TitlesOfParts>
    <vt:vector size="19" baseType="lpstr">
      <vt:lpstr>Sheet1</vt:lpstr>
      <vt:lpstr>Methanex</vt:lpstr>
      <vt:lpstr>Sheet2</vt:lpstr>
      <vt:lpstr>Capacity By Location</vt:lpstr>
      <vt:lpstr>Capacity By Company</vt:lpstr>
      <vt:lpstr>Production By Company</vt:lpstr>
      <vt:lpstr>Operating Efficiency</vt:lpstr>
      <vt:lpstr>Demand Supply gap</vt:lpstr>
      <vt:lpstr>Pricing</vt:lpstr>
      <vt:lpstr>Demand By End Use</vt:lpstr>
      <vt:lpstr>Demand By Region</vt:lpstr>
      <vt:lpstr>Demand By Sales Channel</vt:lpstr>
      <vt:lpstr>Demand By Company Share</vt:lpstr>
      <vt:lpstr>Trade</vt:lpstr>
      <vt:lpstr>Sheet3</vt:lpstr>
      <vt:lpstr>Import</vt:lpstr>
      <vt:lpstr>Export</vt:lpstr>
      <vt:lpstr>Snapshot</vt:lpstr>
      <vt:lpstr>Sheet5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Priya Rawat</dc:creator>
  <cp:lastModifiedBy>Hardik Malhotra</cp:lastModifiedBy>
  <dcterms:created xsi:type="dcterms:W3CDTF">2015-06-05T18:17:20Z</dcterms:created>
  <dcterms:modified xsi:type="dcterms:W3CDTF">2023-06-15T12:52:52Z</dcterms:modified>
</cp:coreProperties>
</file>