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tables/table2.xml" ContentType="application/vnd.openxmlformats-officedocument.spreadsheetml.tab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tables/table3.xml" ContentType="application/vnd.openxmlformats-officedocument.spreadsheetml.tab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xml"/>
  <Override PartName="/xl/tables/table4.xml" ContentType="application/vnd.openxmlformats-officedocument.spreadsheetml.tab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hardik.malhotra\Desktop\Desktop Data\BPCL - Acrylic Acid\"/>
    </mc:Choice>
  </mc:AlternateContent>
  <xr:revisionPtr revIDLastSave="0" documentId="13_ncr:1_{45119F08-5CC5-46CD-A503-D4CCF2B1EA53}" xr6:coauthVersionLast="47" xr6:coauthVersionMax="47" xr10:uidLastSave="{00000000-0000-0000-0000-000000000000}"/>
  <bookViews>
    <workbookView xWindow="-120" yWindow="-120" windowWidth="20730" windowHeight="11160" tabRatio="885" firstSheet="1" activeTab="6" xr2:uid="{16711DA5-8FF4-433E-91EA-6B9EAF939962}"/>
  </bookViews>
  <sheets>
    <sheet name="Propylene Price" sheetId="20" state="hidden" r:id="rId1"/>
    <sheet name="Price Calcuation " sheetId="30" r:id="rId2"/>
    <sheet name="Price (H)" sheetId="2" r:id="rId3"/>
    <sheet name="Price (f)" sheetId="3" r:id="rId4"/>
    <sheet name="Regionwise" sheetId="14" state="hidden" r:id="rId5"/>
    <sheet name="Price (f)-Regionwise" sheetId="15" r:id="rId6"/>
    <sheet name="Sheet1" sheetId="31" r:id="rId7"/>
    <sheet name="Crude Oil (H)" sheetId="5" r:id="rId8"/>
    <sheet name="Propylene (H)" sheetId="4" r:id="rId9"/>
    <sheet name="PropyleneP_Crude oil_Regression" sheetId="16" r:id="rId10"/>
    <sheet name="EAA_Del_Price_PropyleneP_Regres" sheetId="17" r:id="rId11"/>
    <sheet name="GAA_Del_Price_PropyleneP_Regres" sheetId="18" r:id="rId12"/>
    <sheet name="Correl_Multivar_Regression" sheetId="12" r:id="rId13"/>
    <sheet name="Sheet8" sheetId="29" state="hidden" r:id="rId14"/>
    <sheet name="Production Cost &amp; Margin" sheetId="19" r:id="rId15"/>
    <sheet name="Crude oil (f)" sheetId="23" r:id="rId16"/>
    <sheet name="Propylene(f)" sheetId="24" r:id="rId17"/>
    <sheet name="Glacial Acrylic Acid(F)" sheetId="28" r:id="rId18"/>
    <sheet name="Ester Acrylic Acid_Forecast" sheetId="26" r:id="rId19"/>
    <sheet name="Sheet2" sheetId="8" state="hidden" r:id="rId20"/>
    <sheet name="India Imports" sheetId="6" state="hidden" r:id="rId21"/>
  </sheets>
  <externalReferences>
    <externalReference r:id="rId22"/>
  </externalReferences>
  <definedNames>
    <definedName name="Myqty" hidden="1">[1]Chartsv!$HD$2:$HD$14</definedName>
    <definedName name="Myup" hidden="1">[1]Chartsv!$HC$2:$HC$14</definedName>
    <definedName name="Myvalue" hidden="1">[1]Chartsv!$HF$2:$HF$14</definedName>
    <definedName name="Myweeks" hidden="1">[1]Chartsv!$HB$2:$HB$14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31" l="1"/>
  <c r="W4" i="31"/>
  <c r="W5" i="31"/>
  <c r="W6" i="31"/>
  <c r="W7" i="31"/>
  <c r="W8" i="31"/>
  <c r="W9" i="31"/>
  <c r="W10" i="31"/>
  <c r="W11" i="31"/>
  <c r="W12" i="31"/>
  <c r="W13" i="31"/>
  <c r="W14" i="31"/>
  <c r="W15" i="31"/>
  <c r="W16" i="31"/>
  <c r="W17" i="31"/>
  <c r="Q12" i="31"/>
  <c r="R12" i="31" s="1"/>
  <c r="D14" i="30"/>
  <c r="D9" i="30"/>
  <c r="D3" i="30"/>
  <c r="D4" i="30" s="1"/>
  <c r="D5" i="30" s="1"/>
  <c r="E3" i="19"/>
  <c r="E6" i="19"/>
  <c r="M30" i="31" l="1"/>
  <c r="N30" i="31" s="1"/>
  <c r="I30" i="31"/>
  <c r="J30" i="31" s="1"/>
  <c r="Q30" i="31"/>
  <c r="R30" i="31" s="1"/>
  <c r="E30" i="31"/>
  <c r="F30" i="31" s="1"/>
  <c r="M31" i="31"/>
  <c r="N31" i="31" s="1"/>
  <c r="I31" i="31"/>
  <c r="J31" i="31" s="1"/>
  <c r="E31" i="31"/>
  <c r="F31" i="31" s="1"/>
  <c r="Q31" i="31"/>
  <c r="R31" i="31" s="1"/>
  <c r="E2" i="31"/>
  <c r="F2" i="31" s="1"/>
  <c r="M12" i="31"/>
  <c r="N12" i="31" s="1"/>
  <c r="I12" i="31"/>
  <c r="J12" i="31" s="1"/>
  <c r="E12" i="31"/>
  <c r="F12" i="31" s="1"/>
  <c r="D7" i="30"/>
  <c r="E8" i="19"/>
  <c r="E9" i="19" s="1"/>
  <c r="Q29" i="31" l="1"/>
  <c r="R29" i="31" s="1"/>
  <c r="M29" i="31"/>
  <c r="N29" i="31" s="1"/>
  <c r="I29" i="31"/>
  <c r="J29" i="31" s="1"/>
  <c r="E29" i="31"/>
  <c r="F29" i="31" s="1"/>
  <c r="M32" i="31"/>
  <c r="N32" i="31" s="1"/>
  <c r="E32" i="31"/>
  <c r="F32" i="31" s="1"/>
  <c r="I32" i="31"/>
  <c r="J32" i="31" s="1"/>
  <c r="Q32" i="31"/>
  <c r="R32" i="31" s="1"/>
  <c r="Q9" i="31"/>
  <c r="R9" i="31" s="1"/>
  <c r="E10" i="31"/>
  <c r="F10" i="31" s="1"/>
  <c r="M5" i="31"/>
  <c r="N5" i="31" s="1"/>
  <c r="I11" i="31"/>
  <c r="J11" i="31" s="1"/>
  <c r="I7" i="31"/>
  <c r="J7" i="31" s="1"/>
  <c r="E11" i="31"/>
  <c r="F11" i="31" s="1"/>
  <c r="M7" i="31"/>
  <c r="N7" i="31" s="1"/>
  <c r="I3" i="31"/>
  <c r="J3" i="31" s="1"/>
  <c r="M6" i="31"/>
  <c r="N6" i="31" s="1"/>
  <c r="E4" i="31"/>
  <c r="F4" i="31" s="1"/>
  <c r="I6" i="31"/>
  <c r="J6" i="31" s="1"/>
  <c r="Q11" i="31"/>
  <c r="R11" i="31" s="1"/>
  <c r="I4" i="31"/>
  <c r="J4" i="31" s="1"/>
  <c r="Q4" i="31"/>
  <c r="R4" i="31" s="1"/>
  <c r="M10" i="31"/>
  <c r="N10" i="31" s="1"/>
  <c r="Q5" i="31"/>
  <c r="R5" i="31" s="1"/>
  <c r="Q7" i="31"/>
  <c r="R7" i="31" s="1"/>
  <c r="E6" i="31"/>
  <c r="F6" i="31" s="1"/>
  <c r="M11" i="31"/>
  <c r="N11" i="31" s="1"/>
  <c r="E8" i="31"/>
  <c r="F8" i="31" s="1"/>
  <c r="I2" i="31"/>
  <c r="J2" i="31" s="1"/>
  <c r="I8" i="31"/>
  <c r="J8" i="31" s="1"/>
  <c r="M8" i="31"/>
  <c r="N8" i="31" s="1"/>
  <c r="M4" i="31"/>
  <c r="N4" i="31" s="1"/>
  <c r="E9" i="31"/>
  <c r="F9" i="31" s="1"/>
  <c r="M2" i="31"/>
  <c r="N2" i="31" s="1"/>
  <c r="M3" i="31"/>
  <c r="N3" i="31" s="1"/>
  <c r="Q6" i="31"/>
  <c r="R6" i="31" s="1"/>
  <c r="Q3" i="31"/>
  <c r="R3" i="31" s="1"/>
  <c r="I10" i="31"/>
  <c r="J10" i="31" s="1"/>
  <c r="Q8" i="31"/>
  <c r="R8" i="31" s="1"/>
  <c r="E5" i="31"/>
  <c r="F5" i="31" s="1"/>
  <c r="I9" i="31"/>
  <c r="J9" i="31" s="1"/>
  <c r="Q10" i="31"/>
  <c r="R10" i="31" s="1"/>
  <c r="E7" i="31"/>
  <c r="F7" i="31" s="1"/>
  <c r="E3" i="31"/>
  <c r="F3" i="31" s="1"/>
  <c r="I5" i="31"/>
  <c r="J5" i="31" s="1"/>
  <c r="M9" i="31"/>
  <c r="N9" i="31" s="1"/>
  <c r="Q2" i="31"/>
  <c r="R2" i="31" s="1"/>
  <c r="E13" i="31"/>
  <c r="F13" i="31" s="1"/>
  <c r="I13" i="31"/>
  <c r="J13" i="31" s="1"/>
  <c r="M13" i="31"/>
  <c r="N13" i="31" s="1"/>
  <c r="Q13" i="31"/>
  <c r="R13" i="31" s="1"/>
  <c r="D8" i="30"/>
  <c r="D10" i="30" s="1"/>
  <c r="D11" i="30" s="1"/>
  <c r="D15" i="30" s="1"/>
  <c r="B26" i="29"/>
  <c r="B5" i="29"/>
  <c r="C3" i="29"/>
  <c r="C4" i="29" s="1"/>
  <c r="Q28" i="31" l="1"/>
  <c r="R28" i="31" s="1"/>
  <c r="M28" i="31"/>
  <c r="N28" i="31" s="1"/>
  <c r="I28" i="31"/>
  <c r="J28" i="31" s="1"/>
  <c r="E28" i="31"/>
  <c r="F28" i="31" s="1"/>
  <c r="M33" i="31"/>
  <c r="N33" i="31" s="1"/>
  <c r="Q33" i="31"/>
  <c r="R33" i="31" s="1"/>
  <c r="E33" i="31"/>
  <c r="F33" i="31" s="1"/>
  <c r="I33" i="31"/>
  <c r="J33" i="31" s="1"/>
  <c r="I14" i="31"/>
  <c r="J14" i="31" s="1"/>
  <c r="M14" i="31"/>
  <c r="N14" i="31" s="1"/>
  <c r="Q14" i="31"/>
  <c r="R14" i="31" s="1"/>
  <c r="E14" i="31"/>
  <c r="F14" i="31" s="1"/>
  <c r="N2" i="3"/>
  <c r="N3" i="3"/>
  <c r="N4" i="3"/>
  <c r="N5" i="3"/>
  <c r="N6" i="3"/>
  <c r="N7" i="3"/>
  <c r="N8" i="3"/>
  <c r="N9" i="3"/>
  <c r="N10" i="3"/>
  <c r="N11" i="3"/>
  <c r="N12" i="3"/>
  <c r="G2" i="3"/>
  <c r="G3" i="3"/>
  <c r="G4" i="3"/>
  <c r="G5" i="3"/>
  <c r="G6" i="3"/>
  <c r="G7" i="3"/>
  <c r="G8" i="3"/>
  <c r="G9" i="3"/>
  <c r="G10" i="3"/>
  <c r="G11" i="3"/>
  <c r="G12" i="3"/>
  <c r="C13" i="28"/>
  <c r="C21" i="28"/>
  <c r="C29" i="28"/>
  <c r="C37" i="28"/>
  <c r="C33" i="28"/>
  <c r="C14" i="28"/>
  <c r="C22" i="28"/>
  <c r="C30" i="28"/>
  <c r="C26" i="28"/>
  <c r="C15" i="28"/>
  <c r="C23" i="28"/>
  <c r="C31" i="28"/>
  <c r="C25" i="28"/>
  <c r="C18" i="28"/>
  <c r="C16" i="28"/>
  <c r="C24" i="28"/>
  <c r="C32" i="28"/>
  <c r="C17" i="28"/>
  <c r="C34" i="28"/>
  <c r="C19" i="28"/>
  <c r="C27" i="28"/>
  <c r="C35" i="28"/>
  <c r="C20" i="28"/>
  <c r="C28" i="28"/>
  <c r="C36" i="28"/>
  <c r="C14" i="26"/>
  <c r="C22" i="26"/>
  <c r="C30" i="26"/>
  <c r="C15" i="26"/>
  <c r="C23" i="26"/>
  <c r="C31" i="26"/>
  <c r="C20" i="26"/>
  <c r="C21" i="26"/>
  <c r="C16" i="26"/>
  <c r="C24" i="26"/>
  <c r="C32" i="26"/>
  <c r="C35" i="26"/>
  <c r="C29" i="26"/>
  <c r="C17" i="26"/>
  <c r="C25" i="26"/>
  <c r="C33" i="26"/>
  <c r="C27" i="26"/>
  <c r="C28" i="26"/>
  <c r="C13" i="26"/>
  <c r="C18" i="26"/>
  <c r="C26" i="26"/>
  <c r="C34" i="26"/>
  <c r="C19" i="26"/>
  <c r="C36" i="26"/>
  <c r="C37" i="26"/>
  <c r="C37" i="24"/>
  <c r="C29" i="24"/>
  <c r="C21" i="24"/>
  <c r="C13" i="24"/>
  <c r="C36" i="24"/>
  <c r="C28" i="24"/>
  <c r="C20" i="24"/>
  <c r="C35" i="24"/>
  <c r="C27" i="24"/>
  <c r="C19" i="24"/>
  <c r="C34" i="24"/>
  <c r="C26" i="24"/>
  <c r="C18" i="24"/>
  <c r="C33" i="24"/>
  <c r="C25" i="24"/>
  <c r="C17" i="24"/>
  <c r="C14" i="24"/>
  <c r="C32" i="24"/>
  <c r="C24" i="24"/>
  <c r="C16" i="24"/>
  <c r="C22" i="24"/>
  <c r="C31" i="24"/>
  <c r="C23" i="24"/>
  <c r="C15" i="24"/>
  <c r="C30" i="24"/>
  <c r="C37" i="23"/>
  <c r="C29" i="23"/>
  <c r="C36" i="23"/>
  <c r="C28" i="23"/>
  <c r="C20" i="23"/>
  <c r="C13" i="23"/>
  <c r="C35" i="23"/>
  <c r="C27" i="23"/>
  <c r="C19" i="23"/>
  <c r="C16" i="23"/>
  <c r="C23" i="23"/>
  <c r="C22" i="23"/>
  <c r="C34" i="23"/>
  <c r="C26" i="23"/>
  <c r="C18" i="23"/>
  <c r="C32" i="23"/>
  <c r="C31" i="23"/>
  <c r="C14" i="23"/>
  <c r="C21" i="23"/>
  <c r="C33" i="23"/>
  <c r="C25" i="23"/>
  <c r="C17" i="23"/>
  <c r="C24" i="23"/>
  <c r="C15" i="23"/>
  <c r="C30" i="23"/>
  <c r="Q27" i="31" l="1"/>
  <c r="R27" i="31" s="1"/>
  <c r="M27" i="31"/>
  <c r="N27" i="31" s="1"/>
  <c r="I27" i="31"/>
  <c r="J27" i="31" s="1"/>
  <c r="E27" i="31"/>
  <c r="F27" i="31" s="1"/>
  <c r="Q34" i="31"/>
  <c r="R34" i="31" s="1"/>
  <c r="M34" i="31"/>
  <c r="N34" i="31" s="1"/>
  <c r="I34" i="31"/>
  <c r="J34" i="31" s="1"/>
  <c r="E34" i="31"/>
  <c r="F34" i="31" s="1"/>
  <c r="E15" i="31"/>
  <c r="F15" i="31" s="1"/>
  <c r="I15" i="31"/>
  <c r="J15" i="31" s="1"/>
  <c r="M15" i="31"/>
  <c r="N15" i="31" s="1"/>
  <c r="Q15" i="31"/>
  <c r="R15" i="31" s="1"/>
  <c r="D6" i="19"/>
  <c r="D8" i="19" s="1"/>
  <c r="Q35" i="31" l="1"/>
  <c r="R35" i="31" s="1"/>
  <c r="M35" i="31"/>
  <c r="N35" i="31" s="1"/>
  <c r="I35" i="31"/>
  <c r="J35" i="31" s="1"/>
  <c r="E35" i="31"/>
  <c r="F35" i="31" s="1"/>
  <c r="E26" i="31"/>
  <c r="F26" i="31" s="1"/>
  <c r="Q26" i="31"/>
  <c r="R26" i="31" s="1"/>
  <c r="M26" i="31"/>
  <c r="N26" i="31" s="1"/>
  <c r="I26" i="31"/>
  <c r="J26" i="31" s="1"/>
  <c r="E16" i="31"/>
  <c r="F16" i="31" s="1"/>
  <c r="I16" i="31"/>
  <c r="J16" i="31" s="1"/>
  <c r="M16" i="31"/>
  <c r="N16" i="31" s="1"/>
  <c r="Q16" i="31"/>
  <c r="R16" i="31" s="1"/>
  <c r="D9" i="19"/>
  <c r="D3" i="19"/>
  <c r="C6" i="19"/>
  <c r="C8" i="19" s="1"/>
  <c r="E4" i="20"/>
  <c r="D4" i="20"/>
  <c r="B4" i="20"/>
  <c r="D22" i="2"/>
  <c r="C22" i="2"/>
  <c r="J3" i="20"/>
  <c r="C3" i="19"/>
  <c r="F3" i="20"/>
  <c r="E3" i="20"/>
  <c r="D3" i="20"/>
  <c r="B3" i="20"/>
  <c r="B6" i="19"/>
  <c r="B8" i="19" s="1"/>
  <c r="B3" i="19"/>
  <c r="M25" i="31" l="1"/>
  <c r="N25" i="31" s="1"/>
  <c r="I25" i="31"/>
  <c r="J25" i="31" s="1"/>
  <c r="Q25" i="31"/>
  <c r="R25" i="31" s="1"/>
  <c r="E25" i="31"/>
  <c r="F25" i="31" s="1"/>
  <c r="E17" i="31"/>
  <c r="F17" i="31" s="1"/>
  <c r="I17" i="31"/>
  <c r="J17" i="31" s="1"/>
  <c r="M17" i="31"/>
  <c r="N17" i="31" s="1"/>
  <c r="Q17" i="31"/>
  <c r="R17" i="31" s="1"/>
  <c r="F2" i="20"/>
  <c r="D2" i="20"/>
  <c r="E2" i="20" s="1"/>
  <c r="E24" i="31" l="1"/>
  <c r="F24" i="31" s="1"/>
  <c r="I24" i="31"/>
  <c r="J24" i="31" s="1"/>
  <c r="M24" i="31"/>
  <c r="N24" i="31" s="1"/>
  <c r="Q24" i="31"/>
  <c r="R24" i="31" s="1"/>
  <c r="K2" i="3"/>
  <c r="K3" i="3"/>
  <c r="K4" i="3"/>
  <c r="K5" i="3"/>
  <c r="K6" i="3"/>
  <c r="K7" i="3"/>
  <c r="K8" i="3"/>
  <c r="K9" i="3"/>
  <c r="K10" i="3"/>
  <c r="K11" i="3"/>
  <c r="K12" i="3"/>
  <c r="D2" i="3"/>
  <c r="D3" i="3"/>
  <c r="D4" i="3"/>
  <c r="D5" i="3"/>
  <c r="D6" i="3"/>
  <c r="D7" i="3"/>
  <c r="D8" i="3"/>
  <c r="D9" i="3"/>
  <c r="D10" i="3"/>
  <c r="D11" i="3"/>
  <c r="D12" i="3"/>
  <c r="O14" i="3"/>
  <c r="O15" i="3"/>
  <c r="O16" i="3"/>
  <c r="O17" i="3"/>
  <c r="O13" i="3"/>
  <c r="M14" i="3"/>
  <c r="M15" i="3"/>
  <c r="M16" i="3"/>
  <c r="M17" i="3"/>
  <c r="M13" i="3"/>
  <c r="H14" i="3"/>
  <c r="H15" i="3"/>
  <c r="H16" i="3"/>
  <c r="H17" i="3"/>
  <c r="H13" i="3"/>
  <c r="F17" i="3"/>
  <c r="F14" i="3"/>
  <c r="F15" i="3"/>
  <c r="F16" i="3"/>
  <c r="F13" i="3"/>
  <c r="Q23" i="31" l="1"/>
  <c r="R23" i="31" s="1"/>
  <c r="M23" i="31"/>
  <c r="N23" i="31" s="1"/>
  <c r="I23" i="31"/>
  <c r="J23" i="31" s="1"/>
  <c r="E23" i="31"/>
  <c r="F23" i="31" s="1"/>
  <c r="N14" i="3"/>
  <c r="N15" i="3"/>
  <c r="N16" i="3"/>
  <c r="N17" i="3"/>
  <c r="N13" i="3"/>
  <c r="K14" i="3"/>
  <c r="K15" i="3"/>
  <c r="K16" i="3"/>
  <c r="K17" i="3"/>
  <c r="K13" i="3"/>
  <c r="D14" i="3"/>
  <c r="D15" i="3"/>
  <c r="D16" i="3"/>
  <c r="D17" i="3"/>
  <c r="D13" i="3"/>
  <c r="G14" i="3"/>
  <c r="G15" i="3"/>
  <c r="G16" i="3"/>
  <c r="G17" i="3"/>
  <c r="G13" i="3"/>
  <c r="Q22" i="31" l="1"/>
  <c r="R22" i="31" s="1"/>
  <c r="M22" i="31"/>
  <c r="N22" i="31" s="1"/>
  <c r="I22" i="31"/>
  <c r="J22" i="31" s="1"/>
  <c r="E22" i="31"/>
  <c r="F22" i="31" s="1"/>
  <c r="O5" i="5"/>
  <c r="O6" i="5"/>
  <c r="O7" i="5"/>
  <c r="O8" i="5"/>
  <c r="O9" i="5"/>
  <c r="O10" i="5"/>
  <c r="O11" i="5"/>
  <c r="O12" i="5"/>
  <c r="O13" i="5"/>
  <c r="O14" i="5"/>
  <c r="O4" i="5"/>
  <c r="Q21" i="31" l="1"/>
  <c r="R21" i="31" s="1"/>
  <c r="M21" i="31"/>
  <c r="N21" i="31" s="1"/>
  <c r="I21" i="31"/>
  <c r="J21" i="31" s="1"/>
  <c r="E21" i="31"/>
  <c r="F21" i="31" s="1"/>
  <c r="F29" i="6"/>
  <c r="G29" i="6" s="1"/>
  <c r="H29" i="6" s="1"/>
  <c r="C29" i="6"/>
  <c r="G28" i="6"/>
  <c r="F28" i="6"/>
  <c r="C28" i="6"/>
  <c r="F27" i="6"/>
  <c r="G27" i="6" s="1"/>
  <c r="H27" i="6" s="1"/>
  <c r="C27" i="6"/>
  <c r="G26" i="6"/>
  <c r="H26" i="6" s="1"/>
  <c r="F26" i="6"/>
  <c r="C26" i="6"/>
  <c r="F25" i="6"/>
  <c r="G25" i="6" s="1"/>
  <c r="H25" i="6" s="1"/>
  <c r="C25" i="6"/>
  <c r="G24" i="6"/>
  <c r="F24" i="6"/>
  <c r="C24" i="6"/>
  <c r="F23" i="6"/>
  <c r="G23" i="6" s="1"/>
  <c r="H23" i="6" s="1"/>
  <c r="C23" i="6"/>
  <c r="G22" i="6"/>
  <c r="F22" i="6"/>
  <c r="C22" i="6"/>
  <c r="F21" i="6"/>
  <c r="G21" i="6" s="1"/>
  <c r="H21" i="6" s="1"/>
  <c r="C21" i="6"/>
  <c r="G20" i="6"/>
  <c r="H20" i="6" s="1"/>
  <c r="F20" i="6"/>
  <c r="C20" i="6"/>
  <c r="F19" i="6"/>
  <c r="G19" i="6" s="1"/>
  <c r="C19" i="6"/>
  <c r="F18" i="6"/>
  <c r="G18" i="6" s="1"/>
  <c r="X15" i="6"/>
  <c r="V15" i="6"/>
  <c r="T15" i="6"/>
  <c r="R15" i="6"/>
  <c r="P15" i="6"/>
  <c r="N15" i="6"/>
  <c r="L15" i="6"/>
  <c r="L16" i="6" s="1"/>
  <c r="J15" i="6"/>
  <c r="J16" i="6" s="1"/>
  <c r="H15" i="6"/>
  <c r="H16" i="6" s="1"/>
  <c r="F15" i="6"/>
  <c r="F16" i="6" s="1"/>
  <c r="D15" i="6"/>
  <c r="D16" i="6" s="1"/>
  <c r="B15" i="6"/>
  <c r="Y13" i="6"/>
  <c r="X13" i="6"/>
  <c r="W13" i="6"/>
  <c r="V13" i="6"/>
  <c r="U13" i="6"/>
  <c r="T13" i="6"/>
  <c r="S13" i="6"/>
  <c r="R13" i="6"/>
  <c r="Q13" i="6"/>
  <c r="P13" i="6"/>
  <c r="O13" i="6"/>
  <c r="N13" i="6"/>
  <c r="M13" i="6"/>
  <c r="L13" i="6"/>
  <c r="K13" i="6"/>
  <c r="J13" i="6"/>
  <c r="I13" i="6"/>
  <c r="H13" i="6"/>
  <c r="G13" i="6"/>
  <c r="F13" i="6"/>
  <c r="E13" i="6"/>
  <c r="D13" i="6"/>
  <c r="C13" i="6"/>
  <c r="B13" i="6"/>
  <c r="Q20" i="31" l="1"/>
  <c r="R20" i="31" s="1"/>
  <c r="M20" i="31"/>
  <c r="N20" i="31" s="1"/>
  <c r="I20" i="31"/>
  <c r="J20" i="31" s="1"/>
  <c r="E20" i="31"/>
  <c r="F20" i="31" s="1"/>
  <c r="H28" i="6"/>
  <c r="H24" i="6"/>
  <c r="H19" i="6"/>
  <c r="H22" i="6"/>
  <c r="P14" i="5"/>
  <c r="P13" i="5"/>
  <c r="P12" i="5"/>
  <c r="P11" i="5"/>
  <c r="P10" i="5"/>
  <c r="P9" i="5"/>
  <c r="P8" i="5"/>
  <c r="P7" i="5"/>
  <c r="P6" i="5"/>
  <c r="P5" i="5"/>
  <c r="P4" i="5"/>
  <c r="D51" i="2" l="1"/>
  <c r="G51" i="2" s="1"/>
  <c r="I51" i="2" s="1"/>
  <c r="C51" i="2"/>
  <c r="B51" i="2"/>
  <c r="I50" i="2"/>
  <c r="H50" i="2"/>
  <c r="G50" i="2"/>
  <c r="F50" i="2"/>
  <c r="E50" i="2"/>
  <c r="R49" i="2"/>
  <c r="P49" i="2"/>
  <c r="O49" i="2"/>
  <c r="Q49" i="2" s="1"/>
  <c r="N49" i="2"/>
  <c r="G49" i="2"/>
  <c r="I49" i="2" s="1"/>
  <c r="F49" i="2"/>
  <c r="H49" i="2" s="1"/>
  <c r="E49" i="2"/>
  <c r="Q48" i="2"/>
  <c r="P48" i="2"/>
  <c r="R48" i="2" s="1"/>
  <c r="O48" i="2"/>
  <c r="H48" i="2"/>
  <c r="G48" i="2"/>
  <c r="I48" i="2" s="1"/>
  <c r="F48" i="2"/>
  <c r="M47" i="2"/>
  <c r="L47" i="2"/>
  <c r="P47" i="2" s="1"/>
  <c r="R47" i="2" s="1"/>
  <c r="K47" i="2"/>
  <c r="Q46" i="2"/>
  <c r="P46" i="2"/>
  <c r="R46" i="2" s="1"/>
  <c r="O46" i="2"/>
  <c r="N46" i="2"/>
  <c r="D46" i="2"/>
  <c r="E46" i="2" s="1"/>
  <c r="C46" i="2"/>
  <c r="B46" i="2"/>
  <c r="R45" i="2"/>
  <c r="Q45" i="2"/>
  <c r="P45" i="2"/>
  <c r="O45" i="2"/>
  <c r="N45" i="2"/>
  <c r="I45" i="2"/>
  <c r="G45" i="2"/>
  <c r="F45" i="2"/>
  <c r="H45" i="2" s="1"/>
  <c r="E45" i="2"/>
  <c r="P44" i="2"/>
  <c r="R44" i="2" s="1"/>
  <c r="O44" i="2"/>
  <c r="Q44" i="2" s="1"/>
  <c r="N44" i="2"/>
  <c r="H44" i="2"/>
  <c r="G44" i="2"/>
  <c r="I44" i="2" s="1"/>
  <c r="F44" i="2"/>
  <c r="E44" i="2"/>
  <c r="R43" i="2"/>
  <c r="Q43" i="2"/>
  <c r="P43" i="2"/>
  <c r="O43" i="2"/>
  <c r="N43" i="2"/>
  <c r="I43" i="2"/>
  <c r="G43" i="2"/>
  <c r="F43" i="2"/>
  <c r="H43" i="2" s="1"/>
  <c r="E43" i="2"/>
  <c r="P42" i="2"/>
  <c r="R42" i="2" s="1"/>
  <c r="O42" i="2"/>
  <c r="Q42" i="2" s="1"/>
  <c r="N42" i="2"/>
  <c r="H42" i="2"/>
  <c r="G42" i="2"/>
  <c r="I42" i="2" s="1"/>
  <c r="F42" i="2"/>
  <c r="E42" i="2"/>
  <c r="R41" i="2"/>
  <c r="Q41" i="2"/>
  <c r="P41" i="2"/>
  <c r="O41" i="2"/>
  <c r="G41" i="2"/>
  <c r="I41" i="2" s="1"/>
  <c r="F41" i="2"/>
  <c r="H41" i="2" s="1"/>
  <c r="R36" i="2"/>
  <c r="Q36" i="2"/>
  <c r="M36" i="2"/>
  <c r="N36" i="2" s="1"/>
  <c r="L36" i="2"/>
  <c r="K36" i="2"/>
  <c r="D36" i="2"/>
  <c r="E36" i="2" s="1"/>
  <c r="C36" i="2"/>
  <c r="G36" i="2" s="1"/>
  <c r="I36" i="2" s="1"/>
  <c r="B36" i="2"/>
  <c r="F36" i="2" s="1"/>
  <c r="H36" i="2" s="1"/>
  <c r="P35" i="2"/>
  <c r="R35" i="2" s="1"/>
  <c r="O35" i="2"/>
  <c r="Q35" i="2" s="1"/>
  <c r="N35" i="2"/>
  <c r="H35" i="2"/>
  <c r="G35" i="2"/>
  <c r="I35" i="2" s="1"/>
  <c r="F35" i="2"/>
  <c r="E35" i="2"/>
  <c r="R34" i="2"/>
  <c r="Q34" i="2"/>
  <c r="P34" i="2"/>
  <c r="O34" i="2"/>
  <c r="N34" i="2"/>
  <c r="I34" i="2"/>
  <c r="G34" i="2"/>
  <c r="F34" i="2"/>
  <c r="H34" i="2" s="1"/>
  <c r="E34" i="2"/>
  <c r="P33" i="2"/>
  <c r="R33" i="2" s="1"/>
  <c r="O33" i="2"/>
  <c r="Q33" i="2" s="1"/>
  <c r="G33" i="2"/>
  <c r="I33" i="2" s="1"/>
  <c r="F33" i="2"/>
  <c r="H33" i="2" s="1"/>
  <c r="O31" i="2"/>
  <c r="Q31" i="2" s="1"/>
  <c r="M31" i="2"/>
  <c r="N31" i="2" s="1"/>
  <c r="L31" i="2"/>
  <c r="P31" i="2" s="1"/>
  <c r="R31" i="2" s="1"/>
  <c r="K31" i="2"/>
  <c r="F31" i="2"/>
  <c r="H31" i="2" s="1"/>
  <c r="D31" i="2"/>
  <c r="E31" i="2" s="1"/>
  <c r="C31" i="2"/>
  <c r="G31" i="2" s="1"/>
  <c r="I31" i="2" s="1"/>
  <c r="B31" i="2"/>
  <c r="P30" i="2"/>
  <c r="R30" i="2" s="1"/>
  <c r="O30" i="2"/>
  <c r="Q30" i="2" s="1"/>
  <c r="N30" i="2"/>
  <c r="H30" i="2"/>
  <c r="G30" i="2"/>
  <c r="I30" i="2" s="1"/>
  <c r="F30" i="2"/>
  <c r="E30" i="2"/>
  <c r="R29" i="2"/>
  <c r="Q29" i="2"/>
  <c r="P29" i="2"/>
  <c r="O29" i="2"/>
  <c r="N29" i="2"/>
  <c r="I29" i="2"/>
  <c r="G29" i="2"/>
  <c r="F29" i="2"/>
  <c r="H29" i="2" s="1"/>
  <c r="E29" i="2"/>
  <c r="P28" i="2"/>
  <c r="R28" i="2" s="1"/>
  <c r="O28" i="2"/>
  <c r="Q28" i="2" s="1"/>
  <c r="N28" i="2"/>
  <c r="H28" i="2"/>
  <c r="G28" i="2"/>
  <c r="I28" i="2" s="1"/>
  <c r="F28" i="2"/>
  <c r="E28" i="2"/>
  <c r="R27" i="2"/>
  <c r="Q27" i="2"/>
  <c r="P27" i="2"/>
  <c r="O27" i="2"/>
  <c r="N27" i="2"/>
  <c r="I27" i="2"/>
  <c r="G27" i="2"/>
  <c r="F27" i="2"/>
  <c r="H27" i="2" s="1"/>
  <c r="E27" i="2"/>
  <c r="P26" i="2"/>
  <c r="R26" i="2" s="1"/>
  <c r="O26" i="2"/>
  <c r="Q26" i="2" s="1"/>
  <c r="G26" i="2"/>
  <c r="I26" i="2" s="1"/>
  <c r="F26" i="2"/>
  <c r="H26" i="2" s="1"/>
  <c r="F20" i="2"/>
  <c r="H20" i="2" s="1"/>
  <c r="E20" i="2"/>
  <c r="G20" i="2" s="1"/>
  <c r="D20" i="2"/>
  <c r="C20" i="2"/>
  <c r="B20" i="2"/>
  <c r="I19" i="2"/>
  <c r="F19" i="2"/>
  <c r="H19" i="2" s="1"/>
  <c r="E19" i="2"/>
  <c r="G19" i="2" s="1"/>
  <c r="I18" i="2"/>
  <c r="G18" i="2"/>
  <c r="F18" i="2"/>
  <c r="H18" i="2" s="1"/>
  <c r="E18" i="2"/>
  <c r="F15" i="2"/>
  <c r="H15" i="2" s="1"/>
  <c r="D15" i="2"/>
  <c r="I14" i="2" s="1"/>
  <c r="C15" i="2"/>
  <c r="B15" i="2"/>
  <c r="E15" i="2" s="1"/>
  <c r="G15" i="2" s="1"/>
  <c r="G14" i="2"/>
  <c r="F14" i="2"/>
  <c r="H14" i="2" s="1"/>
  <c r="E14" i="2"/>
  <c r="I13" i="2"/>
  <c r="H13" i="2"/>
  <c r="G13" i="2"/>
  <c r="F13" i="2"/>
  <c r="E13" i="2"/>
  <c r="H10" i="2"/>
  <c r="G10" i="2"/>
  <c r="F10" i="2"/>
  <c r="E10" i="2"/>
  <c r="I9" i="2"/>
  <c r="H9" i="2"/>
  <c r="F9" i="2"/>
  <c r="E9" i="2"/>
  <c r="G9" i="2" s="1"/>
  <c r="I8" i="2"/>
  <c r="F8" i="2"/>
  <c r="H8" i="2" s="1"/>
  <c r="E8" i="2"/>
  <c r="G8" i="2" s="1"/>
  <c r="F5" i="2"/>
  <c r="H5" i="2" s="1"/>
  <c r="E5" i="2"/>
  <c r="G5" i="2" s="1"/>
  <c r="D5" i="2"/>
  <c r="C5" i="2"/>
  <c r="B5" i="2"/>
  <c r="I4" i="2"/>
  <c r="F4" i="2"/>
  <c r="H4" i="2" s="1"/>
  <c r="E4" i="2"/>
  <c r="G4" i="2" s="1"/>
  <c r="I3" i="2"/>
  <c r="G3" i="2"/>
  <c r="F3" i="2"/>
  <c r="H3" i="2" s="1"/>
  <c r="E3" i="2"/>
  <c r="F51" i="2" l="1"/>
  <c r="H51" i="2" s="1"/>
  <c r="F46" i="2"/>
  <c r="H46" i="2" s="1"/>
  <c r="G46" i="2"/>
  <c r="I46" i="2" s="1"/>
  <c r="O47" i="2"/>
  <c r="Q47" i="2" s="1"/>
  <c r="E51" i="2"/>
  <c r="N47" i="2"/>
  <c r="B9" i="19" l="1"/>
  <c r="C9" i="19"/>
</calcChain>
</file>

<file path=xl/sharedStrings.xml><?xml version="1.0" encoding="utf-8"?>
<sst xmlns="http://schemas.openxmlformats.org/spreadsheetml/2006/main" count="873" uniqueCount="319">
  <si>
    <t>FY 2023</t>
  </si>
  <si>
    <t>CIF Value ($)</t>
  </si>
  <si>
    <t>Landed Value ($)</t>
  </si>
  <si>
    <t>Volume (KG)</t>
  </si>
  <si>
    <t>CIF (USD/Kg)</t>
  </si>
  <si>
    <t>Landed (USD/Kg)</t>
  </si>
  <si>
    <t>CIF (INR/Kg)</t>
  </si>
  <si>
    <t>Landed (INR/Kg)</t>
  </si>
  <si>
    <t>Percentage of imports by Grade</t>
  </si>
  <si>
    <t>EAA</t>
  </si>
  <si>
    <t>Ester Acrylic Acid</t>
  </si>
  <si>
    <t>GAA</t>
  </si>
  <si>
    <t>Glacial Acrylic Acid</t>
  </si>
  <si>
    <t xml:space="preserve">Total </t>
  </si>
  <si>
    <t>FY 2022</t>
  </si>
  <si>
    <t>FY 2021</t>
  </si>
  <si>
    <t>FY 2020</t>
  </si>
  <si>
    <t xml:space="preserve">Share of Countries </t>
  </si>
  <si>
    <t>JNPT</t>
  </si>
  <si>
    <t>China</t>
  </si>
  <si>
    <t>Indonesia</t>
  </si>
  <si>
    <t xml:space="preserve">South Korea </t>
  </si>
  <si>
    <t>Malaysia</t>
  </si>
  <si>
    <t>Russia</t>
  </si>
  <si>
    <t>Others</t>
  </si>
  <si>
    <t>Vizag Sea</t>
  </si>
  <si>
    <t>Japan</t>
  </si>
  <si>
    <t>Singapore</t>
  </si>
  <si>
    <t>Exchange Rate</t>
  </si>
  <si>
    <t>Year</t>
  </si>
  <si>
    <t>Average USD/INR</t>
  </si>
  <si>
    <t>Min USD/INR</t>
  </si>
  <si>
    <t>Max USD/INR</t>
  </si>
  <si>
    <t>No of working days</t>
  </si>
  <si>
    <t xml:space="preserve">Ester Acrylic Acid CIF </t>
  </si>
  <si>
    <t xml:space="preserve">Ester Acrylic Acid Landed Price  </t>
  </si>
  <si>
    <t xml:space="preserve">Ester Acrylic Acid Delivered Price </t>
  </si>
  <si>
    <t xml:space="preserve">Glacial Acrylic Acid CIF </t>
  </si>
  <si>
    <t xml:space="preserve">Glacial Acrylic Acid Landed Price  </t>
  </si>
  <si>
    <t xml:space="preserve">Glacial Acrylic Acid Delivered Price </t>
  </si>
  <si>
    <t>FY2017</t>
  </si>
  <si>
    <t>FY2018</t>
  </si>
  <si>
    <t>FY2019</t>
  </si>
  <si>
    <t>FY2020</t>
  </si>
  <si>
    <t>FY2021</t>
  </si>
  <si>
    <t>FY2022</t>
  </si>
  <si>
    <t>FY2023</t>
  </si>
  <si>
    <t xml:space="preserve">Unit </t>
  </si>
  <si>
    <t>INR/Ton</t>
  </si>
  <si>
    <t>CIF</t>
  </si>
  <si>
    <t>Cost + Insurance + Freight (Excluding Import Duties, Taxes and Logistic Cost)</t>
  </si>
  <si>
    <t>Landed Price</t>
  </si>
  <si>
    <t>Cost + Insurance + Freight + Import Duties and Taxes</t>
  </si>
  <si>
    <t xml:space="preserve">Delivered Price </t>
  </si>
  <si>
    <t>Cost + Insurance + Freight + Import Duties and Taxes + Logistic Cost</t>
  </si>
  <si>
    <t>FY2014</t>
  </si>
  <si>
    <t>FY2015</t>
  </si>
  <si>
    <t>FY2016</t>
  </si>
  <si>
    <t>FY2013</t>
  </si>
  <si>
    <t>Logistic Cost</t>
  </si>
  <si>
    <t>Propylene Chemical Grade(spot) Ex-Mumbai (India)</t>
  </si>
  <si>
    <t>Propylene Polymer Grade (Contract) Ex-Hazira (India)</t>
  </si>
  <si>
    <t>INR || India || Copyright 2021-Chem Analyst. All Rights Reserved</t>
  </si>
  <si>
    <t>Crude Oil FOB Price (Indian Basket)</t>
  </si>
  <si>
    <t>April</t>
  </si>
  <si>
    <t>May</t>
  </si>
  <si>
    <t>June</t>
  </si>
  <si>
    <t>July</t>
  </si>
  <si>
    <t>August</t>
  </si>
  <si>
    <t>September</t>
  </si>
  <si>
    <t>October</t>
  </si>
  <si>
    <t>November</t>
  </si>
  <si>
    <t>December</t>
  </si>
  <si>
    <t>January</t>
  </si>
  <si>
    <t>February</t>
  </si>
  <si>
    <t>March</t>
  </si>
  <si>
    <t>Notes:</t>
  </si>
  <si>
    <t>* The composition of Indian Basket of Crude represents Average of Oman &amp; Dubai for sour grades and Brent (Dated) for sweet grade in the ratio of  crude processed during previous financial year, e.g. ratio of crude processed as indicated in the table above.</t>
  </si>
  <si>
    <t>- Crude oil prices are average of daily prices of respective month.</t>
  </si>
  <si>
    <t>Countries</t>
  </si>
  <si>
    <t xml:space="preserve">Value </t>
  </si>
  <si>
    <t>Volume</t>
  </si>
  <si>
    <t xml:space="preserve">CHINA P RP </t>
  </si>
  <si>
    <t xml:space="preserve">KOREA RP </t>
  </si>
  <si>
    <t xml:space="preserve">INDONESIA </t>
  </si>
  <si>
    <t xml:space="preserve">MALAYSIA </t>
  </si>
  <si>
    <t xml:space="preserve">JAPAN </t>
  </si>
  <si>
    <t xml:space="preserve">TURKEY </t>
  </si>
  <si>
    <t xml:space="preserve">TAIWAN </t>
  </si>
  <si>
    <t xml:space="preserve">SINGAPORE </t>
  </si>
  <si>
    <t xml:space="preserve">RUSSIA </t>
  </si>
  <si>
    <t xml:space="preserve">U ARAB EMTS </t>
  </si>
  <si>
    <t xml:space="preserve">  </t>
  </si>
  <si>
    <t>Lacs</t>
  </si>
  <si>
    <t>Tons</t>
  </si>
  <si>
    <t xml:space="preserve">Calculated from Vizag Port to Kochi </t>
  </si>
  <si>
    <t>($/bbl)*</t>
  </si>
  <si>
    <t>Average ($/Ton)</t>
  </si>
  <si>
    <t>Average (INR/Ton)</t>
  </si>
  <si>
    <t>Average ($/bbl)</t>
  </si>
  <si>
    <t>Crude Oil FOB Price (Indian Basket) (INR/Ton)</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</si>
  <si>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</si>
  <si>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</si>
  <si>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</si>
  <si>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</si>
  <si>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</si>
  <si>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</si>
  <si>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</si>
  <si>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</si>
  <si>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</si>
  <si>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</si>
  <si>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</si>
  <si>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</si>
  <si>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</si>
  <si>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</si>
  <si>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</si>
  <si>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</si>
  <si>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</si>
  <si>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</si>
  <si>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</si>
  <si>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</si>
  <si>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</si>
  <si>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</si>
  <si>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</si>
  <si>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</si>
  <si>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</si>
  <si>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</si>
  <si>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</si>
  <si>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PROBABILITY OUTPUT</t>
  </si>
  <si>
    <t>Percentile</t>
  </si>
  <si>
    <t>Predicted 129734.52</t>
  </si>
  <si>
    <t>Predicted 135903.36</t>
  </si>
  <si>
    <t>FY2028F</t>
  </si>
  <si>
    <t>FY2033F</t>
  </si>
  <si>
    <t>FY2038F</t>
  </si>
  <si>
    <t>FY2043F</t>
  </si>
  <si>
    <t>Crude Oil FOB Price (Indian Basket) Average (INR/Ton)</t>
  </si>
  <si>
    <t>`</t>
  </si>
  <si>
    <t>A regression is a statistical technique that relates a dependent variable to one or more independent (explanatory) variables.</t>
  </si>
  <si>
    <t>A correlation of -1.0 indicates a perfect negative correlation, and a correlation of 1.0 indicates a perfect positive correlation.</t>
  </si>
  <si>
    <t xml:space="preserve">ChemAnalyst used various techniques to understand the price trend, correlation and forecast supported with primary interview among key suppliers. </t>
  </si>
  <si>
    <t xml:space="preserve">Linear Regression </t>
  </si>
  <si>
    <t>Exponential Smoothing (Based on Past Data)</t>
  </si>
  <si>
    <t>1. Linear regression is a statistical technique that examines the linear relationship between a dependent variable and one or more independent variables.</t>
  </si>
  <si>
    <t>2. Linear relationship means the change in an independent variable(s) causes a change in the dependent variable.</t>
  </si>
  <si>
    <t>        - Positive Linear Relationship: When the independent variable increases, the dependent variable increases too.</t>
  </si>
  <si>
    <t>        - Negative Linear Relationship: When the independent variable increases, the dependent variable decreases.</t>
  </si>
  <si>
    <t xml:space="preserve">        - R Square values were positive with a varying degree in all possible propositions, indicating a positive linear relationship but it was not closer to 1. It indicates that there are various factors too which impact more on price. </t>
  </si>
  <si>
    <t>3. Linear Regression suggested to know the relationship between— Crude Oil, Propylene, Ester Acrylic Acid, and Glacial Acrylic Acid at 95% confidence level.</t>
  </si>
  <si>
    <t>1. Exponential smoothing forecasting is based on the AAA version (additive error, additive trend, and additive seasonality) of the Exponential Triple Smoothing (ETS) algorithm, which smoothest out minor deviations in past data trends by detecting seasonality patterns and confidence intervals.</t>
  </si>
  <si>
    <t>2. ChemAnalyst used the Exponential Smoothing while considering the price forecast and Primary interviews from the industry shown the confidence on the output.</t>
  </si>
  <si>
    <t>A regression model is able to show whether changes observed in the dependent variable are associated with changes in one or more of the explanatory variables.</t>
  </si>
  <si>
    <t>       - As the R² increases, more variation in the data is explained by the model and better the model gets at prediction.</t>
  </si>
  <si>
    <t xml:space="preserve">       - Represents the power of a model. It shows the amount of variation in the dependent variable the independent variable explains and always lies between values 0 and 1.  </t>
  </si>
  <si>
    <t>       - A low R² would indicate that the model doesn’t fit the data well and that an independent variable doesn’t explain the variation in the dependent variable well.</t>
  </si>
  <si>
    <t>R Square (R²)</t>
  </si>
  <si>
    <t>Adjusted R²</t>
  </si>
  <si>
    <t xml:space="preserve">       - R² multiplied by an adjustment factor. </t>
  </si>
  <si>
    <t>       - This is used while comparing different regression models with different independent variables.</t>
  </si>
  <si>
    <t>       - This number comes in handy while deciding on the right independent variables in multiple regression models.</t>
  </si>
  <si>
    <t>Multiple R </t>
  </si>
  <si>
    <t>       - is the positive square root of R²</t>
  </si>
  <si>
    <t>Standard Error </t>
  </si>
  <si>
    <t>       - This is the estimated standard deviation of the error of the regression equation and is a good measure of the accuracy of the regression line.</t>
  </si>
  <si>
    <t xml:space="preserve">       - is different from the standard error of the coefficients. </t>
  </si>
  <si>
    <t>       - It is the square root of the residual mean squared errors.</t>
  </si>
  <si>
    <t>West Logistic Cost</t>
  </si>
  <si>
    <t>South Logistic Cost</t>
  </si>
  <si>
    <t>North Logistic Cost</t>
  </si>
  <si>
    <t>East Logistic Cost</t>
  </si>
  <si>
    <t>FY2048F</t>
  </si>
  <si>
    <t>Pessimistic_West Ester Acrylic Acid Delivered Price</t>
  </si>
  <si>
    <t>Realistic_West Ester Acrylic Acid Delivered Price</t>
  </si>
  <si>
    <t>Optimistic_West Ester Acrylic Acid Delivered Price</t>
  </si>
  <si>
    <t>Realistic_South Ester Acrylic Acid Delivered Price</t>
  </si>
  <si>
    <t>Pessimistic_South Ester Acrylic Acid Delivered Price</t>
  </si>
  <si>
    <t>Optimistic_South Ester Acrylic Acid Delivered Price</t>
  </si>
  <si>
    <t>Pessimistic_North Ester Acrylic Acid Delivered Price</t>
  </si>
  <si>
    <t>Optimistic_North Ester Acrylic Acid Delivered Price</t>
  </si>
  <si>
    <t>Pessimistic_East Ester Acrylic Acid Delivered Price</t>
  </si>
  <si>
    <t>Optimistic_East Ester Acrylic Acid Delivered Price</t>
  </si>
  <si>
    <t>Pessimistic_West Glacial Acrylic Acid Delivered Price</t>
  </si>
  <si>
    <t>Optimistic_West Glacial Acrylic Acid Delivered Price</t>
  </si>
  <si>
    <t>Pessimistic_South Glacial Acrylic Acid Delivered Price</t>
  </si>
  <si>
    <t>Optimistic_South Glacial Acrylic Acid Delivered Price</t>
  </si>
  <si>
    <t>Pessimistic_North Glacial Acrylic Acid Delivered Price</t>
  </si>
  <si>
    <t>Optimistic_North Glacial Acrylic Acid Delivered Price</t>
  </si>
  <si>
    <t>Pessimistic_East Glacial Acrylic Acid Delivered Price</t>
  </si>
  <si>
    <t>Optimistic_East Glacial Acrylic Acid Delivered Price</t>
  </si>
  <si>
    <t>Pessimistic_Ester Acrylic Acid Delivered Price</t>
  </si>
  <si>
    <t>Optimistic_Ester Acrylic Acid Delivered Price</t>
  </si>
  <si>
    <t>Pessimistic_Glacial Acrylic Acid Delivered Price</t>
  </si>
  <si>
    <t>Optimistic_Glacial Acrylic Acid Delivered Price</t>
  </si>
  <si>
    <t>Predicted 56350</t>
  </si>
  <si>
    <t>       - R², in this case, is 53%, which implies that the Propylene Polymer Grade Prices can explain 53% of the variation in the Glacial Acrylic Acid Prices.</t>
  </si>
  <si>
    <t>       - R², in this case, is 56%, which implies that the Propylene Polymer Grade Prices can explain 56% of the variation in the Ester Acrylic Acid Prices.</t>
  </si>
  <si>
    <t>       - R², in this case, is 53%, which implies that the Crude Oil Prices can explain 53% of the variation in the Propylene Polymer Grade Prices.</t>
  </si>
  <si>
    <t xml:space="preserve">The correlation coefficient is a statistical measure of the strength of a linear relationship between two variables. </t>
  </si>
  <si>
    <t>In the above Correlation table, the coefficients have been observed leaning towards positive 1, realising a positive correlation.</t>
  </si>
  <si>
    <t>Its values can range from -1 to 1.</t>
  </si>
  <si>
    <t>Arkema has 18.2% of EBITDA Margin in Its Coating Solutions Segment whereas Sales in the Coating Solutions segment grew by 18.4% to €3,250 million, around one-third of which were in acrylic  monomers</t>
  </si>
  <si>
    <t>Sales</t>
  </si>
  <si>
    <t>EBITDA</t>
  </si>
  <si>
    <t>Margin</t>
  </si>
  <si>
    <t xml:space="preserve">Ester Acrylic Acid Ex Works Price </t>
  </si>
  <si>
    <t>For Acrylic Monomers</t>
  </si>
  <si>
    <t xml:space="preserve">For 1 Ton of Acrylic Acid </t>
  </si>
  <si>
    <t>Propylene Polymer Grade Price for 1 Ton of Acrylic  Acid</t>
  </si>
  <si>
    <t>Variable Cost</t>
  </si>
  <si>
    <t>Fixed Cost</t>
  </si>
  <si>
    <t>Other Utilities Cost</t>
  </si>
  <si>
    <t>Total Production Cost</t>
  </si>
  <si>
    <t>Production Cost &amp; Margin</t>
  </si>
  <si>
    <t>EBITDA Margin (%)</t>
  </si>
  <si>
    <t>Ester Acrylic Acid_Dollars of the Day</t>
  </si>
  <si>
    <t>Glacial Acrylic Acid_Dollars of the Day</t>
  </si>
  <si>
    <t>China INR/Ton</t>
  </si>
  <si>
    <t>South Korea (NEA) INR/Ton</t>
  </si>
  <si>
    <t>Indonesia (SEA) INR/Ton</t>
  </si>
  <si>
    <t>China Propylene</t>
  </si>
  <si>
    <t>Propylene</t>
  </si>
  <si>
    <t>South Korea</t>
  </si>
  <si>
    <t>Timeline</t>
  </si>
  <si>
    <t>Values</t>
  </si>
  <si>
    <t>Forecast</t>
  </si>
  <si>
    <t>Propylene Polymer Grade Prices</t>
  </si>
  <si>
    <t xml:space="preserve">Ester Acrylic Acid Prices </t>
  </si>
  <si>
    <t xml:space="preserve">Realistic_Ester Acrylic Acid Delivered Price </t>
  </si>
  <si>
    <t xml:space="preserve">Realistic_Glacial Acrylic Acid Delivered Price </t>
  </si>
  <si>
    <t xml:space="preserve">Realistic_West Glacial Acrylic Acid Delivered Price </t>
  </si>
  <si>
    <t xml:space="preserve">Realistic_South Glacial Acrylic Acid Delivered Price </t>
  </si>
  <si>
    <t xml:space="preserve">Realistic_North Glacial Acrylic Acid Delivered Price </t>
  </si>
  <si>
    <t xml:space="preserve">Realistic_East Glacial Acrylic Acid Delivered Price </t>
  </si>
  <si>
    <t>Realistic_East Ester Acrylic Acid Delivered Price</t>
  </si>
  <si>
    <t>Realistic_North Ester Acrylic Acid Delivered Price</t>
  </si>
  <si>
    <t>0.58 Ton of Propylene required</t>
  </si>
  <si>
    <t>Basis for Price Forecasting</t>
  </si>
  <si>
    <t>The price of Acrylic Acid has been forecasted by using following factors, wherein:</t>
  </si>
  <si>
    <t>ChemAnalyst took into consideration the anomalies of price fluctuation due to many factors such as:</t>
  </si>
  <si>
    <t>ChemAnalyst forecasted the price taking current price as a base.</t>
  </si>
  <si>
    <t>Presently, crude oil price fluctuations are showing considerable volatility due to several socio-political factors worldwide. Various influencing factors for price forecast include raw-materials / feedstock prices and demand – supply balances in the region which built the relationship of product to substitute products having comparable properties and common end-uses as well as their prices.</t>
  </si>
  <si>
    <t>Feedstock prices directly affect the price of product. Increased feedstock prices, if passed on to end-users, increase the inflation and if not, they squeeze the margins of producers leading to making the industry unattractive for further investments. This leads to supply crunch and shortage of product in the market. The shortage leads to further increase in prices of product.</t>
  </si>
  <si>
    <t xml:space="preserve">·         The price during last ten years is considered.  </t>
  </si>
  <si>
    <t>·         These prices, if available monthly or quarterly, are averaged on annual basis.</t>
  </si>
  <si>
    <t>·            Exchange rate</t>
  </si>
  <si>
    <t>·            Conversion rate</t>
  </si>
  <si>
    <t>·            Demand / availability scenario</t>
  </si>
  <si>
    <t>·            Feedstock price changes</t>
  </si>
  <si>
    <t>·            Geo-political scenario</t>
  </si>
  <si>
    <t>·            Global economy, etc.</t>
  </si>
  <si>
    <t>·            Inflation</t>
  </si>
  <si>
    <t>·            Taxation.</t>
  </si>
  <si>
    <t>·         The crude oil prices will remain within average limits during the next ten years.</t>
  </si>
  <si>
    <t>·         The technologies in exploration and production activities will continuously evolve leading to lower cost of production, better margins, and extra investment in E&amp;P activities.</t>
  </si>
  <si>
    <t>·         No technological innovations of substantial magnitude will take place which may lead to sea-change in technologies / processes used today.</t>
  </si>
  <si>
    <t xml:space="preserve">·         Current Exchange Rate will change during the forecast period. </t>
  </si>
  <si>
    <t xml:space="preserve">The uncertainty over development of economic environment renders the forecasting exercise futile. Therefore, the forecasting exercise is always done with set of assumptions. </t>
  </si>
  <si>
    <t>The Assumptions in this exercise are as under:</t>
  </si>
  <si>
    <t>ChemAnalyst used the Correlation Coefficient while considering the price forecast.</t>
  </si>
  <si>
    <t>Assumptions</t>
  </si>
  <si>
    <t>For 1 Ton of Acrylic acid, 0.58 Ton of Propylene is required</t>
  </si>
  <si>
    <t>Total operating cost is calculated based on the 100% capacity utilization.</t>
  </si>
  <si>
    <t>Fixed Cost Includes Catalyst Cost,  Chemicals, Salary and Wages, Maintenance and repairs, Insurance and Plant Overhead and Administrative Costs.</t>
  </si>
  <si>
    <t>       - R², in this case, is 81%, which implies that the Crude Oil Prices and  Propylene Polymer Grade Prices can explain 81% of the variation in the Ester Acrylic Acid Prices.</t>
  </si>
  <si>
    <t>3. Linear Regression suggested to know the relationship between— Crude Oil, Propylene Polymer Grade, Ester Acrylic Acid, and Glacial Acrylic Acid at 95% confidence level.</t>
  </si>
  <si>
    <t>Saudi Arabia (MEA) INR/Ton</t>
  </si>
  <si>
    <t xml:space="preserve">Propylene Polymer Grade Ex Works Prices of each region has been considered to calculate the variable cost. </t>
  </si>
  <si>
    <t>Per unit consumption of utilities, prices of raw material per tonne, catchem, overhead cost per tonne have been considered.</t>
  </si>
  <si>
    <t>Customs AIDC</t>
  </si>
  <si>
    <t xml:space="preserve">A </t>
  </si>
  <si>
    <t>B</t>
  </si>
  <si>
    <t>Social Welfare Surcharge (SWC)</t>
  </si>
  <si>
    <t>C</t>
  </si>
  <si>
    <t>D</t>
  </si>
  <si>
    <t>Other Duties</t>
  </si>
  <si>
    <t>IGST Levy</t>
  </si>
  <si>
    <t>E</t>
  </si>
  <si>
    <t>G</t>
  </si>
  <si>
    <t>H</t>
  </si>
  <si>
    <t>I</t>
  </si>
  <si>
    <t>Basic Customs Duty (7.5% of A (CIF price))</t>
  </si>
  <si>
    <t>Customs AIDC (7.5% of B (Basic Customs Duty))</t>
  </si>
  <si>
    <t>Total Custom Duty on CIF price  (B+C)</t>
  </si>
  <si>
    <t xml:space="preserve">Social Welfare Surcharge (10% of D (Total Custom Duty on CIF price)) </t>
  </si>
  <si>
    <t>Total Duties Incurred (D+E)</t>
  </si>
  <si>
    <t>IGST Levy (18% of A (CIF Price))</t>
  </si>
  <si>
    <t>Total Tax Levied on CIF Price (G+H)</t>
  </si>
  <si>
    <t>Landed Price (H+A)</t>
  </si>
  <si>
    <t xml:space="preserve">Logistic Cost </t>
  </si>
  <si>
    <t>CIF Price</t>
  </si>
  <si>
    <t xml:space="preserve">Distance Between Souce and Destination in Kms </t>
  </si>
  <si>
    <t xml:space="preserve">Total Delivered Cost </t>
  </si>
  <si>
    <t xml:space="preserve">I </t>
  </si>
  <si>
    <t>II</t>
  </si>
  <si>
    <t>I+II</t>
  </si>
  <si>
    <t>Country</t>
  </si>
  <si>
    <t>Basic Custom Duty</t>
  </si>
  <si>
    <t>Total Duty</t>
  </si>
  <si>
    <t>Spec Duty</t>
  </si>
  <si>
    <t>Antidumping Duty (ADD)</t>
  </si>
  <si>
    <t>-</t>
  </si>
  <si>
    <t>Spec Duty Antidumping Duty (ADD)</t>
  </si>
  <si>
    <t xml:space="preserve">Average Logistic Cost  Per KM </t>
  </si>
  <si>
    <t>Kochi to Ahemdabad Logistic Cost</t>
  </si>
  <si>
    <t>Kochi to Ahemdabad Distance (Km)</t>
  </si>
  <si>
    <t>Kochi to Delhi Distance (Km)</t>
  </si>
  <si>
    <t>Kochi to Haldia Distance (Km)</t>
  </si>
  <si>
    <t>Kochi to Vishakhapatnam Distance (Km)</t>
  </si>
  <si>
    <t>Kochi to Delhi Logistic Cost</t>
  </si>
  <si>
    <t>Kochi to Haldia Logistic Cost</t>
  </si>
  <si>
    <t>Kochi to Vishakhapatnam Logistic Cost</t>
  </si>
  <si>
    <t>Ester Acrylic Acid Delivered Price From Kochi to Ahemdabad</t>
  </si>
  <si>
    <t>Ester Acrylic Acid Delivered Price From Kochi to Delhi</t>
  </si>
  <si>
    <t>Ester Acrylic Acid Delivered Price From Kochi to Haldia</t>
  </si>
  <si>
    <t xml:space="preserve">Ester Acrylic Acid Delivered Price From Kochi to Vishakhaptnam </t>
  </si>
  <si>
    <t>Glacial Acrylic Acid Delivered Price From Kochi to Ahemdabad</t>
  </si>
  <si>
    <t>Glacial Acrylic Acid Delivered Price From Kochi to Delhi</t>
  </si>
  <si>
    <t>Glacial Acrylic Acid Delivered Price From Kochi to Haldia</t>
  </si>
  <si>
    <t xml:space="preserve">Glacial Acrylic Acid Delivered Price From Kochi to Vishakhaptnam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</si>
</sst>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b/>
      <sz val="11"/>
      <color theme="0"/>
      <name val="Calibri"/>
      <family val="2"/>
      <scheme val="minor"/>
    </font>
    <font>
      <sz val="11"/>
      <name val="Calibri"/>
      <family val="2"/>
      <scheme val="minor"/>
    </font>
    <font>
      <sz val="10"/>
      <color theme="0"/>
      <name val="Arial"/>
      <family val="2"/>
    </font>
    <font>
      <b/>
      <sz val="10"/>
      <name val="Arial"/>
      <family val="2"/>
    </font>
    <font>
      <sz val="10"/>
      <name val="Arial"/>
      <family val="2"/>
    </font>
    <font>
      <b/>
      <sz val="11"/>
      <name val="Calibri"/>
      <family val="2"/>
      <scheme val="minor"/>
    </font>
    <font>
      <b/>
      <sz val="10"/>
      <color theme="0"/>
      <name val="Arial"/>
      <family val="2"/>
    </font>
    <font>
      <sz val="11"/>
      <color theme="1"/>
      <name val="Calibri"/>
      <family val="2"/>
      <scheme val="minor"/>
    </font>
    <font>
      <sz val="10"/>
      <color theme="1"/>
      <name val="Arial"/>
      <family val="2"/>
    </font>
    <font>
      <sz val="8"/>
      <name val="Calibri"/>
      <family val="2"/>
      <scheme val="minor"/>
    </font>
    <font>
      <sz val="12"/>
      <color rgb="FF000000"/>
      <name val="Times New Roman"/>
      <family val="1"/>
    </font>
    <font>
      <b/>
      <sz val="10"/>
      <color theme="1"/>
      <name val="Arial"/>
      <family val="2"/>
    </font>
    <font>
      <sz val="10"/>
      <color rgb="FF000000"/>
      <name val="Arial"/>
      <family val="2"/>
    </font>
    <font>
      <b/>
      <sz val="10"/>
      <color rgb="FF000000"/>
      <name val="Arial"/>
      <family val="2"/>
    </font>
    <font>
      <i/>
      <sz val="10"/>
      <name val="Arial"/>
      <family val="2"/>
    </font>
    <font>
      <i/>
      <sz val="10"/>
      <color rgb="FF000000"/>
      <name val="Arial"/>
      <family val="2"/>
    </font>
    <font>
      <i/>
      <sz val="10"/>
      <color theme="1"/>
      <name val="Arial"/>
      <family val="2"/>
    </font>
    <font>
      <b/>
      <i/>
      <sz val="10"/>
      <color theme="1"/>
      <name val="Arial"/>
      <family val="2"/>
    </font>
    <font>
      <i/>
      <sz val="11"/>
      <color theme="0"/>
      <name val="Calibri"/>
      <family val="2"/>
      <scheme val="minor"/>
    </font>
    <font>
      <i/>
      <sz val="11"/>
      <name val="Arial"/>
      <family val="2"/>
    </font>
    <font>
      <b/>
      <i/>
      <sz val="11"/>
      <name val="Arial"/>
      <family val="2"/>
    </font>
  </fonts>
  <fills count="23">
    <fill>
      <patternFill patternType="none"/>
    </fill>
    <fill>
      <patternFill patternType="gray125"/>
    </fill>
    <fill>
      <patternFill patternType="solid">
        <fgColor theme="1"/>
        <bgColor indexed="64"/>
      </patternFill>
    </fill>
    <fill>
      <patternFill patternType="solid">
        <fgColor theme="8" tint="-0.499984740745262"/>
        <bgColor indexed="64"/>
      </patternFill>
    </fill>
    <fill>
      <patternFill patternType="solid">
        <fgColor rgb="FF92D050"/>
        <bgColor indexed="64"/>
      </patternFill>
    </fill>
    <fill>
      <patternFill patternType="solid">
        <fgColor rgb="FF002060"/>
        <bgColor indexed="64"/>
      </patternFill>
    </fill>
    <fill>
      <patternFill patternType="solid">
        <fgColor theme="2" tint="-0.499984740745262"/>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theme="5"/>
        <bgColor indexed="64"/>
      </patternFill>
    </fill>
    <fill>
      <patternFill patternType="solid">
        <fgColor theme="9" tint="0.59999389629810485"/>
        <bgColor indexed="64"/>
      </patternFill>
    </fill>
    <fill>
      <patternFill patternType="solid">
        <fgColor theme="0"/>
        <bgColor indexed="64"/>
      </patternFill>
    </fill>
    <fill>
      <patternFill patternType="solid">
        <fgColor theme="1"/>
        <bgColor rgb="FF000000"/>
      </patternFill>
    </fill>
    <fill>
      <patternFill patternType="solid">
        <fgColor theme="8" tint="-0.499984740745262"/>
        <bgColor rgb="FF000000"/>
      </patternFill>
    </fill>
    <fill>
      <patternFill patternType="solid">
        <fgColor theme="5" tint="-0.249977111117893"/>
        <bgColor rgb="FF000000"/>
      </patternFill>
    </fill>
    <fill>
      <patternFill patternType="solid">
        <fgColor theme="5" tint="-0.249977111117893"/>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s>
  <borders count="2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auto="1"/>
      </top>
      <bottom/>
      <diagonal/>
    </border>
    <border>
      <left/>
      <right/>
      <top style="thin">
        <color auto="1"/>
      </top>
      <bottom/>
      <diagonal/>
    </border>
    <border>
      <left/>
      <right style="thin">
        <color indexed="64"/>
      </right>
      <top style="thin">
        <color auto="1"/>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bottom/>
      <diagonal/>
    </border>
    <border>
      <left/>
      <right/>
      <top/>
      <bottom style="medium">
        <color indexed="64"/>
      </bottom>
      <diagonal/>
    </border>
    <border>
      <left/>
      <right/>
      <top style="medium">
        <color indexed="64"/>
      </top>
      <bottom style="thin">
        <color auto="1"/>
      </bottom>
      <diagonal/>
    </border>
  </borders>
  <cellStyleXfs count="4">
    <xf numFmtId="0" fontId="0" fillId="0" borderId="0"/>
    <xf numFmtId="0" fontId="2" fillId="0" borderId="0"/>
    <xf numFmtId="9" fontId="2" fillId="0" borderId="0" applyFont="0" applyFill="0" applyBorder="0" applyAlignment="0" applyProtection="0"/>
    <xf numFmtId="9" fontId="8" fillId="0" borderId="0" applyFont="0" applyFill="0" applyBorder="0" applyAlignment="0" applyProtection="0"/>
  </cellStyleXfs>
  <cellXfs count="173">
    <xf numFmtId="0" fontId="0" fillId="0" borderId="0" xfId="0"/>
    <xf numFmtId="0" fontId="2" fillId="0" borderId="0" xfId="1"/>
    <xf numFmtId="0" fontId="3" fillId="2" borderId="2" xfId="1" applyFont="1" applyFill="1" applyBorder="1"/>
    <xf numFmtId="0" fontId="3" fillId="2" borderId="2" xfId="1" applyFont="1" applyFill="1" applyBorder="1" applyAlignment="1">
      <alignment horizontal="center"/>
    </xf>
    <xf numFmtId="0" fontId="4" fillId="0" borderId="2" xfId="1" applyFont="1" applyBorder="1"/>
    <xf numFmtId="4" fontId="5" fillId="0" borderId="2" xfId="1" applyNumberFormat="1" applyFont="1" applyBorder="1" applyAlignment="1">
      <alignment horizontal="center"/>
    </xf>
    <xf numFmtId="2" fontId="5" fillId="0" borderId="2" xfId="1" applyNumberFormat="1" applyFont="1" applyBorder="1" applyAlignment="1">
      <alignment horizontal="center"/>
    </xf>
    <xf numFmtId="0" fontId="4" fillId="4" borderId="7" xfId="1" applyFont="1" applyFill="1" applyBorder="1" applyAlignment="1">
      <alignment horizontal="center"/>
    </xf>
    <xf numFmtId="0" fontId="4" fillId="4" borderId="8" xfId="1" applyFont="1" applyFill="1" applyBorder="1" applyAlignment="1">
      <alignment horizontal="center"/>
    </xf>
    <xf numFmtId="0" fontId="4" fillId="4" borderId="9" xfId="1" applyFont="1" applyFill="1" applyBorder="1" applyAlignment="1">
      <alignment horizontal="center"/>
    </xf>
    <xf numFmtId="0" fontId="4" fillId="4" borderId="10" xfId="1" applyFont="1" applyFill="1" applyBorder="1" applyAlignment="1">
      <alignment horizontal="center"/>
    </xf>
    <xf numFmtId="2" fontId="5" fillId="0" borderId="0" xfId="1" applyNumberFormat="1" applyFont="1" applyAlignment="1">
      <alignment horizontal="center"/>
    </xf>
    <xf numFmtId="9" fontId="5" fillId="0" borderId="0" xfId="2" applyFont="1"/>
    <xf numFmtId="0" fontId="5" fillId="0" borderId="0" xfId="1" applyFont="1"/>
    <xf numFmtId="0" fontId="5" fillId="0" borderId="0" xfId="1" applyFont="1" applyAlignment="1">
      <alignment horizontal="center"/>
    </xf>
    <xf numFmtId="9" fontId="0" fillId="0" borderId="0" xfId="2" applyFont="1"/>
    <xf numFmtId="4" fontId="2" fillId="0" borderId="0" xfId="1" applyNumberFormat="1"/>
    <xf numFmtId="0" fontId="2" fillId="2" borderId="0" xfId="1" applyFill="1" applyAlignment="1">
      <alignment horizontal="center"/>
    </xf>
    <xf numFmtId="0" fontId="3" fillId="2" borderId="12" xfId="1" applyFont="1" applyFill="1" applyBorder="1" applyAlignment="1">
      <alignment horizontal="center"/>
    </xf>
    <xf numFmtId="0" fontId="5" fillId="8" borderId="2" xfId="1" applyFont="1" applyFill="1" applyBorder="1"/>
    <xf numFmtId="4" fontId="5" fillId="8" borderId="2" xfId="1" applyNumberFormat="1" applyFont="1" applyFill="1" applyBorder="1" applyAlignment="1">
      <alignment horizontal="center"/>
    </xf>
    <xf numFmtId="9" fontId="5" fillId="8" borderId="2" xfId="2" applyFont="1" applyFill="1" applyBorder="1" applyAlignment="1">
      <alignment horizontal="center"/>
    </xf>
    <xf numFmtId="0" fontId="5" fillId="0" borderId="2" xfId="1" applyFont="1" applyBorder="1"/>
    <xf numFmtId="9" fontId="5" fillId="9" borderId="2" xfId="2" applyFont="1" applyFill="1" applyBorder="1" applyAlignment="1">
      <alignment horizontal="center"/>
    </xf>
    <xf numFmtId="2" fontId="3" fillId="10" borderId="2" xfId="1" applyNumberFormat="1" applyFont="1" applyFill="1" applyBorder="1" applyAlignment="1">
      <alignment horizontal="center"/>
    </xf>
    <xf numFmtId="4" fontId="5" fillId="0" borderId="2" xfId="1" applyNumberFormat="1" applyFont="1" applyBorder="1"/>
    <xf numFmtId="2" fontId="5" fillId="8" borderId="2" xfId="1" applyNumberFormat="1" applyFont="1" applyFill="1" applyBorder="1" applyAlignment="1">
      <alignment horizontal="left"/>
    </xf>
    <xf numFmtId="2" fontId="5" fillId="0" borderId="2" xfId="1" applyNumberFormat="1" applyFont="1" applyBorder="1" applyAlignment="1">
      <alignment horizontal="left"/>
    </xf>
    <xf numFmtId="0" fontId="2" fillId="2" borderId="0" xfId="1" applyFill="1"/>
    <xf numFmtId="0" fontId="3" fillId="2" borderId="12" xfId="1" applyFont="1" applyFill="1" applyBorder="1"/>
    <xf numFmtId="0" fontId="7" fillId="2" borderId="2" xfId="1" applyFont="1" applyFill="1" applyBorder="1" applyAlignment="1">
      <alignment horizontal="center"/>
    </xf>
    <xf numFmtId="0" fontId="5" fillId="0" borderId="2" xfId="1" applyFont="1" applyBorder="1" applyAlignment="1">
      <alignment horizontal="center"/>
    </xf>
    <xf numFmtId="1" fontId="5" fillId="0" borderId="2" xfId="1" applyNumberFormat="1" applyFont="1" applyBorder="1" applyAlignment="1">
      <alignment horizontal="center"/>
    </xf>
    <xf numFmtId="1" fontId="2" fillId="0" borderId="0" xfId="1" applyNumberFormat="1"/>
    <xf numFmtId="0" fontId="6" fillId="4" borderId="17" xfId="1" applyFont="1" applyFill="1" applyBorder="1" applyAlignment="1">
      <alignment horizontal="center"/>
    </xf>
    <xf numFmtId="1" fontId="6" fillId="4" borderId="18" xfId="1" applyNumberFormat="1" applyFont="1" applyFill="1" applyBorder="1" applyAlignment="1">
      <alignment horizontal="center"/>
    </xf>
    <xf numFmtId="0" fontId="4" fillId="0" borderId="0" xfId="1" applyFont="1" applyAlignment="1">
      <alignment horizontal="center"/>
    </xf>
    <xf numFmtId="1" fontId="4" fillId="0" borderId="0" xfId="1" applyNumberFormat="1" applyFont="1"/>
    <xf numFmtId="0" fontId="5" fillId="11" borderId="2" xfId="1" applyFont="1" applyFill="1" applyBorder="1"/>
    <xf numFmtId="4" fontId="5" fillId="11" borderId="2" xfId="1" applyNumberFormat="1" applyFont="1" applyFill="1" applyBorder="1" applyAlignment="1">
      <alignment horizontal="center"/>
    </xf>
    <xf numFmtId="4" fontId="5" fillId="11" borderId="2" xfId="1" applyNumberFormat="1" applyFont="1" applyFill="1" applyBorder="1"/>
    <xf numFmtId="2" fontId="5" fillId="11" borderId="2" xfId="1" applyNumberFormat="1" applyFont="1" applyFill="1" applyBorder="1" applyAlignment="1">
      <alignment horizontal="center"/>
    </xf>
    <xf numFmtId="2" fontId="5" fillId="11" borderId="0" xfId="1" applyNumberFormat="1" applyFont="1" applyFill="1" applyAlignment="1">
      <alignment horizontal="left"/>
    </xf>
    <xf numFmtId="1" fontId="0" fillId="0" borderId="0" xfId="0" applyNumberFormat="1"/>
    <xf numFmtId="9" fontId="0" fillId="0" borderId="0" xfId="3" applyFont="1"/>
    <xf numFmtId="1" fontId="9" fillId="13" borderId="2" xfId="1" applyNumberFormat="1" applyFont="1" applyFill="1" applyBorder="1" applyAlignment="1">
      <alignment horizontal="center"/>
    </xf>
    <xf numFmtId="1" fontId="9" fillId="13" borderId="16" xfId="1" applyNumberFormat="1" applyFont="1" applyFill="1" applyBorder="1" applyAlignment="1">
      <alignment horizontal="center"/>
    </xf>
    <xf numFmtId="0" fontId="3" fillId="2" borderId="2" xfId="0" applyFont="1" applyFill="1" applyBorder="1"/>
    <xf numFmtId="0" fontId="3" fillId="2" borderId="2" xfId="0" applyFont="1" applyFill="1" applyBorder="1" applyAlignment="1">
      <alignment horizontal="center"/>
    </xf>
    <xf numFmtId="0" fontId="9" fillId="0" borderId="2" xfId="0" applyFont="1" applyBorder="1" applyAlignment="1">
      <alignment horizontal="center"/>
    </xf>
    <xf numFmtId="1" fontId="9" fillId="0" borderId="2" xfId="0" applyNumberFormat="1" applyFont="1" applyBorder="1" applyAlignment="1">
      <alignment horizontal="center"/>
    </xf>
    <xf numFmtId="1" fontId="9" fillId="0" borderId="19" xfId="0" applyNumberFormat="1" applyFont="1" applyBorder="1" applyAlignment="1">
      <alignment horizontal="center" vertical="top" wrapText="1"/>
    </xf>
    <xf numFmtId="0" fontId="9" fillId="0" borderId="16" xfId="0" applyFont="1" applyBorder="1" applyAlignment="1">
      <alignment horizontal="center"/>
    </xf>
    <xf numFmtId="1" fontId="9" fillId="0" borderId="16" xfId="0" applyNumberFormat="1" applyFont="1" applyBorder="1" applyAlignment="1">
      <alignment horizontal="center"/>
    </xf>
    <xf numFmtId="1" fontId="9" fillId="0" borderId="20" xfId="0" applyNumberFormat="1" applyFont="1" applyBorder="1" applyAlignment="1">
      <alignment horizontal="center" vertical="top" wrapText="1"/>
    </xf>
    <xf numFmtId="0" fontId="3" fillId="2" borderId="21" xfId="0" applyFont="1" applyFill="1" applyBorder="1" applyAlignment="1">
      <alignment horizontal="center"/>
    </xf>
    <xf numFmtId="1" fontId="3" fillId="2" borderId="2" xfId="0" applyNumberFormat="1" applyFont="1" applyFill="1" applyBorder="1" applyAlignment="1">
      <alignment horizontal="center"/>
    </xf>
    <xf numFmtId="0" fontId="12" fillId="4" borderId="2" xfId="0" applyFont="1" applyFill="1" applyBorder="1" applyAlignment="1">
      <alignment horizontal="center"/>
    </xf>
    <xf numFmtId="10" fontId="0" fillId="0" borderId="0" xfId="3" applyNumberFormat="1" applyFont="1"/>
    <xf numFmtId="4" fontId="0" fillId="0" borderId="0" xfId="0" applyNumberFormat="1"/>
    <xf numFmtId="2" fontId="2" fillId="0" borderId="0" xfId="3" applyNumberFormat="1" applyFont="1"/>
    <xf numFmtId="0" fontId="9" fillId="0" borderId="0" xfId="0" applyFont="1"/>
    <xf numFmtId="0" fontId="13" fillId="0" borderId="0" xfId="0" applyFont="1" applyAlignment="1">
      <alignment horizontal="center"/>
    </xf>
    <xf numFmtId="0" fontId="0" fillId="0" borderId="0" xfId="0" applyAlignment="1">
      <alignment horizontal="center"/>
    </xf>
    <xf numFmtId="0" fontId="7" fillId="14" borderId="2" xfId="0" applyFont="1" applyFill="1" applyBorder="1" applyAlignment="1">
      <alignment horizontal="center" vertical="center"/>
    </xf>
    <xf numFmtId="0" fontId="15" fillId="0" borderId="0" xfId="0" applyFont="1" applyAlignment="1">
      <alignment horizontal="center"/>
    </xf>
    <xf numFmtId="0" fontId="16" fillId="0" borderId="0" xfId="0" applyFont="1" applyAlignment="1">
      <alignment horizontal="center"/>
    </xf>
    <xf numFmtId="0" fontId="9" fillId="0" borderId="0" xfId="0" applyFont="1" applyAlignment="1">
      <alignment horizontal="center"/>
    </xf>
    <xf numFmtId="0" fontId="11" fillId="0" borderId="0" xfId="0" applyFont="1" applyAlignment="1">
      <alignment horizontal="center"/>
    </xf>
    <xf numFmtId="1" fontId="13" fillId="0" borderId="2" xfId="0" applyNumberFormat="1" applyFont="1" applyBorder="1" applyAlignment="1">
      <alignment horizontal="center" vertical="center"/>
    </xf>
    <xf numFmtId="1" fontId="14" fillId="0" borderId="2" xfId="0" applyNumberFormat="1" applyFont="1" applyBorder="1" applyAlignment="1">
      <alignment horizontal="center" vertical="center"/>
    </xf>
    <xf numFmtId="0" fontId="4" fillId="0" borderId="0" xfId="0" applyFont="1" applyAlignment="1">
      <alignment horizontal="left" wrapText="1"/>
    </xf>
    <xf numFmtId="1" fontId="7" fillId="3" borderId="2" xfId="0" applyNumberFormat="1" applyFont="1" applyFill="1" applyBorder="1" applyAlignment="1">
      <alignment horizontal="center" vertical="center"/>
    </xf>
    <xf numFmtId="1" fontId="7" fillId="17" borderId="2" xfId="0" applyNumberFormat="1" applyFont="1" applyFill="1" applyBorder="1" applyAlignment="1">
      <alignment horizontal="center" vertical="center"/>
    </xf>
    <xf numFmtId="0" fontId="4" fillId="0" borderId="2" xfId="1" applyFont="1" applyBorder="1" applyAlignment="1">
      <alignment horizontal="center"/>
    </xf>
    <xf numFmtId="1" fontId="0" fillId="0" borderId="0" xfId="0" applyNumberFormat="1" applyAlignment="1">
      <alignment horizontal="center"/>
    </xf>
    <xf numFmtId="1" fontId="9" fillId="13" borderId="0" xfId="1" applyNumberFormat="1" applyFont="1" applyFill="1" applyAlignment="1">
      <alignment horizontal="center"/>
    </xf>
    <xf numFmtId="0" fontId="17" fillId="0" borderId="0" xfId="0" applyFont="1"/>
    <xf numFmtId="0" fontId="0" fillId="2" borderId="0" xfId="0" applyFill="1"/>
    <xf numFmtId="1" fontId="9" fillId="0" borderId="0" xfId="0" applyNumberFormat="1" applyFont="1" applyAlignment="1">
      <alignment horizontal="center"/>
    </xf>
    <xf numFmtId="0" fontId="18" fillId="0" borderId="0" xfId="0" applyFont="1"/>
    <xf numFmtId="0" fontId="9" fillId="19" borderId="2" xfId="0" applyFont="1" applyFill="1" applyBorder="1" applyAlignment="1">
      <alignment horizontal="center"/>
    </xf>
    <xf numFmtId="0" fontId="9" fillId="7" borderId="2" xfId="0" applyFont="1" applyFill="1" applyBorder="1" applyAlignment="1">
      <alignment horizontal="center"/>
    </xf>
    <xf numFmtId="0" fontId="9" fillId="17" borderId="2" xfId="0" applyFont="1" applyFill="1" applyBorder="1" applyAlignment="1">
      <alignment horizontal="center"/>
    </xf>
    <xf numFmtId="1" fontId="0" fillId="20" borderId="0" xfId="0" applyNumberFormat="1" applyFill="1" applyAlignment="1">
      <alignment horizontal="center"/>
    </xf>
    <xf numFmtId="9" fontId="9" fillId="0" borderId="0" xfId="3" applyFont="1" applyAlignment="1">
      <alignment horizontal="center"/>
    </xf>
    <xf numFmtId="10" fontId="9" fillId="0" borderId="0" xfId="3" applyNumberFormat="1" applyFont="1"/>
    <xf numFmtId="1" fontId="9" fillId="0" borderId="0" xfId="0" applyNumberFormat="1" applyFont="1"/>
    <xf numFmtId="1" fontId="5" fillId="21" borderId="2" xfId="1" applyNumberFormat="1" applyFont="1" applyFill="1" applyBorder="1" applyAlignment="1">
      <alignment horizontal="center"/>
    </xf>
    <xf numFmtId="1" fontId="5" fillId="7" borderId="2" xfId="1" applyNumberFormat="1" applyFont="1" applyFill="1" applyBorder="1" applyAlignment="1">
      <alignment horizontal="center"/>
    </xf>
    <xf numFmtId="0" fontId="17" fillId="0" borderId="23" xfId="0" applyFont="1" applyBorder="1" applyAlignment="1">
      <alignment horizontal="centerContinuous"/>
    </xf>
    <xf numFmtId="0" fontId="9" fillId="0" borderId="22" xfId="0" applyFont="1" applyBorder="1"/>
    <xf numFmtId="0" fontId="17" fillId="0" borderId="23" xfId="0" applyFont="1" applyBorder="1" applyAlignment="1">
      <alignment horizontal="center"/>
    </xf>
    <xf numFmtId="0" fontId="17" fillId="0" borderId="2" xfId="0" applyFont="1" applyBorder="1" applyAlignment="1">
      <alignment horizontal="center"/>
    </xf>
    <xf numFmtId="0" fontId="9" fillId="21" borderId="2" xfId="0" applyFont="1" applyFill="1" applyBorder="1" applyAlignment="1">
      <alignment horizontal="center"/>
    </xf>
    <xf numFmtId="0" fontId="19" fillId="17" borderId="2" xfId="0" applyFont="1" applyFill="1" applyBorder="1" applyAlignment="1">
      <alignment horizontal="center"/>
    </xf>
    <xf numFmtId="0" fontId="17" fillId="0" borderId="2" xfId="0" applyFont="1" applyBorder="1"/>
    <xf numFmtId="1" fontId="17" fillId="0" borderId="2" xfId="0" applyNumberFormat="1" applyFont="1" applyBorder="1" applyAlignment="1">
      <alignment horizontal="center"/>
    </xf>
    <xf numFmtId="10" fontId="17" fillId="0" borderId="2" xfId="3" applyNumberFormat="1" applyFont="1" applyBorder="1" applyAlignment="1">
      <alignment horizontal="center"/>
    </xf>
    <xf numFmtId="0" fontId="12" fillId="18" borderId="2" xfId="0" applyFont="1" applyFill="1" applyBorder="1" applyAlignment="1">
      <alignment horizontal="center"/>
    </xf>
    <xf numFmtId="1" fontId="12" fillId="18" borderId="2" xfId="0" applyNumberFormat="1" applyFont="1" applyFill="1" applyBorder="1" applyAlignment="1">
      <alignment horizontal="center"/>
    </xf>
    <xf numFmtId="0" fontId="12" fillId="11" borderId="2" xfId="0" applyFont="1" applyFill="1" applyBorder="1" applyAlignment="1">
      <alignment horizontal="center"/>
    </xf>
    <xf numFmtId="1" fontId="12" fillId="11" borderId="2" xfId="0" applyNumberFormat="1" applyFont="1" applyFill="1" applyBorder="1" applyAlignment="1">
      <alignment horizontal="center"/>
    </xf>
    <xf numFmtId="0" fontId="12" fillId="22" borderId="2" xfId="0" applyFont="1" applyFill="1" applyBorder="1" applyAlignment="1">
      <alignment horizontal="center"/>
    </xf>
    <xf numFmtId="1" fontId="9" fillId="13" borderId="21" xfId="1" applyNumberFormat="1" applyFont="1" applyFill="1" applyBorder="1" applyAlignment="1">
      <alignment horizontal="center"/>
    </xf>
    <xf numFmtId="1" fontId="9" fillId="13" borderId="12" xfId="1" applyNumberFormat="1" applyFont="1" applyFill="1" applyBorder="1" applyAlignment="1">
      <alignment horizontal="center"/>
    </xf>
    <xf numFmtId="10" fontId="12" fillId="22" borderId="2" xfId="3" applyNumberFormat="1" applyFont="1" applyFill="1" applyBorder="1" applyAlignment="1">
      <alignment horizontal="center"/>
    </xf>
    <xf numFmtId="9" fontId="2" fillId="0" borderId="0" xfId="3" applyFont="1"/>
    <xf numFmtId="3" fontId="0" fillId="0" borderId="0" xfId="0" applyNumberFormat="1"/>
    <xf numFmtId="1" fontId="19" fillId="17" borderId="2" xfId="0" applyNumberFormat="1" applyFont="1" applyFill="1" applyBorder="1" applyAlignment="1">
      <alignment horizontal="center"/>
    </xf>
    <xf numFmtId="2" fontId="2" fillId="0" borderId="0" xfId="3" applyNumberFormat="1" applyFont="1" applyAlignment="1">
      <alignment horizontal="center"/>
    </xf>
    <xf numFmtId="0" fontId="20" fillId="0" borderId="0" xfId="1" applyFont="1"/>
    <xf numFmtId="0" fontId="21" fillId="0" borderId="0" xfId="1" applyFont="1"/>
    <xf numFmtId="0" fontId="15" fillId="0" borderId="0" xfId="1" applyFont="1" applyAlignment="1">
      <alignment horizontal="left"/>
    </xf>
    <xf numFmtId="0" fontId="9" fillId="0" borderId="22" xfId="0" applyFont="1" applyBorder="1" applyAlignment="1">
      <alignment horizontal="center"/>
    </xf>
    <xf numFmtId="164" fontId="5" fillId="0" borderId="0" xfId="3" applyNumberFormat="1" applyFont="1" applyAlignment="1">
      <alignment horizontal="center"/>
    </xf>
    <xf numFmtId="10" fontId="5" fillId="0" borderId="0" xfId="3" applyNumberFormat="1" applyFont="1" applyAlignment="1">
      <alignment horizontal="center"/>
    </xf>
    <xf numFmtId="0" fontId="5" fillId="0" borderId="2" xfId="0" applyFont="1" applyBorder="1" applyAlignment="1">
      <alignment horizontal="center" vertical="center"/>
    </xf>
    <xf numFmtId="0" fontId="5" fillId="0" borderId="2" xfId="0" applyFont="1" applyBorder="1" applyAlignment="1">
      <alignment vertical="center"/>
    </xf>
    <xf numFmtId="1" fontId="5" fillId="0" borderId="2" xfId="0" applyNumberFormat="1" applyFont="1" applyBorder="1" applyAlignment="1">
      <alignment horizontal="center" vertical="center"/>
    </xf>
    <xf numFmtId="0" fontId="12" fillId="0" borderId="2" xfId="0" applyFont="1" applyBorder="1" applyAlignment="1">
      <alignment horizontal="center" vertical="center" wrapText="1"/>
    </xf>
    <xf numFmtId="0" fontId="9" fillId="0" borderId="2" xfId="0" applyFont="1" applyBorder="1" applyAlignment="1">
      <alignment horizontal="center" vertical="center" wrapText="1"/>
    </xf>
    <xf numFmtId="10" fontId="9" fillId="0" borderId="2" xfId="0" applyNumberFormat="1" applyFont="1" applyBorder="1" applyAlignment="1">
      <alignment horizontal="center" vertical="center" wrapText="1"/>
    </xf>
    <xf numFmtId="9" fontId="9" fillId="0" borderId="2" xfId="0" applyNumberFormat="1" applyFont="1" applyBorder="1" applyAlignment="1">
      <alignment horizontal="center" vertical="center" wrapText="1"/>
    </xf>
    <xf numFmtId="0" fontId="3" fillId="2" borderId="2" xfId="0" applyFont="1" applyFill="1" applyBorder="1" applyAlignment="1">
      <alignment horizontal="center" vertical="center"/>
    </xf>
    <xf numFmtId="0" fontId="3" fillId="2" borderId="2" xfId="0" applyFont="1" applyFill="1" applyBorder="1" applyAlignment="1">
      <alignment vertical="center"/>
    </xf>
    <xf numFmtId="1" fontId="3" fillId="2" borderId="2" xfId="1" applyNumberFormat="1" applyFont="1" applyFill="1" applyBorder="1" applyAlignment="1">
      <alignment horizontal="center" vertical="center"/>
    </xf>
    <xf numFmtId="1" fontId="3" fillId="2" borderId="2" xfId="0" applyNumberFormat="1" applyFont="1" applyFill="1" applyBorder="1" applyAlignment="1">
      <alignment horizontal="center" vertical="center"/>
    </xf>
    <xf numFmtId="0" fontId="12" fillId="0" borderId="0" xfId="0" applyFont="1"/>
    <xf numFmtId="0" fontId="3" fillId="11" borderId="2" xfId="0" applyFont="1" applyFill="1" applyBorder="1" applyAlignment="1">
      <alignment horizontal="center"/>
    </xf>
    <xf numFmtId="0" fontId="3" fillId="11" borderId="2" xfId="0" applyFont="1" applyFill="1" applyBorder="1" applyAlignment="1">
      <alignment vertical="center"/>
    </xf>
    <xf numFmtId="1" fontId="3" fillId="11" borderId="2" xfId="0" applyNumberFormat="1" applyFont="1" applyFill="1" applyBorder="1" applyAlignment="1">
      <alignment horizontal="center" vertical="center"/>
    </xf>
    <xf numFmtId="0" fontId="3" fillId="2" borderId="0" xfId="1" applyFont="1" applyFill="1" applyAlignment="1">
      <alignment horizontal="center"/>
    </xf>
    <xf numFmtId="1" fontId="5" fillId="0" borderId="21" xfId="1" applyNumberFormat="1" applyFont="1" applyBorder="1" applyAlignment="1">
      <alignment horizontal="center"/>
    </xf>
    <xf numFmtId="1" fontId="5" fillId="0" borderId="12" xfId="1" applyNumberFormat="1" applyFont="1" applyBorder="1" applyAlignment="1">
      <alignment horizontal="center"/>
    </xf>
    <xf numFmtId="0" fontId="5" fillId="0" borderId="16" xfId="0" applyFont="1" applyBorder="1" applyAlignment="1">
      <alignment horizontal="center" vertical="center"/>
    </xf>
    <xf numFmtId="0" fontId="5" fillId="0" borderId="21" xfId="0" applyFont="1" applyBorder="1" applyAlignment="1">
      <alignment horizontal="center" vertical="center"/>
    </xf>
    <xf numFmtId="0" fontId="5" fillId="0" borderId="12" xfId="0" applyFont="1" applyBorder="1" applyAlignment="1">
      <alignment horizontal="center" vertical="center"/>
    </xf>
    <xf numFmtId="0" fontId="12" fillId="0" borderId="2" xfId="0" applyFont="1" applyBorder="1" applyAlignment="1">
      <alignment horizontal="center" vertical="center" wrapText="1"/>
    </xf>
    <xf numFmtId="0" fontId="1" fillId="5" borderId="2" xfId="1" applyFont="1" applyFill="1" applyBorder="1" applyAlignment="1">
      <alignment horizontal="center"/>
    </xf>
    <xf numFmtId="0" fontId="1" fillId="6" borderId="13" xfId="1" applyFont="1" applyFill="1" applyBorder="1" applyAlignment="1">
      <alignment horizontal="center"/>
    </xf>
    <xf numFmtId="0" fontId="1" fillId="6" borderId="14" xfId="1" applyFont="1" applyFill="1" applyBorder="1" applyAlignment="1">
      <alignment horizontal="center"/>
    </xf>
    <xf numFmtId="0" fontId="1" fillId="6" borderId="15" xfId="1" applyFont="1" applyFill="1" applyBorder="1" applyAlignment="1">
      <alignment horizontal="center"/>
    </xf>
    <xf numFmtId="0" fontId="6" fillId="7" borderId="5" xfId="1" applyFont="1" applyFill="1" applyBorder="1" applyAlignment="1">
      <alignment horizontal="center"/>
    </xf>
    <xf numFmtId="0" fontId="6" fillId="7" borderId="6" xfId="1" applyFont="1" applyFill="1" applyBorder="1" applyAlignment="1">
      <alignment horizontal="center"/>
    </xf>
    <xf numFmtId="0" fontId="6" fillId="7" borderId="11" xfId="1" applyFont="1" applyFill="1" applyBorder="1" applyAlignment="1">
      <alignment horizontal="center"/>
    </xf>
    <xf numFmtId="0" fontId="4" fillId="12" borderId="2" xfId="1" applyFont="1" applyFill="1" applyBorder="1" applyAlignment="1">
      <alignment horizontal="center"/>
    </xf>
    <xf numFmtId="0" fontId="3" fillId="2" borderId="1" xfId="1" applyFont="1" applyFill="1" applyBorder="1" applyAlignment="1">
      <alignment horizontal="center"/>
    </xf>
    <xf numFmtId="0" fontId="3" fillId="2" borderId="0" xfId="1" applyFont="1" applyFill="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9" fontId="3" fillId="3" borderId="5" xfId="2" applyFont="1" applyFill="1" applyBorder="1" applyAlignment="1">
      <alignment horizontal="center"/>
    </xf>
    <xf numFmtId="9" fontId="3" fillId="3" borderId="6" xfId="2" applyFont="1" applyFill="1" applyBorder="1" applyAlignment="1">
      <alignment horizontal="center"/>
    </xf>
    <xf numFmtId="0" fontId="1" fillId="6" borderId="5" xfId="1" applyFont="1" applyFill="1" applyBorder="1" applyAlignment="1">
      <alignment horizontal="center"/>
    </xf>
    <xf numFmtId="0" fontId="1" fillId="6" borderId="6" xfId="1" applyFont="1" applyFill="1" applyBorder="1" applyAlignment="1">
      <alignment horizontal="center"/>
    </xf>
    <xf numFmtId="0" fontId="1" fillId="6" borderId="11" xfId="1" applyFont="1" applyFill="1" applyBorder="1" applyAlignment="1">
      <alignment horizontal="center"/>
    </xf>
    <xf numFmtId="1" fontId="9" fillId="7" borderId="16" xfId="1" applyNumberFormat="1" applyFont="1" applyFill="1" applyBorder="1" applyAlignment="1">
      <alignment horizontal="center"/>
    </xf>
    <xf numFmtId="1" fontId="9" fillId="7" borderId="21" xfId="1" applyNumberFormat="1" applyFont="1" applyFill="1" applyBorder="1" applyAlignment="1">
      <alignment horizontal="center"/>
    </xf>
    <xf numFmtId="1" fontId="9" fillId="7" borderId="12" xfId="1" applyNumberFormat="1" applyFont="1" applyFill="1" applyBorder="1" applyAlignment="1">
      <alignment horizontal="center"/>
    </xf>
    <xf numFmtId="1" fontId="9" fillId="21" borderId="16" xfId="1" applyNumberFormat="1" applyFont="1" applyFill="1" applyBorder="1" applyAlignment="1">
      <alignment horizontal="center"/>
    </xf>
    <xf numFmtId="1" fontId="9" fillId="21" borderId="21" xfId="1" applyNumberFormat="1" applyFont="1" applyFill="1" applyBorder="1" applyAlignment="1">
      <alignment horizontal="center"/>
    </xf>
    <xf numFmtId="1" fontId="9" fillId="21" borderId="12" xfId="1" applyNumberFormat="1" applyFont="1" applyFill="1" applyBorder="1" applyAlignment="1">
      <alignment horizontal="center"/>
    </xf>
    <xf numFmtId="0" fontId="7" fillId="14" borderId="2" xfId="0" applyFont="1" applyFill="1" applyBorder="1" applyAlignment="1">
      <alignment horizontal="center" vertical="center"/>
    </xf>
    <xf numFmtId="0" fontId="15" fillId="0" borderId="0" xfId="0" applyFont="1" applyAlignment="1">
      <alignment horizontal="left" vertical="top" wrapText="1"/>
    </xf>
    <xf numFmtId="0" fontId="7" fillId="2" borderId="2" xfId="0" applyFont="1" applyFill="1" applyBorder="1" applyAlignment="1">
      <alignment horizontal="center"/>
    </xf>
    <xf numFmtId="0" fontId="7" fillId="15" borderId="2" xfId="0" applyFont="1" applyFill="1" applyBorder="1" applyAlignment="1">
      <alignment horizontal="center" vertical="center"/>
    </xf>
    <xf numFmtId="0" fontId="7" fillId="16" borderId="2" xfId="0" applyFont="1" applyFill="1" applyBorder="1" applyAlignment="1">
      <alignment horizontal="center" vertical="center"/>
    </xf>
    <xf numFmtId="0" fontId="3" fillId="2" borderId="2" xfId="0" applyFont="1" applyFill="1" applyBorder="1" applyAlignment="1">
      <alignment horizontal="center"/>
    </xf>
    <xf numFmtId="0" fontId="12" fillId="4" borderId="16" xfId="0" applyFont="1" applyFill="1" applyBorder="1" applyAlignment="1">
      <alignment horizontal="center" vertical="center"/>
    </xf>
    <xf numFmtId="0" fontId="12" fillId="4" borderId="12" xfId="0" applyFont="1" applyFill="1" applyBorder="1" applyAlignment="1">
      <alignment horizontal="center" vertical="center"/>
    </xf>
    <xf numFmtId="0" fontId="4" fillId="12" borderId="5" xfId="1" applyFont="1" applyFill="1" applyBorder="1" applyAlignment="1">
      <alignment horizontal="center"/>
    </xf>
    <xf numFmtId="0" fontId="4" fillId="12" borderId="6" xfId="1" applyFont="1" applyFill="1" applyBorder="1" applyAlignment="1">
      <alignment horizontal="center"/>
    </xf>
    <xf numFmtId="0" fontId="4" fillId="12" borderId="11" xfId="1" applyFont="1" applyFill="1" applyBorder="1" applyAlignment="1">
      <alignment horizontal="center"/>
    </xf>
  </cellXfs>
  <cellStyles count="4">
    <cellStyle name="Normal" xfId="0" builtinId="0"/>
    <cellStyle name="Normal 2" xfId="1" xr:uid="{6AD9ACD3-F364-4E15-ABA9-F0E0263442BA}"/>
    <cellStyle name="Percent" xfId="3" builtinId="5"/>
    <cellStyle name="Percent 2" xfId="2" xr:uid="{F4F96874-4066-487A-B4A8-85CE8B408CE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IN"/>
              <a:t>Price (INR/Ton)</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'Price (f)'!$B$1</c:f>
              <c:strCache>
                <c:ptCount val="1"/>
                <c:pt idx="0">
                  <c:v>Ester Acrylic Acid CIF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(f)'!$B$2:$B$12</c:f>
              <c:numCache>
                <c:formatCode>0</c:formatCode>
                <c:ptCount val="11"/>
                <c:pt idx="0">
                  <c:v>106602.92</c:v>
                </c:pt>
                <c:pt idx="1">
                  <c:v>119056.19</c:v>
                </c:pt>
                <c:pt idx="2">
                  <c:v>107383.6</c:v>
                </c:pt>
                <c:pt idx="3">
                  <c:v>70249.64</c:v>
                </c:pt>
                <c:pt idx="4">
                  <c:v>69409.78</c:v>
                </c:pt>
                <c:pt idx="5">
                  <c:v>84890.4</c:v>
                </c:pt>
                <c:pt idx="6">
                  <c:v>94570.65</c:v>
                </c:pt>
                <c:pt idx="7">
                  <c:v>80239.820000000007</c:v>
                </c:pt>
                <c:pt idx="8">
                  <c:v>79878.64</c:v>
                </c:pt>
                <c:pt idx="9">
                  <c:v>148899.6</c:v>
                </c:pt>
                <c:pt idx="10">
                  <c:v>132036.75</c:v>
                </c:pt>
              </c:numCache>
            </c:numRef>
          </c:val>
          <c:smooth val="0"/>
          <c:extLst>
            <c:ext xmlns:c16="http://schemas.microsoft.com/office/drawing/2014/chart" uri="{C3380CC4-5D6E-409C-BE32-E72D297353CC}">
              <c16:uniqueId val="{00000000-BD30-4CE6-ACB5-B42C6FCB9EDC}"/>
            </c:ext>
          </c:extLst>
        </c:ser>
        <c:ser>
          <c:idx val="1"/>
          <c:order val="1"/>
          <c:tx>
            <c:strRef>
              <c:f>'Price (f)'!$C$1</c:f>
              <c:strCache>
                <c:ptCount val="1"/>
                <c:pt idx="0">
                  <c:v>Ester Acrylic Acid Landed Price  </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(f)'!$C$2:$C$12</c:f>
              <c:numCache>
                <c:formatCode>0</c:formatCode>
                <c:ptCount val="11"/>
                <c:pt idx="0">
                  <c:v>126529.46</c:v>
                </c:pt>
                <c:pt idx="1">
                  <c:v>141310.54</c:v>
                </c:pt>
                <c:pt idx="2">
                  <c:v>127456.07</c:v>
                </c:pt>
                <c:pt idx="3">
                  <c:v>83380.92</c:v>
                </c:pt>
                <c:pt idx="4">
                  <c:v>82384.070000000007</c:v>
                </c:pt>
                <c:pt idx="5">
                  <c:v>100758.36</c:v>
                </c:pt>
                <c:pt idx="6">
                  <c:v>112248.08</c:v>
                </c:pt>
                <c:pt idx="7">
                  <c:v>98686.62</c:v>
                </c:pt>
                <c:pt idx="8">
                  <c:v>99194.04</c:v>
                </c:pt>
                <c:pt idx="9">
                  <c:v>184579.27</c:v>
                </c:pt>
                <c:pt idx="10">
                  <c:v>161894.69</c:v>
                </c:pt>
              </c:numCache>
            </c:numRef>
          </c:val>
          <c:smooth val="0"/>
          <c:extLst>
            <c:ext xmlns:c16="http://schemas.microsoft.com/office/drawing/2014/chart" uri="{C3380CC4-5D6E-409C-BE32-E72D297353CC}">
              <c16:uniqueId val="{00000001-BD30-4CE6-ACB5-B42C6FCB9EDC}"/>
            </c:ext>
          </c:extLst>
        </c:ser>
        <c:ser>
          <c:idx val="2"/>
          <c:order val="2"/>
          <c:tx>
            <c:strRef>
              <c:f>'Price (f)'!$G$1</c:f>
              <c:strCache>
                <c:ptCount val="1"/>
                <c:pt idx="0">
                  <c:v>Realistic_Ester Acrylic Acid Delivered Price </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(f)'!$G$2:$G$12</c:f>
              <c:numCache>
                <c:formatCode>0</c:formatCode>
                <c:ptCount val="11"/>
                <c:pt idx="0">
                  <c:v>129734.72</c:v>
                </c:pt>
                <c:pt idx="1">
                  <c:v>144953.52750000003</c:v>
                </c:pt>
                <c:pt idx="2">
                  <c:v>130746.755</c:v>
                </c:pt>
                <c:pt idx="3">
                  <c:v>86783.80750000001</c:v>
                </c:pt>
                <c:pt idx="4">
                  <c:v>85925.867499999993</c:v>
                </c:pt>
                <c:pt idx="5">
                  <c:v>104920.82</c:v>
                </c:pt>
                <c:pt idx="6">
                  <c:v>116367.0425</c:v>
                </c:pt>
                <c:pt idx="7">
                  <c:v>103592.295</c:v>
                </c:pt>
                <c:pt idx="8">
                  <c:v>104646.51</c:v>
                </c:pt>
                <c:pt idx="9">
                  <c:v>190252.8475</c:v>
                </c:pt>
                <c:pt idx="10">
                  <c:v>167394.44</c:v>
                </c:pt>
              </c:numCache>
            </c:numRef>
          </c:val>
          <c:smooth val="0"/>
          <c:extLst>
            <c:ext xmlns:c16="http://schemas.microsoft.com/office/drawing/2014/chart" uri="{C3380CC4-5D6E-409C-BE32-E72D297353CC}">
              <c16:uniqueId val="{00000002-BD30-4CE6-ACB5-B42C6FCB9EDC}"/>
            </c:ext>
          </c:extLst>
        </c:ser>
        <c:ser>
          <c:idx val="3"/>
          <c:order val="3"/>
          <c:tx>
            <c:strRef>
              <c:f>'Price (f)'!$I$1</c:f>
              <c:strCache>
                <c:ptCount val="1"/>
                <c:pt idx="0">
                  <c:v>Glacial Acrylic Acid CIF </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(f)'!$I$2:$I$12</c:f>
              <c:numCache>
                <c:formatCode>0</c:formatCode>
                <c:ptCount val="11"/>
                <c:pt idx="0">
                  <c:v>111800.26</c:v>
                </c:pt>
                <c:pt idx="1">
                  <c:v>125533.64</c:v>
                </c:pt>
                <c:pt idx="2">
                  <c:v>112748.02</c:v>
                </c:pt>
                <c:pt idx="3">
                  <c:v>73113.3</c:v>
                </c:pt>
                <c:pt idx="4">
                  <c:v>72439.61</c:v>
                </c:pt>
                <c:pt idx="5">
                  <c:v>89464.76</c:v>
                </c:pt>
                <c:pt idx="6">
                  <c:v>100556.09</c:v>
                </c:pt>
                <c:pt idx="7">
                  <c:v>84986.559999999998</c:v>
                </c:pt>
                <c:pt idx="8">
                  <c:v>80925.17</c:v>
                </c:pt>
                <c:pt idx="9">
                  <c:v>169508.6</c:v>
                </c:pt>
                <c:pt idx="10">
                  <c:v>138564.54</c:v>
                </c:pt>
              </c:numCache>
            </c:numRef>
          </c:val>
          <c:smooth val="0"/>
          <c:extLst>
            <c:ext xmlns:c16="http://schemas.microsoft.com/office/drawing/2014/chart" uri="{C3380CC4-5D6E-409C-BE32-E72D297353CC}">
              <c16:uniqueId val="{00000003-BD30-4CE6-ACB5-B42C6FCB9EDC}"/>
            </c:ext>
          </c:extLst>
        </c:ser>
        <c:ser>
          <c:idx val="4"/>
          <c:order val="4"/>
          <c:tx>
            <c:strRef>
              <c:f>'Price (f)'!$J$1</c:f>
              <c:strCache>
                <c:ptCount val="1"/>
                <c:pt idx="0">
                  <c:v>Glacial Acrylic Acid Landed Price  </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(f)'!$J$2:$J$12</c:f>
              <c:numCache>
                <c:formatCode>0</c:formatCode>
                <c:ptCount val="11"/>
                <c:pt idx="0">
                  <c:v>132698.29999999999</c:v>
                </c:pt>
                <c:pt idx="1">
                  <c:v>148998.76999999999</c:v>
                </c:pt>
                <c:pt idx="2">
                  <c:v>133823.22</c:v>
                </c:pt>
                <c:pt idx="3">
                  <c:v>86779.86</c:v>
                </c:pt>
                <c:pt idx="4">
                  <c:v>85980.24</c:v>
                </c:pt>
                <c:pt idx="5">
                  <c:v>106187.78</c:v>
                </c:pt>
                <c:pt idx="6">
                  <c:v>119352.34</c:v>
                </c:pt>
                <c:pt idx="7">
                  <c:v>104321.85</c:v>
                </c:pt>
                <c:pt idx="8">
                  <c:v>99864.16</c:v>
                </c:pt>
                <c:pt idx="9">
                  <c:v>210896.55</c:v>
                </c:pt>
                <c:pt idx="10">
                  <c:v>170815.75</c:v>
                </c:pt>
              </c:numCache>
            </c:numRef>
          </c:val>
          <c:smooth val="0"/>
          <c:extLst>
            <c:ext xmlns:c16="http://schemas.microsoft.com/office/drawing/2014/chart" uri="{C3380CC4-5D6E-409C-BE32-E72D297353CC}">
              <c16:uniqueId val="{00000004-BD30-4CE6-ACB5-B42C6FCB9EDC}"/>
            </c:ext>
          </c:extLst>
        </c:ser>
        <c:ser>
          <c:idx val="5"/>
          <c:order val="5"/>
          <c:tx>
            <c:strRef>
              <c:f>'Price (f)'!$N$1</c:f>
              <c:strCache>
                <c:ptCount val="1"/>
                <c:pt idx="0">
                  <c:v>Realistic_Glacial Acrylic Acid Delivered Price </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'Price (f)'!$A$2:$A$12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'Price (f)'!$N$2:$N$12</c:f>
              <c:numCache>
                <c:formatCode>0</c:formatCode>
                <c:ptCount val="11"/>
                <c:pt idx="0">
                  <c:v>135903.56</c:v>
                </c:pt>
                <c:pt idx="1">
                  <c:v>152641.75750000001</c:v>
                </c:pt>
                <c:pt idx="2">
                  <c:v>137113.905</c:v>
                </c:pt>
                <c:pt idx="3">
                  <c:v>90182.747499999998</c:v>
                </c:pt>
                <c:pt idx="4">
                  <c:v>89522.037499999991</c:v>
                </c:pt>
                <c:pt idx="5">
                  <c:v>110350.24</c:v>
                </c:pt>
                <c:pt idx="6">
                  <c:v>123471.30250000001</c:v>
                </c:pt>
                <c:pt idx="7">
                  <c:v>109227.52500000001</c:v>
                </c:pt>
                <c:pt idx="8">
                  <c:v>105316.62999999999</c:v>
                </c:pt>
                <c:pt idx="9">
                  <c:v>216570.1275</c:v>
                </c:pt>
                <c:pt idx="10">
                  <c:v>176315.5</c:v>
                </c:pt>
              </c:numCache>
            </c:numRef>
          </c:val>
          <c:smooth val="0"/>
          <c:extLst>
            <c:ext xmlns:c16="http://schemas.microsoft.com/office/drawing/2014/chart" uri="{C3380CC4-5D6E-409C-BE32-E72D297353CC}">
              <c16:uniqueId val="{00000005-BD30-4CE6-ACB5-B42C6FCB9EDC}"/>
            </c:ext>
          </c:extLst>
        </c:ser>
        <c:dLbls>
          <c:showLegendKey val="0"/>
          <c:showVal val="0"/>
          <c:showCatName val="0"/>
          <c:showSerName val="0"/>
          <c:showPercent val="0"/>
          <c:showBubbleSize val="0"/>
        </c:dLbls>
        <c:smooth val="0"/>
        <c:axId val="1862567744"/>
        <c:axId val="1862566304"/>
      </c:lineChart>
      <c:catAx>
        <c:axId val="1862567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2566304"/>
        <c:crosses val="autoZero"/>
        <c:auto val="1"/>
        <c:lblAlgn val="ctr"/>
        <c:lblOffset val="100"/>
        <c:noMultiLvlLbl val="0"/>
      </c:catAx>
      <c:valAx>
        <c:axId val="186256630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2567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'Glacial Acrylic Acid(F)'!$B$1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'Glacial Acrylic Acid(F)'!$B$2:$B$37</c:f>
              <c:numCache>
                <c:formatCode>General</c:formatCode>
                <c:ptCount val="36"/>
                <c:pt idx="0">
                  <c:v>135903.56</c:v>
                </c:pt>
                <c:pt idx="1">
                  <c:v>152641.75750000001</c:v>
                </c:pt>
                <c:pt idx="2">
                  <c:v>137113.905</c:v>
                </c:pt>
                <c:pt idx="3">
                  <c:v>90182.747499999998</c:v>
                </c:pt>
                <c:pt idx="4">
                  <c:v>89522.037499999991</c:v>
                </c:pt>
                <c:pt idx="5">
                  <c:v>110350.24</c:v>
                </c:pt>
                <c:pt idx="6">
                  <c:v>123471.30250000001</c:v>
                </c:pt>
                <c:pt idx="7">
                  <c:v>109227.52500000001</c:v>
                </c:pt>
                <c:pt idx="8">
                  <c:v>105316.62999999999</c:v>
                </c:pt>
                <c:pt idx="9">
                  <c:v>216570.1275</c:v>
                </c:pt>
                <c:pt idx="10">
                  <c:v>176315.5</c:v>
                </c:pt>
              </c:numCache>
            </c:numRef>
          </c:val>
          <c:smooth val="0"/>
          <c:extLst>
            <c:ext xmlns:c16="http://schemas.microsoft.com/office/drawing/2014/chart" uri="{C3380CC4-5D6E-409C-BE32-E72D297353CC}">
              <c16:uniqueId val="{00000000-4E02-4964-8B99-38653579BCB7}"/>
            </c:ext>
          </c:extLst>
        </c:ser>
        <c:ser>
          <c:idx val="1"/>
          <c:order val="1"/>
          <c:tx>
            <c:strRef>
              <c:f>'Glacial Acrylic Acid(F)'!$C$1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'Glacial Acrylic Acid(F)'!$A$2:$A$37</c:f>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f>'Glacial Acrylic Acid(F)'!$C$2:$C$37</c:f>
              <c:numCache>
                <c:formatCode>General</c:formatCode>
                <c:ptCount val="36"/>
                <c:pt idx="10">
                  <c:v>176315.5</c:v>
                </c:pt>
                <c:pt idx="11">
                  <c:v>180264.77431818188</c:v>
                </c:pt>
                <c:pt idx="12">
                  <c:v>184214.04863636364</c:v>
                </c:pt>
                <c:pt idx="13">
                  <c:v>188163.3229545455</c:v>
                </c:pt>
                <c:pt idx="14">
                  <c:v>192112.59727272726</c:v>
                </c:pt>
                <c:pt idx="15">
                  <c:v>196061.87159090914</c:v>
                </c:pt>
                <c:pt idx="16">
                  <c:v>200011.1459090909</c:v>
                </c:pt>
                <c:pt idx="17">
                  <c:v>203960.42022727276</c:v>
                </c:pt>
                <c:pt idx="18">
                  <c:v>207909.69454545452</c:v>
                </c:pt>
                <c:pt idx="19">
                  <c:v>211858.9688636364</c:v>
                </c:pt>
                <c:pt idx="20">
                  <c:v>215808.24318181816</c:v>
                </c:pt>
                <c:pt idx="21">
                  <c:v>219757.51750000005</c:v>
                </c:pt>
                <c:pt idx="22">
                  <c:v>223706.79181818178</c:v>
                </c:pt>
                <c:pt idx="23">
                  <c:v>227656.06613636366</c:v>
                </c:pt>
                <c:pt idx="24">
                  <c:v>231605.34045454543</c:v>
                </c:pt>
                <c:pt idx="25">
                  <c:v>235554.61477272731</c:v>
                </c:pt>
                <c:pt idx="26">
                  <c:v>239503.88909090907</c:v>
                </c:pt>
                <c:pt idx="27">
                  <c:v>243453.16340909092</c:v>
                </c:pt>
                <c:pt idx="28">
                  <c:v>247402.43772727269</c:v>
                </c:pt>
                <c:pt idx="29">
                  <c:v>251351.71204545457</c:v>
                </c:pt>
                <c:pt idx="30">
                  <c:v>255300.9863636363</c:v>
                </c:pt>
                <c:pt idx="31">
                  <c:v>259250.26068181821</c:v>
                </c:pt>
                <c:pt idx="32">
                  <c:v>263199.53499999997</c:v>
                </c:pt>
                <c:pt idx="33">
                  <c:v>267148.80931818183</c:v>
                </c:pt>
                <c:pt idx="34">
                  <c:v>271098.08363636362</c:v>
                </c:pt>
                <c:pt idx="35">
                  <c:v>275047.35795454541</c:v>
                </c:pt>
              </c:numCache>
            </c:numRef>
          </c:val>
          <c:smooth val="0"/>
          <c:extLst>
            <c:ext xmlns:c16="http://schemas.microsoft.com/office/drawing/2014/chart" uri="{C3380CC4-5D6E-409C-BE32-E72D297353CC}">
              <c16:uniqueId val="{00000001-4E02-4964-8B99-38653579BCB7}"/>
            </c:ext>
          </c:extLst>
        </c:ser>
        <c:dLbls>
          <c:showLegendKey val="0"/>
          <c:showVal val="0"/>
          <c:showCatName val="0"/>
          <c:showSerName val="0"/>
          <c:showPercent val="0"/>
          <c:showBubbleSize val="0"/>
        </c:dLbls>
        <c:smooth val="0"/>
        <c:axId val="1588578800"/>
        <c:axId val="1588579280"/>
        <c:extLst>
          <c:ext xmlns:c15="http://schemas.microsoft.com/office/drawing/2012/chart" uri="{02D57815-91ED-43cb-92C2-25804820EDAC}">
            <c15:filteredLineSeries>
              <c15:ser>
                <c:idx val="2"/>
                <c:order val="2"/>
                <c:tx>
                  <c:strRef>
                    <c:extLst>
                      <c:ext uri="{02D57815-91ED-43cb-92C2-25804820EDAC}">
                        <c15:formulaRef>
                          <c15:sqref>'Glacial Acrylic Acid_Forecast'!#REF!</c15:sqref>
                        </c15:formulaRef>
                      </c:ext>
                    </c:extLst>
                    <c:strCache>
                      <c:ptCount val="1"/>
                      <c:pt idx="0">
                        <c:v>#REF!</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'Glacial Acrylic Acid(F)'!$A$2:$A$37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c:ext uri="{02D57815-91ED-43cb-92C2-25804820EDAC}">
                        <c15:formulaRef>
                          <c15:sqref>'Glacial Acrylic Acid_Forecast'!#REF!</c15:sqref>
                        </c15:formulaRef>
                      </c:ext>
                    </c:extLst>
                    <c:numCache>
                      <c:formatCode>General</c:formatCode>
                      <c:ptCount val="1"/>
                      <c:pt idx="0">
                        <c:v>1</c:v>
                      </c:pt>
                    </c:numCache>
                  </c:numRef>
                </c:val>
                <c:smooth val="0"/>
                <c:extLst>
                  <c:ext xmlns:c16="http://schemas.microsoft.com/office/drawing/2014/chart" uri="{C3380CC4-5D6E-409C-BE32-E72D297353CC}">
                    <c16:uniqueId val="{00000002-4E02-4964-8B99-38653579BCB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'Glacial Acrylic Acid_Forecast'!#REF!</c15:sqref>
                        </c15:formulaRef>
                      </c:ext>
                    </c:extLst>
                    <c:strCache>
                      <c:ptCount val="1"/>
                      <c:pt idx="0">
                        <c:v>#REF!</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'Glacial Acrylic Acid(F)'!$A$2:$A$37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xmlns:c15="http://schemas.microsoft.com/office/drawing/2012/chart">
                      <c:ext xmlns:c15="http://schemas.microsoft.com/office/drawing/2012/chart" uri="{02D57815-91ED-43cb-92C2-25804820EDAC}">
                        <c15:formulaRef>
                          <c15:sqref>'Glacial Acrylic Acid_Forecast'!#REF!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4E02-4964-8B99-38653579BCB7}"/>
                  </c:ext>
                </c:extLst>
              </c15:ser>
            </c15:filteredLineSeries>
          </c:ext>
        </c:extLst>
      </c:lineChart>
      <c:catAx>
        <c:axId val="1588578800"/>
        <c:scaling>
          <c:orientation val="minMax"/>
        </c:scaling>
        <c:delete val="0"/>
        <c:axPos val="b"/>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88579280"/>
        <c:crosses val="autoZero"/>
        <c:auto val="1"/>
        <c:lblAlgn val="ctr"/>
        <c:lblOffset val="100"/>
        <c:noMultiLvlLbl val="0"/>
      </c:catAx>
      <c:valAx>
        <c:axId val="1588579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588578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'Ester Acrylic Acid_Forecast'!$B$1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'Ester Acrylic Acid_Forecast'!$B$2:$B$37</c:f>
              <c:numCache>
                <c:formatCode>General</c:formatCode>
                <c:ptCount val="36"/>
                <c:pt idx="0">
                  <c:v>129734.72</c:v>
                </c:pt>
                <c:pt idx="1">
                  <c:v>144953.52750000003</c:v>
                </c:pt>
                <c:pt idx="2">
                  <c:v>130746.755</c:v>
                </c:pt>
                <c:pt idx="3">
                  <c:v>86783.80750000001</c:v>
                </c:pt>
                <c:pt idx="4">
                  <c:v>85925.867499999993</c:v>
                </c:pt>
                <c:pt idx="5">
                  <c:v>104920.82</c:v>
                </c:pt>
                <c:pt idx="6">
                  <c:v>116367.0425</c:v>
                </c:pt>
                <c:pt idx="7">
                  <c:v>103592.295</c:v>
                </c:pt>
                <c:pt idx="8">
                  <c:v>104646.51</c:v>
                </c:pt>
                <c:pt idx="9">
                  <c:v>190252.8475</c:v>
                </c:pt>
                <c:pt idx="10">
                  <c:v>167394.44</c:v>
                </c:pt>
              </c:numCache>
            </c:numRef>
          </c:val>
          <c:smooth val="0"/>
          <c:extLst>
            <c:ext xmlns:c16="http://schemas.microsoft.com/office/drawing/2014/chart" uri="{C3380CC4-5D6E-409C-BE32-E72D297353CC}">
              <c16:uniqueId val="{00000000-F18C-430E-9A28-4B735BC2CD97}"/>
            </c:ext>
          </c:extLst>
        </c:ser>
        <c:ser>
          <c:idx val="1"/>
          <c:order val="1"/>
          <c:tx>
            <c:strRef>
              <c:f>'Ester Acrylic Acid_Forecast'!$C$1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'Ester Acrylic Acid_Forecast'!$A$2:$A$37</c:f>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f>'Ester Acrylic Acid_Forecast'!$C$2:$C$37</c:f>
              <c:numCache>
                <c:formatCode>General</c:formatCode>
                <c:ptCount val="36"/>
                <c:pt idx="10">
                  <c:v>167394.44</c:v>
                </c:pt>
                <c:pt idx="11">
                  <c:v>170624.01540909096</c:v>
                </c:pt>
                <c:pt idx="12">
                  <c:v>173853.59081818181</c:v>
                </c:pt>
                <c:pt idx="13">
                  <c:v>177083.16622727277</c:v>
                </c:pt>
                <c:pt idx="14">
                  <c:v>180312.74163636361</c:v>
                </c:pt>
                <c:pt idx="15">
                  <c:v>183542.31704545458</c:v>
                </c:pt>
                <c:pt idx="16">
                  <c:v>186771.89245454539</c:v>
                </c:pt>
                <c:pt idx="17">
                  <c:v>190001.46786363635</c:v>
                </c:pt>
                <c:pt idx="18">
                  <c:v>193231.0432727272</c:v>
                </c:pt>
                <c:pt idx="19">
                  <c:v>196460.61868181816</c:v>
                </c:pt>
                <c:pt idx="20">
                  <c:v>199690.194090909</c:v>
                </c:pt>
                <c:pt idx="21">
                  <c:v>202919.76949999997</c:v>
                </c:pt>
                <c:pt idx="22">
                  <c:v>206149.34490909081</c:v>
                </c:pt>
                <c:pt idx="23">
                  <c:v>209378.92031818177</c:v>
                </c:pt>
                <c:pt idx="24">
                  <c:v>212608.49572727262</c:v>
                </c:pt>
                <c:pt idx="25">
                  <c:v>215838.07113636358</c:v>
                </c:pt>
                <c:pt idx="26">
                  <c:v>219067.64654545442</c:v>
                </c:pt>
                <c:pt idx="27">
                  <c:v>222297.22195454538</c:v>
                </c:pt>
                <c:pt idx="28">
                  <c:v>225526.79736363623</c:v>
                </c:pt>
                <c:pt idx="29">
                  <c:v>228756.37277272719</c:v>
                </c:pt>
                <c:pt idx="30">
                  <c:v>231985.94818181804</c:v>
                </c:pt>
                <c:pt idx="31">
                  <c:v>235215.523590909</c:v>
                </c:pt>
                <c:pt idx="32">
                  <c:v>238445.09899999984</c:v>
                </c:pt>
                <c:pt idx="33">
                  <c:v>241674.67440909077</c:v>
                </c:pt>
                <c:pt idx="34">
                  <c:v>244904.24981818162</c:v>
                </c:pt>
                <c:pt idx="35">
                  <c:v>248133.82522727258</c:v>
                </c:pt>
              </c:numCache>
            </c:numRef>
          </c:val>
          <c:smooth val="0"/>
          <c:extLst>
            <c:ext xmlns:c16="http://schemas.microsoft.com/office/drawing/2014/chart" uri="{C3380CC4-5D6E-409C-BE32-E72D297353CC}">
              <c16:uniqueId val="{00000001-F18C-430E-9A28-4B735BC2CD97}"/>
            </c:ext>
          </c:extLst>
        </c:ser>
        <c:dLbls>
          <c:showLegendKey val="0"/>
          <c:showVal val="0"/>
          <c:showCatName val="0"/>
          <c:showSerName val="0"/>
          <c:showPercent val="0"/>
          <c:showBubbleSize val="0"/>
        </c:dLbls>
        <c:smooth val="0"/>
        <c:axId val="1588628720"/>
        <c:axId val="1588614800"/>
        <c:extLst>
          <c:ext xmlns:c15="http://schemas.microsoft.com/office/drawing/2012/chart" uri="{02D57815-91ED-43cb-92C2-25804820EDAC}">
            <c15:filteredLineSeries>
              <c15:ser>
                <c:idx val="2"/>
                <c:order val="2"/>
                <c:tx>
                  <c:strRef>
                    <c:extLst>
                      <c:ext uri="{02D57815-91ED-43cb-92C2-25804820EDAC}">
                        <c15:formulaRef>
                          <c15:sqref>'Ester Acrylic Acid_Forecast'!#REF!</c15:sqref>
                        </c15:formulaRef>
                      </c:ext>
                    </c:extLst>
                    <c:strCache>
                      <c:ptCount val="1"/>
                      <c:pt idx="0">
                        <c:v>#REF!</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'Ester Acrylic Acid_Forecast'!$A$2:$A$37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c:ext uri="{02D57815-91ED-43cb-92C2-25804820EDAC}">
                        <c15:formulaRef>
                          <c15:sqref>'Ester Acrylic Acid_Forecast'!#REF!</c15:sqref>
                        </c15:formulaRef>
                      </c:ext>
                    </c:extLst>
                    <c:numCache>
                      <c:formatCode>General</c:formatCode>
                      <c:ptCount val="1"/>
                      <c:pt idx="0">
                        <c:v>1</c:v>
                      </c:pt>
                    </c:numCache>
                  </c:numRef>
                </c:val>
                <c:smooth val="0"/>
                <c:extLst>
                  <c:ext xmlns:c16="http://schemas.microsoft.com/office/drawing/2014/chart" uri="{C3380CC4-5D6E-409C-BE32-E72D297353CC}">
                    <c16:uniqueId val="{00000002-F18C-430E-9A28-4B735BC2CD9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'Ester Acrylic Acid_Forecast'!#REF!</c15:sqref>
                        </c15:formulaRef>
                      </c:ext>
                    </c:extLst>
                    <c:strCache>
                      <c:ptCount val="1"/>
                      <c:pt idx="0">
                        <c:v>#REF!</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'Ester Acrylic Acid_Forecast'!$A$2:$A$37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xmlns:c15="http://schemas.microsoft.com/office/drawing/2012/chart">
                      <c:ext xmlns:c15="http://schemas.microsoft.com/office/drawing/2012/chart" uri="{02D57815-91ED-43cb-92C2-25804820EDAC}">
                        <c15:formulaRef>
                          <c15:sqref>'Ester Acrylic Acid_Forecast'!#REF!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F18C-430E-9A28-4B735BC2CD97}"/>
                  </c:ext>
                </c:extLst>
              </c15:ser>
            </c15:filteredLineSeries>
          </c:ext>
        </c:extLst>
      </c:lineChart>
      <c:catAx>
        <c:axId val="1588628720"/>
        <c:scaling>
          <c:orientation val="minMax"/>
        </c:scaling>
        <c:delete val="0"/>
        <c:axPos val="b"/>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88614800"/>
        <c:crosses val="autoZero"/>
        <c:auto val="1"/>
        <c:lblAlgn val="ctr"/>
        <c:lblOffset val="100"/>
        <c:noMultiLvlLbl val="0"/>
      </c:catAx>
      <c:valAx>
        <c:axId val="15886148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8862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Sheet2!$B$1</c:f>
              <c:strCache>
                <c:ptCount val="1"/>
                <c:pt idx="0">
                  <c:v>Crude Oil FOB Price (Indian Basket) (INR/Ton)</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Sheet2!$A$2:$A$12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Sheet2!$B$2:$B$12</c:f>
              <c:numCache>
                <c:formatCode>0</c:formatCode>
                <c:ptCount val="11"/>
                <c:pt idx="0">
                  <c:v>45878.311961739128</c:v>
                </c:pt>
                <c:pt idx="1">
                  <c:v>46660.194655072461</c:v>
                </c:pt>
                <c:pt idx="2">
                  <c:v>39139.320920579703</c:v>
                </c:pt>
                <c:pt idx="3">
                  <c:v>22481.9679423913</c:v>
                </c:pt>
                <c:pt idx="4">
                  <c:v>22445.896163188405</c:v>
                </c:pt>
                <c:pt idx="5">
                  <c:v>27989.423528478259</c:v>
                </c:pt>
                <c:pt idx="6">
                  <c:v>35662.7516231884</c:v>
                </c:pt>
                <c:pt idx="7">
                  <c:v>32473.410978985499</c:v>
                </c:pt>
                <c:pt idx="8">
                  <c:v>24016.005179999996</c:v>
                </c:pt>
                <c:pt idx="9">
                  <c:v>45114.011634347822</c:v>
                </c:pt>
                <c:pt idx="10">
                  <c:v>55498.978575000001</c:v>
                </c:pt>
              </c:numCache>
            </c:numRef>
          </c:val>
          <c:smooth val="0"/>
          <c:extLst>
            <c:ext xmlns:c16="http://schemas.microsoft.com/office/drawing/2014/chart" uri="{C3380CC4-5D6E-409C-BE32-E72D297353CC}">
              <c16:uniqueId val="{00000000-C1D6-4FC4-9C48-0706293C78A4}"/>
            </c:ext>
          </c:extLst>
        </c:ser>
        <c:dLbls>
          <c:showLegendKey val="0"/>
          <c:showVal val="0"/>
          <c:showCatName val="0"/>
          <c:showSerName val="0"/>
          <c:showPercent val="0"/>
          <c:showBubbleSize val="0"/>
        </c:dLbls>
        <c:smooth val="0"/>
        <c:axId val="1170515056"/>
        <c:axId val="1170516016"/>
      </c:lineChart>
      <c:catAx>
        <c:axId val="11705150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70516016"/>
        <c:crosses val="autoZero"/>
        <c:auto val="1"/>
        <c:lblAlgn val="ctr"/>
        <c:lblOffset val="100"/>
        <c:noMultiLvlLbl val="0"/>
      </c:catAx>
      <c:valAx>
        <c:axId val="117051601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17051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IN"/>
              <a:t>Price (INR/Ton)</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'Propylene (H)'!$B$1</c:f>
              <c:strCache>
                <c:ptCount val="1"/>
                <c:pt idx="0">
                  <c:v>Propylene Chemical Grade(spot) Ex-Mumbai (India)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'Propylene (H)'!$A$2:$A$12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'Propylene (H)'!$B$2:$B$12</c:f>
              <c:numCache>
                <c:formatCode>General</c:formatCode>
                <c:ptCount val="11"/>
                <c:pt idx="0">
                  <c:v>59710</c:v>
                </c:pt>
                <c:pt idx="1">
                  <c:v>62230</c:v>
                </c:pt>
                <c:pt idx="2">
                  <c:v>48540</c:v>
                </c:pt>
                <c:pt idx="3">
                  <c:v>38640</c:v>
                </c:pt>
                <c:pt idx="4">
                  <c:v>46240</c:v>
                </c:pt>
                <c:pt idx="5">
                  <c:v>63830</c:v>
                </c:pt>
                <c:pt idx="6">
                  <c:v>65010</c:v>
                </c:pt>
                <c:pt idx="7">
                  <c:v>62370</c:v>
                </c:pt>
                <c:pt idx="8">
                  <c:v>65340</c:v>
                </c:pt>
                <c:pt idx="9">
                  <c:v>82746</c:v>
                </c:pt>
                <c:pt idx="10">
                  <c:v>95743</c:v>
                </c:pt>
              </c:numCache>
            </c:numRef>
          </c:val>
          <c:smooth val="0"/>
          <c:extLst>
            <c:ext xmlns:c16="http://schemas.microsoft.com/office/drawing/2014/chart" uri="{C3380CC4-5D6E-409C-BE32-E72D297353CC}">
              <c16:uniqueId val="{00000000-B621-48E5-87FA-F119A0960E95}"/>
            </c:ext>
          </c:extLst>
        </c:ser>
        <c:ser>
          <c:idx val="1"/>
          <c:order val="1"/>
          <c:tx>
            <c:strRef>
              <c:f>'Propylene (H)'!$C$1</c:f>
              <c:strCache>
                <c:ptCount val="1"/>
                <c:pt idx="0">
                  <c:v>Propylene Polymer Grade (Contract) Ex-Hazira (India)</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'Propylene (H)'!$A$2:$A$12</c:f>
              <c:strCache>
                <c:ptCount val="11"/>
                <c:pt idx="0">
                  <c:v>FY2013</c:v>
                </c:pt>
                <c:pt idx="1">
                  <c:v>FY2014</c:v>
                </c:pt>
                <c:pt idx="2">
                  <c:v>FY2015</c:v>
                </c:pt>
                <c:pt idx="3">
                  <c:v>FY2016</c:v>
                </c:pt>
                <c:pt idx="4">
                  <c:v>FY2017</c:v>
                </c:pt>
                <c:pt idx="5">
                  <c:v>FY2018</c:v>
                </c:pt>
                <c:pt idx="6">
                  <c:v>FY2019</c:v>
                </c:pt>
                <c:pt idx="7">
                  <c:v>FY2020</c:v>
                </c:pt>
                <c:pt idx="8">
                  <c:v>FY2021</c:v>
                </c:pt>
                <c:pt idx="9">
                  <c:v>FY2022</c:v>
                </c:pt>
                <c:pt idx="10">
                  <c:v>FY2023</c:v>
                </c:pt>
              </c:strCache>
            </c:strRef>
          </c:cat>
          <c:val>
            <c:numRef>
              <c:f>'Propylene (H)'!$C$2:$C$12</c:f>
              <c:numCache>
                <c:formatCode>General</c:formatCode>
                <c:ptCount val="11"/>
                <c:pt idx="0">
                  <c:v>56350</c:v>
                </c:pt>
                <c:pt idx="1">
                  <c:v>58580</c:v>
                </c:pt>
                <c:pt idx="2">
                  <c:v>44480</c:v>
                </c:pt>
                <c:pt idx="3">
                  <c:v>34790</c:v>
                </c:pt>
                <c:pt idx="4">
                  <c:v>43640</c:v>
                </c:pt>
                <c:pt idx="5">
                  <c:v>61210</c:v>
                </c:pt>
                <c:pt idx="6">
                  <c:v>61710</c:v>
                </c:pt>
                <c:pt idx="7">
                  <c:v>58470</c:v>
                </c:pt>
                <c:pt idx="8">
                  <c:v>61420</c:v>
                </c:pt>
                <c:pt idx="9">
                  <c:v>75875</c:v>
                </c:pt>
                <c:pt idx="10">
                  <c:v>88975</c:v>
                </c:pt>
              </c:numCache>
            </c:numRef>
          </c:val>
          <c:smooth val="0"/>
          <c:extLst>
            <c:ext xmlns:c16="http://schemas.microsoft.com/office/drawing/2014/chart" uri="{C3380CC4-5D6E-409C-BE32-E72D297353CC}">
              <c16:uniqueId val="{00000001-B621-48E5-87FA-F119A0960E95}"/>
            </c:ext>
          </c:extLst>
        </c:ser>
        <c:dLbls>
          <c:showLegendKey val="0"/>
          <c:showVal val="0"/>
          <c:showCatName val="0"/>
          <c:showSerName val="0"/>
          <c:showPercent val="0"/>
          <c:showBubbleSize val="0"/>
        </c:dLbls>
        <c:smooth val="0"/>
        <c:axId val="1860643616"/>
        <c:axId val="1860640736"/>
      </c:lineChart>
      <c:catAx>
        <c:axId val="1860643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0640736"/>
        <c:crosses val="autoZero"/>
        <c:auto val="1"/>
        <c:lblAlgn val="ctr"/>
        <c:lblOffset val="100"/>
        <c:noMultiLvlLbl val="0"/>
      </c:catAx>
      <c:valAx>
        <c:axId val="1860640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860643616"/>
        <c:crosses val="autoZero"/>
        <c:crossBetween val="between"/>
      </c:valAx>
      <c:spPr>
        <a:noFill/>
        <a:ln>
          <a:noFill/>
        </a:ln>
        <a:effectLst/>
      </c:spPr>
    </c:plotArea>
    <c:legend>
      <c:legendPos val="b"/>
      <c:layout>
        <c:manualLayout>
          <c:xMode val="edge"/>
          <c:yMode val="edge"/>
          <c:x val="5.951539798226603E-2"/>
          <c:y val="0.87160348898273654"/>
          <c:w val="0.89513841588079912"/>
          <c:h val="9.4993595582749363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0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'PropyleneP_Crude oil_Regression'!$E$25:$E$34</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'PropyleneP_Crude oil_Regression'!$F$25:$F$34</c:f>
              <c:numCache>
                <c:formatCode>General</c:formatCode>
                <c:ptCount val="10"/>
                <c:pt idx="0">
                  <c:v>34790</c:v>
                </c:pt>
                <c:pt idx="1">
                  <c:v>43640</c:v>
                </c:pt>
                <c:pt idx="2">
                  <c:v>44480</c:v>
                </c:pt>
                <c:pt idx="3">
                  <c:v>58470</c:v>
                </c:pt>
                <c:pt idx="4">
                  <c:v>58580</c:v>
                </c:pt>
                <c:pt idx="5">
                  <c:v>61210</c:v>
                </c:pt>
                <c:pt idx="6">
                  <c:v>61420</c:v>
                </c:pt>
                <c:pt idx="7">
                  <c:v>61710</c:v>
                </c:pt>
                <c:pt idx="8">
                  <c:v>75875</c:v>
                </c:pt>
                <c:pt idx="9">
                  <c:v>88975</c:v>
                </c:pt>
              </c:numCache>
            </c:numRef>
          </c:yVal>
          <c:smooth val="0"/>
          <c:extLst>
            <c:ext xmlns:c16="http://schemas.microsoft.com/office/drawing/2014/chart" uri="{C3380CC4-5D6E-409C-BE32-E72D297353CC}">
              <c16:uniqueId val="{00000001-D1FB-4246-94ED-F8EE1A946984}"/>
            </c:ext>
          </c:extLst>
        </c:ser>
        <c:dLbls>
          <c:showLegendKey val="0"/>
          <c:showVal val="0"/>
          <c:showCatName val="0"/>
          <c:showSerName val="0"/>
          <c:showPercent val="0"/>
          <c:showBubbleSize val="0"/>
        </c:dLbls>
        <c:axId val="1763546943"/>
        <c:axId val="1763528223"/>
      </c:scatterChart>
      <c:valAx>
        <c:axId val="1763546943"/>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763528223"/>
        <c:crosses val="autoZero"/>
        <c:crossBetween val="midCat"/>
      </c:valAx>
      <c:valAx>
        <c:axId val="1763528223"/>
        <c:scaling>
          <c:orientation val="minMax"/>
        </c:scaling>
        <c:delete val="0"/>
        <c:axPos val="l"/>
        <c:title>
          <c:tx>
            <c:rich>
              <a:bodyPr/>
              <a:lstStyle/>
              <a:p>
                <a:pPr>
                  <a:defRPr/>
                </a:pPr>
                <a:r>
                  <a:rPr lang="en-IN"/>
                  <a:t>56350</a:t>
                </a:r>
              </a:p>
            </c:rich>
          </c:tx>
          <c:overlay val="0"/>
        </c:title>
        <c:numFmt formatCode="General" sourceLinked="1"/>
        <c:majorTickMark val="out"/>
        <c:minorTickMark val="none"/>
        <c:tickLblPos val="nextTo"/>
        <c:crossAx val="1763546943"/>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ysClr val="windowText" lastClr="000000"/>
      </a:solidFill>
    </a:ln>
  </c:spPr>
  <c:txPr>
    <a:bodyPr/>
    <a:lstStyle/>
    <a:p>
      <a:pPr>
        <a:defRPr sz="10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EAA_Del_Price_PropyleneP_Regres!$E$25:$E$34</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EAA_Del_Price_PropyleneP_Regres!$F$25:$F$34</c:f>
              <c:numCache>
                <c:formatCode>General</c:formatCode>
                <c:ptCount val="10"/>
                <c:pt idx="0">
                  <c:v>85926.290000000008</c:v>
                </c:pt>
                <c:pt idx="1">
                  <c:v>86784.34</c:v>
                </c:pt>
                <c:pt idx="2">
                  <c:v>103593.11</c:v>
                </c:pt>
                <c:pt idx="3">
                  <c:v>104646.03</c:v>
                </c:pt>
                <c:pt idx="4">
                  <c:v>104920.19</c:v>
                </c:pt>
                <c:pt idx="5">
                  <c:v>116366.98</c:v>
                </c:pt>
                <c:pt idx="6">
                  <c:v>130747.42000000001</c:v>
                </c:pt>
                <c:pt idx="7">
                  <c:v>144953.96000000002</c:v>
                </c:pt>
                <c:pt idx="8">
                  <c:v>167394.69</c:v>
                </c:pt>
                <c:pt idx="9">
                  <c:v>190253.34</c:v>
                </c:pt>
              </c:numCache>
            </c:numRef>
          </c:yVal>
          <c:smooth val="0"/>
          <c:extLst>
            <c:ext xmlns:c16="http://schemas.microsoft.com/office/drawing/2014/chart" uri="{C3380CC4-5D6E-409C-BE32-E72D297353CC}">
              <c16:uniqueId val="{00000001-A345-43CC-90F2-DAB7048CF747}"/>
            </c:ext>
          </c:extLst>
        </c:ser>
        <c:dLbls>
          <c:showLegendKey val="0"/>
          <c:showVal val="0"/>
          <c:showCatName val="0"/>
          <c:showSerName val="0"/>
          <c:showPercent val="0"/>
          <c:showBubbleSize val="0"/>
        </c:dLbls>
        <c:axId val="1762698031"/>
        <c:axId val="1762698511"/>
      </c:scatterChart>
      <c:valAx>
        <c:axId val="1762698031"/>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762698511"/>
        <c:crosses val="autoZero"/>
        <c:crossBetween val="midCat"/>
      </c:valAx>
      <c:valAx>
        <c:axId val="1762698511"/>
        <c:scaling>
          <c:orientation val="minMax"/>
        </c:scaling>
        <c:delete val="0"/>
        <c:axPos val="l"/>
        <c:title>
          <c:tx>
            <c:rich>
              <a:bodyPr/>
              <a:lstStyle/>
              <a:p>
                <a:pPr>
                  <a:defRPr/>
                </a:pPr>
                <a:r>
                  <a:rPr lang="en-IN"/>
                  <a:t>129734.52</a:t>
                </a:r>
              </a:p>
            </c:rich>
          </c:tx>
          <c:overlay val="0"/>
        </c:title>
        <c:numFmt formatCode="General" sourceLinked="1"/>
        <c:majorTickMark val="out"/>
        <c:minorTickMark val="none"/>
        <c:tickLblPos val="nextTo"/>
        <c:crossAx val="176269803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ysClr val="windowText" lastClr="000000"/>
      </a:solidFill>
    </a:ln>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GAA_Del_Price_PropyleneP_Regres!$E$25:$E$34</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GAA_Del_Price_PropyleneP_Regres!$F$25:$F$34</c:f>
              <c:numCache>
                <c:formatCode>General</c:formatCode>
                <c:ptCount val="10"/>
                <c:pt idx="0">
                  <c:v>89522.46</c:v>
                </c:pt>
                <c:pt idx="1">
                  <c:v>90183.28</c:v>
                </c:pt>
                <c:pt idx="2">
                  <c:v>105316.15000000001</c:v>
                </c:pt>
                <c:pt idx="3">
                  <c:v>109228.34000000001</c:v>
                </c:pt>
                <c:pt idx="4">
                  <c:v>110349.61</c:v>
                </c:pt>
                <c:pt idx="5">
                  <c:v>123471.23999999999</c:v>
                </c:pt>
                <c:pt idx="6">
                  <c:v>137114.57</c:v>
                </c:pt>
                <c:pt idx="7">
                  <c:v>152642.19</c:v>
                </c:pt>
                <c:pt idx="8">
                  <c:v>176315.75</c:v>
                </c:pt>
                <c:pt idx="9">
                  <c:v>216570.62</c:v>
                </c:pt>
              </c:numCache>
            </c:numRef>
          </c:yVal>
          <c:smooth val="0"/>
          <c:extLst>
            <c:ext xmlns:c16="http://schemas.microsoft.com/office/drawing/2014/chart" uri="{C3380CC4-5D6E-409C-BE32-E72D297353CC}">
              <c16:uniqueId val="{00000001-0B4F-4A7C-A408-5122D804DFA6}"/>
            </c:ext>
          </c:extLst>
        </c:ser>
        <c:dLbls>
          <c:showLegendKey val="0"/>
          <c:showVal val="0"/>
          <c:showCatName val="0"/>
          <c:showSerName val="0"/>
          <c:showPercent val="0"/>
          <c:showBubbleSize val="0"/>
        </c:dLbls>
        <c:axId val="826459311"/>
        <c:axId val="826460271"/>
      </c:scatterChart>
      <c:valAx>
        <c:axId val="826459311"/>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826460271"/>
        <c:crosses val="autoZero"/>
        <c:crossBetween val="midCat"/>
      </c:valAx>
      <c:valAx>
        <c:axId val="826460271"/>
        <c:scaling>
          <c:orientation val="minMax"/>
        </c:scaling>
        <c:delete val="0"/>
        <c:axPos val="l"/>
        <c:title>
          <c:tx>
            <c:rich>
              <a:bodyPr/>
              <a:lstStyle/>
              <a:p>
                <a:pPr>
                  <a:defRPr/>
                </a:pPr>
                <a:r>
                  <a:rPr lang="en-IN"/>
                  <a:t>135903.36</a:t>
                </a:r>
              </a:p>
            </c:rich>
          </c:tx>
          <c:overlay val="0"/>
        </c:title>
        <c:numFmt formatCode="General" sourceLinked="1"/>
        <c:majorTickMark val="out"/>
        <c:minorTickMark val="none"/>
        <c:tickLblPos val="nextTo"/>
        <c:crossAx val="826459311"/>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ysClr val="windowText" lastClr="000000"/>
      </a:solidFill>
    </a:ln>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Correl_Multivar_Regression!$E$52:$E$61</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Correl_Multivar_Regression!$F$52:$F$61</c:f>
              <c:numCache>
                <c:formatCode>General</c:formatCode>
                <c:ptCount val="10"/>
                <c:pt idx="0">
                  <c:v>85926.290000000008</c:v>
                </c:pt>
                <c:pt idx="1">
                  <c:v>86784.34</c:v>
                </c:pt>
                <c:pt idx="2">
                  <c:v>103593.11</c:v>
                </c:pt>
                <c:pt idx="3">
                  <c:v>104646.03</c:v>
                </c:pt>
                <c:pt idx="4">
                  <c:v>104920.19</c:v>
                </c:pt>
                <c:pt idx="5">
                  <c:v>116366.98</c:v>
                </c:pt>
                <c:pt idx="6">
                  <c:v>130747.42000000001</c:v>
                </c:pt>
                <c:pt idx="7">
                  <c:v>144953.96000000002</c:v>
                </c:pt>
                <c:pt idx="8">
                  <c:v>167394.69</c:v>
                </c:pt>
                <c:pt idx="9">
                  <c:v>190253.34</c:v>
                </c:pt>
              </c:numCache>
            </c:numRef>
          </c:yVal>
          <c:smooth val="0"/>
          <c:extLst>
            <c:ext xmlns:c16="http://schemas.microsoft.com/office/drawing/2014/chart" uri="{C3380CC4-5D6E-409C-BE32-E72D297353CC}">
              <c16:uniqueId val="{00000001-D968-469E-8C6B-F6E8A7F0EAD2}"/>
            </c:ext>
          </c:extLst>
        </c:ser>
        <c:dLbls>
          <c:showLegendKey val="0"/>
          <c:showVal val="0"/>
          <c:showCatName val="0"/>
          <c:showSerName val="0"/>
          <c:showPercent val="0"/>
          <c:showBubbleSize val="0"/>
        </c:dLbls>
        <c:axId val="1672916736"/>
        <c:axId val="1672911456"/>
      </c:scatterChart>
      <c:valAx>
        <c:axId val="1672916736"/>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672911456"/>
        <c:crosses val="autoZero"/>
        <c:crossBetween val="midCat"/>
      </c:valAx>
      <c:valAx>
        <c:axId val="1672911456"/>
        <c:scaling>
          <c:orientation val="minMax"/>
        </c:scaling>
        <c:delete val="0"/>
        <c:axPos val="l"/>
        <c:title>
          <c:tx>
            <c:rich>
              <a:bodyPr/>
              <a:lstStyle/>
              <a:p>
                <a:pPr>
                  <a:defRPr/>
                </a:pPr>
                <a:r>
                  <a:rPr lang="en-IN"/>
                  <a:t>129734.52</a:t>
                </a:r>
              </a:p>
            </c:rich>
          </c:tx>
          <c:overlay val="0"/>
        </c:title>
        <c:numFmt formatCode="General" sourceLinked="1"/>
        <c:majorTickMark val="out"/>
        <c:minorTickMark val="none"/>
        <c:tickLblPos val="nextTo"/>
        <c:crossAx val="16729167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'Crude oil (f)'!$B$1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'Crude oil (f)'!$B$2:$B$37</c:f>
              <c:numCache>
                <c:formatCode>General</c:formatCode>
                <c:ptCount val="36"/>
                <c:pt idx="0">
                  <c:v>45878.31</c:v>
                </c:pt>
                <c:pt idx="1">
                  <c:v>46660.19</c:v>
                </c:pt>
                <c:pt idx="2">
                  <c:v>39139.32</c:v>
                </c:pt>
                <c:pt idx="3">
                  <c:v>22481.97</c:v>
                </c:pt>
                <c:pt idx="4">
                  <c:v>22445.9</c:v>
                </c:pt>
                <c:pt idx="5">
                  <c:v>27989.42</c:v>
                </c:pt>
                <c:pt idx="6">
                  <c:v>35662.75</c:v>
                </c:pt>
                <c:pt idx="7">
                  <c:v>32473.41</c:v>
                </c:pt>
                <c:pt idx="8">
                  <c:v>24016.01</c:v>
                </c:pt>
                <c:pt idx="9">
                  <c:v>45114.01</c:v>
                </c:pt>
                <c:pt idx="10">
                  <c:v>55498.98</c:v>
                </c:pt>
              </c:numCache>
            </c:numRef>
          </c:val>
          <c:smooth val="0"/>
          <c:extLst>
            <c:ext xmlns:c16="http://schemas.microsoft.com/office/drawing/2014/chart" uri="{C3380CC4-5D6E-409C-BE32-E72D297353CC}">
              <c16:uniqueId val="{00000000-3C54-4A8A-BDD0-49938BDA0338}"/>
            </c:ext>
          </c:extLst>
        </c:ser>
        <c:ser>
          <c:idx val="1"/>
          <c:order val="1"/>
          <c:tx>
            <c:strRef>
              <c:f>'Crude oil (f)'!$C$1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'Crude oil (f)'!$A$2:$A$37</c:f>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f>'Crude oil (f)'!$C$2:$C$37</c:f>
              <c:numCache>
                <c:formatCode>General</c:formatCode>
                <c:ptCount val="36"/>
                <c:pt idx="10">
                  <c:v>55498.98</c:v>
                </c:pt>
                <c:pt idx="11">
                  <c:v>55769.420272727286</c:v>
                </c:pt>
                <c:pt idx="12">
                  <c:v>56039.860545454561</c:v>
                </c:pt>
                <c:pt idx="13">
                  <c:v>56310.300818181844</c:v>
                </c:pt>
                <c:pt idx="14">
                  <c:v>56580.74109090912</c:v>
                </c:pt>
                <c:pt idx="15">
                  <c:v>56851.181363636402</c:v>
                </c:pt>
                <c:pt idx="16">
                  <c:v>57121.621636363678</c:v>
                </c:pt>
                <c:pt idx="17">
                  <c:v>57392.06190909096</c:v>
                </c:pt>
                <c:pt idx="18">
                  <c:v>57662.502181818236</c:v>
                </c:pt>
                <c:pt idx="19">
                  <c:v>57932.942454545519</c:v>
                </c:pt>
                <c:pt idx="20">
                  <c:v>58203.382727272794</c:v>
                </c:pt>
                <c:pt idx="21">
                  <c:v>58473.823000000077</c:v>
                </c:pt>
                <c:pt idx="22">
                  <c:v>58744.263272727352</c:v>
                </c:pt>
                <c:pt idx="23">
                  <c:v>59014.703545454635</c:v>
                </c:pt>
                <c:pt idx="24">
                  <c:v>59285.14381818191</c:v>
                </c:pt>
                <c:pt idx="25">
                  <c:v>59555.584090909193</c:v>
                </c:pt>
                <c:pt idx="26">
                  <c:v>59826.024363636468</c:v>
                </c:pt>
                <c:pt idx="27">
                  <c:v>60096.464636363751</c:v>
                </c:pt>
                <c:pt idx="28">
                  <c:v>60366.904909091027</c:v>
                </c:pt>
                <c:pt idx="29">
                  <c:v>60637.345181818309</c:v>
                </c:pt>
                <c:pt idx="30">
                  <c:v>60907.785454545592</c:v>
                </c:pt>
                <c:pt idx="31">
                  <c:v>61178.225727272868</c:v>
                </c:pt>
                <c:pt idx="32">
                  <c:v>61448.666000000143</c:v>
                </c:pt>
                <c:pt idx="33">
                  <c:v>61719.106272727426</c:v>
                </c:pt>
                <c:pt idx="34">
                  <c:v>61989.546545454708</c:v>
                </c:pt>
                <c:pt idx="35">
                  <c:v>62259.986818181984</c:v>
                </c:pt>
              </c:numCache>
            </c:numRef>
          </c:val>
          <c:smooth val="0"/>
          <c:extLst>
            <c:ext xmlns:c16="http://schemas.microsoft.com/office/drawing/2014/chart" uri="{C3380CC4-5D6E-409C-BE32-E72D297353CC}">
              <c16:uniqueId val="{00000001-3C54-4A8A-BDD0-49938BDA0338}"/>
            </c:ext>
          </c:extLst>
        </c:ser>
        <c:dLbls>
          <c:showLegendKey val="0"/>
          <c:showVal val="0"/>
          <c:showCatName val="0"/>
          <c:showSerName val="0"/>
          <c:showPercent val="0"/>
          <c:showBubbleSize val="0"/>
        </c:dLbls>
        <c:smooth val="0"/>
        <c:axId val="2117670495"/>
        <c:axId val="2117670975"/>
        <c:extLst>
          <c:ext xmlns:c15="http://schemas.microsoft.com/office/drawing/2012/chart" uri="{02D57815-91ED-43cb-92C2-25804820EDAC}">
            <c15:filteredLineSeries>
              <c15:ser>
                <c:idx val="2"/>
                <c:order val="2"/>
                <c:tx>
                  <c:strRef>
                    <c:extLst>
                      <c:ext uri="{02D57815-91ED-43cb-92C2-25804820EDAC}">
                        <c15:formulaRef>
                          <c15:sqref>'Crude oil F'!#REF!</c15:sqref>
                        </c15:formulaRef>
                      </c:ext>
                    </c:extLst>
                    <c:strCache>
                      <c:ptCount val="1"/>
                      <c:pt idx="0">
                        <c:v>#REF!</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'Crude oil (f)'!$A$2:$A$37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c:ext uri="{02D57815-91ED-43cb-92C2-25804820EDAC}">
                        <c15:formulaRef>
                          <c15:sqref>'Crude oil F'!#REF!</c15:sqref>
                        </c15:formulaRef>
                      </c:ext>
                    </c:extLst>
                    <c:numCache>
                      <c:formatCode>General</c:formatCode>
                      <c:ptCount val="1"/>
                      <c:pt idx="0">
                        <c:v>1</c:v>
                      </c:pt>
                    </c:numCache>
                  </c:numRef>
                </c:val>
                <c:smooth val="0"/>
                <c:extLst>
                  <c:ext xmlns:c16="http://schemas.microsoft.com/office/drawing/2014/chart" uri="{C3380CC4-5D6E-409C-BE32-E72D297353CC}">
                    <c16:uniqueId val="{00000002-3C54-4A8A-BDD0-49938BDA0338}"/>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'Crude oil F'!#REF!</c15:sqref>
                        </c15:formulaRef>
                      </c:ext>
                    </c:extLst>
                    <c:strCache>
                      <c:ptCount val="1"/>
                      <c:pt idx="0">
                        <c:v>#REF!</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'Crude oil (f)'!$A$2:$A$37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xmlns:c15="http://schemas.microsoft.com/office/drawing/2012/chart">
                      <c:ext xmlns:c15="http://schemas.microsoft.com/office/drawing/2012/chart" uri="{02D57815-91ED-43cb-92C2-25804820EDAC}">
                        <c15:formulaRef>
                          <c15:sqref>'Crude oil F'!#REF!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3C54-4A8A-BDD0-49938BDA0338}"/>
                  </c:ext>
                </c:extLst>
              </c15:ser>
            </c15:filteredLineSeries>
          </c:ext>
        </c:extLst>
      </c:lineChart>
      <c:catAx>
        <c:axId val="2117670495"/>
        <c:scaling>
          <c:orientation val="minMax"/>
        </c:scaling>
        <c:delete val="0"/>
        <c:axPos val="b"/>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17670975"/>
        <c:crosses val="autoZero"/>
        <c:auto val="1"/>
        <c:lblAlgn val="ctr"/>
        <c:lblOffset val="100"/>
        <c:noMultiLvlLbl val="0"/>
      </c:catAx>
      <c:valAx>
        <c:axId val="21176709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17670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'Propylene(f)'!$B$1</c:f>
              <c:strCache>
                <c:ptCount val="1"/>
                <c:pt idx="0">
                  <c:v>Values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val>
            <c:numRef>
              <c:f>'Propylene(f)'!$B$2:$B$37</c:f>
              <c:numCache>
                <c:formatCode>General</c:formatCode>
                <c:ptCount val="36"/>
                <c:pt idx="0">
                  <c:v>56350</c:v>
                </c:pt>
                <c:pt idx="1">
                  <c:v>58580</c:v>
                </c:pt>
                <c:pt idx="2">
                  <c:v>44480</c:v>
                </c:pt>
                <c:pt idx="3">
                  <c:v>34790</c:v>
                </c:pt>
                <c:pt idx="4">
                  <c:v>43640</c:v>
                </c:pt>
                <c:pt idx="5">
                  <c:v>61210</c:v>
                </c:pt>
                <c:pt idx="6">
                  <c:v>61710</c:v>
                </c:pt>
                <c:pt idx="7">
                  <c:v>58470</c:v>
                </c:pt>
                <c:pt idx="8">
                  <c:v>61420</c:v>
                </c:pt>
                <c:pt idx="9">
                  <c:v>75875</c:v>
                </c:pt>
                <c:pt idx="10">
                  <c:v>88975</c:v>
                </c:pt>
              </c:numCache>
            </c:numRef>
          </c:val>
          <c:smooth val="0"/>
          <c:extLst>
            <c:ext xmlns:c16="http://schemas.microsoft.com/office/drawing/2014/chart" uri="{C3380CC4-5D6E-409C-BE32-E72D297353CC}">
              <c16:uniqueId val="{00000000-2EB6-4E38-BE0E-EE93DED3D507}"/>
            </c:ext>
          </c:extLst>
        </c:ser>
        <c:ser>
          <c:idx val="1"/>
          <c:order val="1"/>
          <c:tx>
            <c:strRef>
              <c:f>'Propylene(f)'!$C$1</c:f>
              <c:strCache>
                <c:ptCount val="1"/>
                <c:pt idx="0">
                  <c:v>Forecast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'Propylene(f)'!$A$2:$A$37</c:f>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f>'Propylene(f)'!$C$2:$C$37</c:f>
              <c:numCache>
                <c:formatCode>General</c:formatCode>
                <c:ptCount val="36"/>
                <c:pt idx="10">
                  <c:v>88975</c:v>
                </c:pt>
                <c:pt idx="11">
                  <c:v>91037.200763139132</c:v>
                </c:pt>
                <c:pt idx="12">
                  <c:v>94205.878078206209</c:v>
                </c:pt>
                <c:pt idx="13">
                  <c:v>97374.555393273273</c:v>
                </c:pt>
                <c:pt idx="14">
                  <c:v>100543.23270834035</c:v>
                </c:pt>
                <c:pt idx="15">
                  <c:v>103711.91002340743</c:v>
                </c:pt>
                <c:pt idx="16">
                  <c:v>106880.58733847451</c:v>
                </c:pt>
                <c:pt idx="17">
                  <c:v>110049.26465354158</c:v>
                </c:pt>
                <c:pt idx="18">
                  <c:v>113217.94196860865</c:v>
                </c:pt>
                <c:pt idx="19">
                  <c:v>116386.61928367573</c:v>
                </c:pt>
                <c:pt idx="20">
                  <c:v>119555.2965987428</c:v>
                </c:pt>
                <c:pt idx="21">
                  <c:v>122723.97391380988</c:v>
                </c:pt>
                <c:pt idx="22">
                  <c:v>125892.65122887696</c:v>
                </c:pt>
                <c:pt idx="23">
                  <c:v>129061.32854394402</c:v>
                </c:pt>
                <c:pt idx="24">
                  <c:v>132230.00585901111</c:v>
                </c:pt>
                <c:pt idx="25">
                  <c:v>135398.68317407818</c:v>
                </c:pt>
                <c:pt idx="26">
                  <c:v>138567.36048914527</c:v>
                </c:pt>
                <c:pt idx="27">
                  <c:v>141736.03780421233</c:v>
                </c:pt>
                <c:pt idx="28">
                  <c:v>144904.7151192794</c:v>
                </c:pt>
                <c:pt idx="29">
                  <c:v>148073.39243434649</c:v>
                </c:pt>
                <c:pt idx="30">
                  <c:v>151242.06974941355</c:v>
                </c:pt>
                <c:pt idx="31">
                  <c:v>154410.74706448062</c:v>
                </c:pt>
                <c:pt idx="32">
                  <c:v>157579.42437954771</c:v>
                </c:pt>
                <c:pt idx="33">
                  <c:v>160748.1016946148</c:v>
                </c:pt>
                <c:pt idx="34">
                  <c:v>163916.77900968186</c:v>
                </c:pt>
                <c:pt idx="35">
                  <c:v>167085.45632474893</c:v>
                </c:pt>
              </c:numCache>
            </c:numRef>
          </c:val>
          <c:smooth val="0"/>
          <c:extLst>
            <c:ext xmlns:c16="http://schemas.microsoft.com/office/drawing/2014/chart" uri="{C3380CC4-5D6E-409C-BE32-E72D297353CC}">
              <c16:uniqueId val="{00000001-2EB6-4E38-BE0E-EE93DED3D507}"/>
            </c:ext>
          </c:extLst>
        </c:ser>
        <c:dLbls>
          <c:showLegendKey val="0"/>
          <c:showVal val="0"/>
          <c:showCatName val="0"/>
          <c:showSerName val="0"/>
          <c:showPercent val="0"/>
          <c:showBubbleSize val="0"/>
        </c:dLbls>
        <c:smooth val="0"/>
        <c:axId val="2101339855"/>
        <c:axId val="2101343215"/>
        <c:extLst>
          <c:ext xmlns:c15="http://schemas.microsoft.com/office/drawing/2012/chart" uri="{02D57815-91ED-43cb-92C2-25804820EDAC}">
            <c15:filteredLineSeries>
              <c15:ser>
                <c:idx val="2"/>
                <c:order val="2"/>
                <c:tx>
                  <c:strRef>
                    <c:extLst>
                      <c:ext uri="{02D57815-91ED-43cb-92C2-25804820EDAC}">
                        <c15:formulaRef>
                          <c15:sqref>'Propylene F'!#REF!</c15:sqref>
                        </c15:formulaRef>
                      </c:ext>
                    </c:extLst>
                    <c:strCache>
                      <c:ptCount val="1"/>
                      <c:pt idx="0">
                        <c:v>#REF!</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uri="{02D57815-91ED-43cb-92C2-25804820EDAC}">
                        <c15:formulaRef>
                          <c15:sqref>'Propylene(f)'!$A$2:$A$37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c:ext uri="{02D57815-91ED-43cb-92C2-25804820EDAC}">
                        <c15:formulaRef>
                          <c15:sqref>'Propylene F'!#REF!</c15:sqref>
                        </c15:formulaRef>
                      </c:ext>
                    </c:extLst>
                    <c:numCache>
                      <c:formatCode>General</c:formatCode>
                      <c:ptCount val="1"/>
                      <c:pt idx="0">
                        <c:v>1</c:v>
                      </c:pt>
                    </c:numCache>
                  </c:numRef>
                </c:val>
                <c:smooth val="0"/>
                <c:extLst>
                  <c:ext xmlns:c16="http://schemas.microsoft.com/office/drawing/2014/chart" uri="{C3380CC4-5D6E-409C-BE32-E72D297353CC}">
                    <c16:uniqueId val="{00000002-2EB6-4E38-BE0E-EE93DED3D50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'Propylene F'!#REF!</c15:sqref>
                        </c15:formulaRef>
                      </c:ext>
                    </c:extLst>
                    <c:strCache>
                      <c:ptCount val="1"/>
                      <c:pt idx="0">
                        <c:v>#REF!</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extLst xmlns:c15="http://schemas.microsoft.com/office/drawing/2012/chart">
                      <c:ext xmlns:c15="http://schemas.microsoft.com/office/drawing/2012/chart" uri="{02D57815-91ED-43cb-92C2-25804820EDAC}">
                        <c15:formulaRef>
                          <c15:sqref>'Propylene(f)'!$A$2:$A$37</c15:sqref>
                        </c15:formulaRef>
                      </c:ext>
                    </c:extLst>
                    <c:numCache>
                      <c:formatCode>General</c:formatCode>
                      <c:ptCount val="36"/>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pt idx="13">
                        <c:v>2026</c:v>
                      </c:pt>
                      <c:pt idx="14">
                        <c:v>2027</c:v>
                      </c:pt>
                      <c:pt idx="15">
                        <c:v>2028</c:v>
                      </c:pt>
                      <c:pt idx="16">
                        <c:v>2029</c:v>
                      </c:pt>
                      <c:pt idx="17">
                        <c:v>2030</c:v>
                      </c:pt>
                      <c:pt idx="18">
                        <c:v>2031</c:v>
                      </c:pt>
                      <c:pt idx="19">
                        <c:v>2032</c:v>
                      </c:pt>
                      <c:pt idx="20">
                        <c:v>2033</c:v>
                      </c:pt>
                      <c:pt idx="21">
                        <c:v>2034</c:v>
                      </c:pt>
                      <c:pt idx="22">
                        <c:v>2035</c:v>
                      </c:pt>
                      <c:pt idx="23">
                        <c:v>2036</c:v>
                      </c:pt>
                      <c:pt idx="24">
                        <c:v>2037</c:v>
                      </c:pt>
                      <c:pt idx="25">
                        <c:v>2038</c:v>
                      </c:pt>
                      <c:pt idx="26">
                        <c:v>2039</c:v>
                      </c:pt>
                      <c:pt idx="27">
                        <c:v>2040</c:v>
                      </c:pt>
                      <c:pt idx="28">
                        <c:v>2041</c:v>
                      </c:pt>
                      <c:pt idx="29">
                        <c:v>2042</c:v>
                      </c:pt>
                      <c:pt idx="30">
                        <c:v>2043</c:v>
                      </c:pt>
                      <c:pt idx="31">
                        <c:v>2044</c:v>
                      </c:pt>
                      <c:pt idx="32">
                        <c:v>2045</c:v>
                      </c:pt>
                      <c:pt idx="33">
                        <c:v>2046</c:v>
                      </c:pt>
                      <c:pt idx="34">
                        <c:v>2047</c:v>
                      </c:pt>
                      <c:pt idx="35">
                        <c:v>2048</c:v>
                      </c:pt>
                    </c:numCache>
                  </c:numRef>
                </c:cat>
                <c:val>
                  <c:numRef>
                    <c:extLst xmlns:c15="http://schemas.microsoft.com/office/drawing/2012/chart">
                      <c:ext xmlns:c15="http://schemas.microsoft.com/office/drawing/2012/chart" uri="{02D57815-91ED-43cb-92C2-25804820EDAC}">
                        <c15:formulaRef>
                          <c15:sqref>'Propylene F'!#REF!</c15:sqref>
                        </c15:formulaRef>
                      </c:ext>
                    </c:extLst>
                    <c:numCache>
                      <c:formatCode>General</c:formatCode>
                      <c:ptCount val="1"/>
                      <c:pt idx="0">
                        <c:v>1</c:v>
                      </c:pt>
                    </c:numCache>
                  </c:numRef>
                </c:val>
                <c:smooth val="0"/>
                <c:extLst xmlns:c15="http://schemas.microsoft.com/office/drawing/2012/chart">
                  <c:ext xmlns:c16="http://schemas.microsoft.com/office/drawing/2014/chart" uri="{C3380CC4-5D6E-409C-BE32-E72D297353CC}">
                    <c16:uniqueId val="{00000003-2EB6-4E38-BE0E-EE93DED3D507}"/>
                  </c:ext>
                </c:extLst>
              </c15:ser>
            </c15:filteredLineSeries>
          </c:ext>
        </c:extLst>
      </c:lineChart>
      <c:catAx>
        <c:axId val="2101339855"/>
        <c:scaling>
          <c:orientation val="minMax"/>
        </c:scaling>
        <c:delete val="0"/>
        <c:axPos val="b"/>
        <c:majorTickMark val="none"/>
        <c:minorTickMark val="none"/>
        <c:tickLblPos val="low"/>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01343215"/>
        <c:crosses val="autoZero"/>
        <c:auto val="1"/>
        <c:lblAlgn val="ctr"/>
        <c:lblOffset val="100"/>
        <c:noMultiLvlLbl val="0"/>
      </c:catAx>
      <c:valAx>
        <c:axId val="2101343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10133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8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702470</xdr:colOff>
      <xdr:row>23</xdr:row>
      <xdr:rowOff>147637</xdr:rowOff>
    </xdr:from>
    <xdr:to>
      <xdr:col>11</xdr:col>
      <xdr:colOff>452439</xdr:colOff>
      <xdr:row>35</xdr:row>
      <xdr:rowOff>128587</xdr:rowOff>
    </xdr:to>
    <xdr:sp macro="" textlink="">
      <xdr:nvSpPr>
        <xdr:cNvPr id="3" name="TextBox 2">
          <a:extLst>
            <a:ext uri="{FF2B5EF4-FFF2-40B4-BE49-F238E27FC236}">
              <a16:creationId xmlns:a16="http://schemas.microsoft.com/office/drawing/2014/main" id="{1A4E3E6A-B436-45A2-BD63-4543E09E03B8}"/>
            </a:ext>
          </a:extLst>
        </xdr:cNvPr>
        <xdr:cNvSpPr txBox="1"/>
      </xdr:nvSpPr>
      <xdr:spPr>
        <a:xfrm>
          <a:off x="8465345" y="3790950"/>
          <a:ext cx="5715000" cy="22669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0" i="0" u="none" strike="noStrike">
              <a:solidFill>
                <a:schemeClr val="dk1"/>
              </a:solidFill>
              <a:effectLst/>
              <a:latin typeface="Arial" panose="020B0604020202020204" pitchFamily="34" charset="0"/>
              <a:ea typeface="+mn-ea"/>
              <a:cs typeface="Arial" panose="020B0604020202020204" pitchFamily="34" charset="0"/>
            </a:rPr>
            <a:t>Glacial Acrylic Acid price is higher than the Ester Acrylic Acid. On overall India Basis</a:t>
          </a:r>
          <a:r>
            <a:rPr lang="en-IN" sz="1000">
              <a:latin typeface="Arial" panose="020B0604020202020204" pitchFamily="34" charset="0"/>
              <a:cs typeface="Arial" panose="020B0604020202020204" pitchFamily="34" charset="0"/>
            </a:rPr>
            <a:t> But Situation from Port and Sorucing</a:t>
          </a:r>
          <a:r>
            <a:rPr lang="en-IN" sz="1000" baseline="0">
              <a:latin typeface="Arial" panose="020B0604020202020204" pitchFamily="34" charset="0"/>
              <a:cs typeface="Arial" panose="020B0604020202020204" pitchFamily="34" charset="0"/>
            </a:rPr>
            <a:t> Countries also play as important factors </a:t>
          </a:r>
          <a:endParaRPr lang="en-IN" sz="1000">
            <a:latin typeface="Arial" panose="020B0604020202020204" pitchFamily="34" charset="0"/>
            <a:cs typeface="Arial" panose="020B0604020202020204" pitchFamily="34" charset="0"/>
          </a:endParaRPr>
        </a:p>
        <a:p>
          <a:endParaRPr lang="en-IN" sz="1000" b="0" i="0" u="none" strike="noStrike">
            <a:solidFill>
              <a:schemeClr val="dk1"/>
            </a:solidFill>
            <a:effectLst/>
            <a:latin typeface="Arial" panose="020B0604020202020204" pitchFamily="34" charset="0"/>
            <a:ea typeface="+mn-ea"/>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Approximately, 60% of EAA grade is imported in India as compared to GAA grade (40%).</a:t>
          </a:r>
          <a:endParaRPr lang="en-IN" sz="1000">
            <a:latin typeface="Arial" panose="020B0604020202020204" pitchFamily="34" charset="0"/>
            <a:cs typeface="Arial" panose="020B0604020202020204" pitchFamily="34" charset="0"/>
          </a:endParaRPr>
        </a:p>
        <a:p>
          <a:endParaRPr lang="en-IN" sz="1000" b="0" i="0" u="none" strike="noStrike">
            <a:solidFill>
              <a:schemeClr val="dk1"/>
            </a:solidFill>
            <a:effectLst/>
            <a:latin typeface="Arial" panose="020B0604020202020204" pitchFamily="34" charset="0"/>
            <a:ea typeface="+mn-ea"/>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JNPT and Vizag Sea (75%) are the major ports for the trade of Acrylic Acid (Both the Grades). </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For EAA grade, China (41%) and South Korea (37%) are the major supliers to JNPT Port whereas Indonesia to Vizag Sea Pprt.</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For GAA grade, Malaysia (46%) and Russia (26%) are the major supliers to JNPT Port whereas China is the sole supplier to Vizag Sea Port .</a:t>
          </a:r>
          <a:r>
            <a:rPr lang="en-IN" sz="1000">
              <a:latin typeface="Arial" panose="020B0604020202020204" pitchFamily="34" charset="0"/>
              <a:cs typeface="Arial" panose="020B0604020202020204" pitchFamily="34" charset="0"/>
            </a:rPr>
            <a:t> </a:t>
          </a:r>
        </a:p>
        <a:p>
          <a:endParaRPr lang="en-IN" sz="1000">
            <a:latin typeface="Arial" panose="020B0604020202020204" pitchFamily="34" charset="0"/>
            <a:cs typeface="Arial" panose="020B0604020202020204" pitchFamily="34" charset="0"/>
          </a:endParaRPr>
        </a:p>
        <a:p>
          <a:r>
            <a:rPr lang="en-IN" sz="1000" b="0" i="0" u="none" strike="noStrike">
              <a:solidFill>
                <a:schemeClr val="dk1"/>
              </a:solidFill>
              <a:effectLst/>
              <a:latin typeface="Arial" panose="020B0604020202020204" pitchFamily="34" charset="0"/>
              <a:ea typeface="+mn-ea"/>
              <a:cs typeface="Arial" panose="020B0604020202020204" pitchFamily="34" charset="0"/>
            </a:rPr>
            <a:t>The cells highlighted with red </a:t>
          </a:r>
          <a:r>
            <a:rPr lang="en-IN" sz="1000" b="1" i="0" u="none" strike="noStrike">
              <a:solidFill>
                <a:schemeClr val="dk1"/>
              </a:solidFill>
              <a:effectLst/>
              <a:latin typeface="Arial" panose="020B0604020202020204" pitchFamily="34" charset="0"/>
              <a:ea typeface="+mn-ea"/>
              <a:cs typeface="Arial" panose="020B0604020202020204" pitchFamily="34" charset="0"/>
            </a:rPr>
            <a:t>(F31, G31, H31, I31)</a:t>
          </a:r>
          <a:r>
            <a:rPr lang="en-IN" sz="1000" b="0" i="0" u="none" strike="noStrike">
              <a:solidFill>
                <a:schemeClr val="dk1"/>
              </a:solidFill>
              <a:effectLst/>
              <a:latin typeface="Arial" panose="020B0604020202020204" pitchFamily="34" charset="0"/>
              <a:ea typeface="+mn-ea"/>
              <a:cs typeface="Arial" panose="020B0604020202020204" pitchFamily="34" charset="0"/>
            </a:rPr>
            <a:t> has been observed with abnormal values due to shipment of 67 Tons of EAA grade from Germany for Research and Laboratory purposes.</a:t>
          </a:r>
          <a:r>
            <a:rPr lang="en-IN" sz="1000">
              <a:latin typeface="Arial" panose="020B0604020202020204" pitchFamily="34" charset="0"/>
              <a:cs typeface="Arial" panose="020B0604020202020204" pitchFamily="34" charset="0"/>
            </a:rPr>
            <a:t> </a:t>
          </a:r>
        </a:p>
      </xdr:txBody>
    </xdr:sp>
    <xdr:clientData/>
  </xdr:twoCellAnchor>
  <xdr:twoCellAnchor>
    <xdr:from>
      <xdr:col>0</xdr:col>
      <xdr:colOff>159543</xdr:colOff>
      <xdr:row>23</xdr:row>
      <xdr:rowOff>164305</xdr:rowOff>
    </xdr:from>
    <xdr:to>
      <xdr:col>7</xdr:col>
      <xdr:colOff>583405</xdr:colOff>
      <xdr:row>38</xdr:row>
      <xdr:rowOff>59530</xdr:rowOff>
    </xdr:to>
    <xdr:graphicFrame macro="">
      <xdr:nvGraphicFramePr>
        <xdr:cNvPr id="4" name="Chart 3">
          <a:extLst>
            <a:ext uri="{FF2B5EF4-FFF2-40B4-BE49-F238E27FC236}">
              <a16:creationId xmlns:a16="http://schemas.microsoft.com/office/drawing/2014/main" id="{44ED974F-4A94-D49A-15AF-71D8566F25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1676400</xdr:colOff>
      <xdr:row>0</xdr:row>
      <xdr:rowOff>76200</xdr:rowOff>
    </xdr:from>
    <xdr:to>
      <xdr:col>14</xdr:col>
      <xdr:colOff>114300</xdr:colOff>
      <xdr:row>16</xdr:row>
      <xdr:rowOff>23812</xdr:rowOff>
    </xdr:to>
    <xdr:graphicFrame macro="">
      <xdr:nvGraphicFramePr>
        <xdr:cNvPr id="2" name="Chart 1">
          <a:extLst>
            <a:ext uri="{FF2B5EF4-FFF2-40B4-BE49-F238E27FC236}">
              <a16:creationId xmlns:a16="http://schemas.microsoft.com/office/drawing/2014/main" id="{17678F23-1C3A-45F1-9467-5A137CCF1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523874</xdr:colOff>
      <xdr:row>0</xdr:row>
      <xdr:rowOff>42862</xdr:rowOff>
    </xdr:from>
    <xdr:to>
      <xdr:col>17</xdr:col>
      <xdr:colOff>114299</xdr:colOff>
      <xdr:row>15</xdr:row>
      <xdr:rowOff>119062</xdr:rowOff>
    </xdr:to>
    <xdr:graphicFrame macro="">
      <xdr:nvGraphicFramePr>
        <xdr:cNvPr id="2" name="Chart 1">
          <a:extLst>
            <a:ext uri="{FF2B5EF4-FFF2-40B4-BE49-F238E27FC236}">
              <a16:creationId xmlns:a16="http://schemas.microsoft.com/office/drawing/2014/main" id="{7D4B740F-4A8E-F163-081B-6E7DFE22BB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600075</xdr:colOff>
      <xdr:row>0</xdr:row>
      <xdr:rowOff>100012</xdr:rowOff>
    </xdr:from>
    <xdr:to>
      <xdr:col>16</xdr:col>
      <xdr:colOff>542925</xdr:colOff>
      <xdr:row>15</xdr:row>
      <xdr:rowOff>176212</xdr:rowOff>
    </xdr:to>
    <xdr:graphicFrame macro="">
      <xdr:nvGraphicFramePr>
        <xdr:cNvPr id="2" name="Chart 1">
          <a:extLst>
            <a:ext uri="{FF2B5EF4-FFF2-40B4-BE49-F238E27FC236}">
              <a16:creationId xmlns:a16="http://schemas.microsoft.com/office/drawing/2014/main" id="{24A6B140-792D-97CB-8C0D-E8CB651BC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71438</xdr:colOff>
      <xdr:row>17</xdr:row>
      <xdr:rowOff>107156</xdr:rowOff>
    </xdr:from>
    <xdr:to>
      <xdr:col>13</xdr:col>
      <xdr:colOff>440531</xdr:colOff>
      <xdr:row>31</xdr:row>
      <xdr:rowOff>16669</xdr:rowOff>
    </xdr:to>
    <xdr:graphicFrame macro="">
      <xdr:nvGraphicFramePr>
        <xdr:cNvPr id="8" name="Chart 7">
          <a:extLst>
            <a:ext uri="{FF2B5EF4-FFF2-40B4-BE49-F238E27FC236}">
              <a16:creationId xmlns:a16="http://schemas.microsoft.com/office/drawing/2014/main" id="{EB6E77F7-0042-41E7-8B42-1ACD9DD16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13</xdr:row>
      <xdr:rowOff>33337</xdr:rowOff>
    </xdr:from>
    <xdr:to>
      <xdr:col>3</xdr:col>
      <xdr:colOff>438150</xdr:colOff>
      <xdr:row>25</xdr:row>
      <xdr:rowOff>38100</xdr:rowOff>
    </xdr:to>
    <xdr:graphicFrame macro="">
      <xdr:nvGraphicFramePr>
        <xdr:cNvPr id="5" name="Chart 4">
          <a:extLst>
            <a:ext uri="{FF2B5EF4-FFF2-40B4-BE49-F238E27FC236}">
              <a16:creationId xmlns:a16="http://schemas.microsoft.com/office/drawing/2014/main" id="{B1B3C53D-2FB9-0250-E5BE-F795EBA6E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504825</xdr:colOff>
      <xdr:row>0</xdr:row>
      <xdr:rowOff>19050</xdr:rowOff>
    </xdr:from>
    <xdr:to>
      <xdr:col>15</xdr:col>
      <xdr:colOff>276225</xdr:colOff>
      <xdr:row>14</xdr:row>
      <xdr:rowOff>19050</xdr:rowOff>
    </xdr:to>
    <xdr:graphicFrame macro="">
      <xdr:nvGraphicFramePr>
        <xdr:cNvPr id="2" name="Chart 1">
          <a:extLst>
            <a:ext uri="{FF2B5EF4-FFF2-40B4-BE49-F238E27FC236}">
              <a16:creationId xmlns:a16="http://schemas.microsoft.com/office/drawing/2014/main" id="{ADC9296B-B0AB-9A2C-EEE4-FF17B0203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171450</xdr:colOff>
      <xdr:row>1</xdr:row>
      <xdr:rowOff>0</xdr:rowOff>
    </xdr:from>
    <xdr:to>
      <xdr:col>16</xdr:col>
      <xdr:colOff>571500</xdr:colOff>
      <xdr:row>14</xdr:row>
      <xdr:rowOff>47625</xdr:rowOff>
    </xdr:to>
    <xdr:graphicFrame macro="">
      <xdr:nvGraphicFramePr>
        <xdr:cNvPr id="2" name="Chart 1">
          <a:extLst>
            <a:ext uri="{FF2B5EF4-FFF2-40B4-BE49-F238E27FC236}">
              <a16:creationId xmlns:a16="http://schemas.microsoft.com/office/drawing/2014/main" id="{4BA2965D-97FA-4C87-B51A-E81DB3B86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447675</xdr:colOff>
      <xdr:row>1</xdr:row>
      <xdr:rowOff>0</xdr:rowOff>
    </xdr:from>
    <xdr:to>
      <xdr:col>16</xdr:col>
      <xdr:colOff>238125</xdr:colOff>
      <xdr:row>14</xdr:row>
      <xdr:rowOff>19050</xdr:rowOff>
    </xdr:to>
    <xdr:graphicFrame macro="">
      <xdr:nvGraphicFramePr>
        <xdr:cNvPr id="2" name="Chart 1">
          <a:extLst>
            <a:ext uri="{FF2B5EF4-FFF2-40B4-BE49-F238E27FC236}">
              <a16:creationId xmlns:a16="http://schemas.microsoft.com/office/drawing/2014/main" id="{9F3866C6-CCEC-45E6-6D0F-031D9A0347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238125</xdr:colOff>
      <xdr:row>9</xdr:row>
      <xdr:rowOff>180975</xdr:rowOff>
    </xdr:from>
    <xdr:to>
      <xdr:col>15</xdr:col>
      <xdr:colOff>238125</xdr:colOff>
      <xdr:row>20</xdr:row>
      <xdr:rowOff>19050</xdr:rowOff>
    </xdr:to>
    <xdr:graphicFrame macro="">
      <xdr:nvGraphicFramePr>
        <xdr:cNvPr id="2" name="Chart 1">
          <a:extLst>
            <a:ext uri="{FF2B5EF4-FFF2-40B4-BE49-F238E27FC236}">
              <a16:creationId xmlns:a16="http://schemas.microsoft.com/office/drawing/2014/main" id="{188A5D01-2C24-156F-75C5-B140012F1F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10</xdr:col>
      <xdr:colOff>451938</xdr:colOff>
      <xdr:row>22</xdr:row>
      <xdr:rowOff>142500</xdr:rowOff>
    </xdr:to>
    <xdr:pic>
      <xdr:nvPicPr>
        <xdr:cNvPr id="2" name="Picture 1">
          <a:extLst>
            <a:ext uri="{FF2B5EF4-FFF2-40B4-BE49-F238E27FC236}">
              <a16:creationId xmlns:a16="http://schemas.microsoft.com/office/drawing/2014/main" id="{B1A5C7EB-94C3-465B-ACAF-3E689DBD1013}"/>
            </a:ext>
          </a:extLst>
        </xdr:cNvPr>
        <xdr:cNvPicPr>
          <a:picLocks noChangeAspect="1"/>
        </xdr:cNvPicPr>
      </xdr:nvPicPr>
      <xdr:blipFill>
        <a:blip xmlns:r="http://schemas.openxmlformats.org/officeDocument/2006/relationships" r:embed="rId1"/>
        <a:stretch>
          <a:fillRect/>
        </a:stretch>
      </xdr:blipFill>
      <xdr:spPr>
        <a:xfrm>
          <a:off x="0" y="1333500"/>
          <a:ext cx="8233863" cy="30000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3</xdr:col>
      <xdr:colOff>1609725</xdr:colOff>
      <xdr:row>0</xdr:row>
      <xdr:rowOff>157162</xdr:rowOff>
    </xdr:from>
    <xdr:to>
      <xdr:col>14</xdr:col>
      <xdr:colOff>66675</xdr:colOff>
      <xdr:row>16</xdr:row>
      <xdr:rowOff>42862</xdr:rowOff>
    </xdr:to>
    <xdr:graphicFrame macro="">
      <xdr:nvGraphicFramePr>
        <xdr:cNvPr id="2" name="Chart 1">
          <a:extLst>
            <a:ext uri="{FF2B5EF4-FFF2-40B4-BE49-F238E27FC236}">
              <a16:creationId xmlns:a16="http://schemas.microsoft.com/office/drawing/2014/main" id="{EA06143A-2C81-4DD7-ABBE-2E66BBB96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C007/Downloads/T3%20Imort%20Melamine%20Jan'16%20to%20May'16%20-%20Additional%20Charts%20Requir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sv"/>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02D2E6-226D-4233-880D-FAC89751AF16}" name="Table1" displayName="Table1" ref="A1:C37" totalsRowShown="0">
  <autoFilter ref="A1:C37" xr:uid="{22068885-7FF5-4643-A6B1-33A97D33DBE1}"/>
  <tableColumns count="3">
    <tableColumn id="1" xr3:uid="{6E842A66-8E24-49B2-9270-C1BCA1C9865D}" name="Timeline"/>
    <tableColumn id="2" xr3:uid="{F053F8D7-4D04-4F25-88B8-7569D62C5624}" name="Values"/>
    <tableColumn id="3" xr3:uid="{4B88C695-C578-4EA9-AA3D-846E04D3D041}" name="Forecast">
      <calculatedColumnFormula>_xlfn.FORECAST.ETS(A2,$B$2:$B$12,$A$2:$A$12,1,1)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62AB59-8CF1-42F1-9B59-7E51085FFAED}" name="Table2" displayName="Table2" ref="A1:C37" totalsRowShown="0">
  <autoFilter ref="A1:C37" xr:uid="{F18F157A-E448-4332-8CE9-57D6F9FBAA3A}"/>
  <tableColumns count="3">
    <tableColumn id="1" xr3:uid="{9B55253A-4D58-45BC-9F19-7AA51FBD624E}" name="Timeline"/>
    <tableColumn id="2" xr3:uid="{22069F89-77A1-4AA7-9D08-EAA2FC311F1A}" name="Values"/>
    <tableColumn id="3" xr3:uid="{5EC3249E-5801-4AFD-97A7-D8FA8C1BFC63}" name="Forecast">
      <calculatedColumnFormula>_xlfn.FORECAST.ETS(A2,$B$2:$B$12,$A$2:$A$12,1,1)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C2681D-A79A-436B-850F-D16FDD5F11D7}" name="Table4" displayName="Table4" ref="A1:C37" totalsRowShown="0">
  <autoFilter ref="A1:C37" xr:uid="{FEC2681D-A79A-436B-850F-D16FDD5F11D7}"/>
  <tableColumns count="3">
    <tableColumn id="1" xr3:uid="{B91EB23B-68D2-4011-BFF2-549D70431878}" name="Timeline"/>
    <tableColumn id="2" xr3:uid="{F3B559B4-6BD6-4D8B-9E90-4F8D067CC6F7}" name="Values"/>
    <tableColumn id="3" xr3:uid="{FC6DE807-59DD-4F37-B7D8-8C9054120DE9}" name="Forecast">
      <calculatedColumnFormula>_xlfn.FORECAST.ETS(A2,$B$2:$B$12,$A$2:$A$12,1,1)</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6FB8092-0C93-437A-B260-4D6274711591}" name="Table3" displayName="Table3" ref="A1:C37" totalsRowShown="0">
  <autoFilter ref="A1:C37" xr:uid="{F6FB8092-0C93-437A-B260-4D6274711591}"/>
  <tableColumns count="3">
    <tableColumn id="1" xr3:uid="{E0C74DEB-70DB-47C0-BD81-94BC8E4355C0}" name="Timeline"/>
    <tableColumn id="2" xr3:uid="{1488A400-5E7D-4042-8551-95CAA2D8E2CC}" name="Values"/>
    <tableColumn id="3" xr3:uid="{4706EACB-EABA-4576-BDB0-BEE7CF4F4F99}" name="Forecast">
      <calculatedColumnFormula>_xlfn.FORECAST.ETS(A2,$B$2:$B$12,$A$2:$A$12,1,1)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0.xml"/></Relationships>
</file>

<file path=xl/worksheets/_rels/sheet1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615BE-2076-4A5A-BF7F-74BF599B222D}">
  <dimension ref="A1:K4"/>
  <sheetViews>
    <sheetView workbookViewId="0">
      <selection activeCell="F5" sqref="F5"/>
    </sheetView>
  </sheetViews>
  <sheetFormatPr defaultRowHeight="15" x14ac:dyDescent="0.25"/>
  <cols>
    <col min="1" max="1" width="15.7109375" bestFit="1" customWidth="1"/>
    <col min="2" max="2" width="13.42578125" bestFit="1" customWidth="1"/>
    <col min="6" max="6" width="11" bestFit="1" customWidth="1"/>
    <col min="10" max="10" width="11" bestFit="1" customWidth="1"/>
  </cols>
  <sheetData>
    <row r="1" spans="1:11" x14ac:dyDescent="0.25">
      <c r="B1" t="s">
        <v>80</v>
      </c>
      <c r="C1" t="s">
        <v>81</v>
      </c>
      <c r="F1" t="s">
        <v>220</v>
      </c>
    </row>
    <row r="2" spans="1:11" x14ac:dyDescent="0.25">
      <c r="A2" t="s">
        <v>219</v>
      </c>
      <c r="B2">
        <v>24322000</v>
      </c>
      <c r="C2">
        <v>21938</v>
      </c>
      <c r="D2">
        <f>B2/C2</f>
        <v>1108.6698878658037</v>
      </c>
      <c r="E2">
        <f>D2*79</f>
        <v>87584.921141398489</v>
      </c>
      <c r="F2">
        <f>E2-(E2*10.34%)</f>
        <v>78528.640295377889</v>
      </c>
    </row>
    <row r="3" spans="1:11" x14ac:dyDescent="0.25">
      <c r="A3" t="s">
        <v>221</v>
      </c>
      <c r="B3" s="108">
        <f>1205272*1000</f>
        <v>1205272000</v>
      </c>
      <c r="C3" s="108">
        <v>1268218</v>
      </c>
      <c r="D3">
        <f>B3/C3</f>
        <v>950.36657735499728</v>
      </c>
      <c r="E3">
        <f>D3*79</f>
        <v>75078.959611044789</v>
      </c>
      <c r="F3">
        <f>E3-(E3*9.47%)</f>
        <v>67968.982135878847</v>
      </c>
      <c r="I3" s="108">
        <v>1338332</v>
      </c>
      <c r="J3">
        <f>I3*1000</f>
        <v>1338332000</v>
      </c>
      <c r="K3" s="108">
        <v>1320571</v>
      </c>
    </row>
    <row r="4" spans="1:11" x14ac:dyDescent="0.25">
      <c r="A4" t="s">
        <v>20</v>
      </c>
      <c r="B4" s="108">
        <f>109088*1000</f>
        <v>109088000</v>
      </c>
      <c r="C4" s="108">
        <v>99684</v>
      </c>
      <c r="D4">
        <f>B4/C4</f>
        <v>1094.3381084226155</v>
      </c>
      <c r="E4">
        <f>D4*79</f>
        <v>86452.710565386631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B175-0EB2-4B5E-8EEB-2057AD1D117D}">
  <dimension ref="A1:I68"/>
  <sheetViews>
    <sheetView showGridLines="0" workbookViewId="0">
      <selection activeCell="K24" sqref="K24"/>
    </sheetView>
  </sheetViews>
  <sheetFormatPr defaultRowHeight="12.75" x14ac:dyDescent="0.2"/>
  <cols>
    <col min="1" max="1" width="18.140625" style="61" bestFit="1" customWidth="1"/>
    <col min="2" max="2" width="15.42578125" style="61" bestFit="1" customWidth="1"/>
    <col min="3" max="3" width="14.7109375" style="61" bestFit="1" customWidth="1"/>
    <col min="4" max="4" width="12.42578125" style="61" bestFit="1" customWidth="1"/>
    <col min="5" max="5" width="9.28515625" style="61" bestFit="1" customWidth="1"/>
    <col min="6" max="6" width="13.5703125" style="61" bestFit="1" customWidth="1"/>
    <col min="7" max="7" width="12.140625" style="61" bestFit="1" customWidth="1"/>
    <col min="8" max="8" width="12.85546875" style="61" bestFit="1" customWidth="1"/>
    <col min="9" max="9" width="12.7109375" style="61" bestFit="1" customWidth="1"/>
    <col min="10" max="16384" width="9.140625" style="61"/>
  </cols>
  <sheetData>
    <row r="1" spans="1:9" x14ac:dyDescent="0.2">
      <c r="A1" s="61" t="s">
        <v>101</v>
      </c>
    </row>
    <row r="2" spans="1:9" ht="13.5" thickBot="1" x14ac:dyDescent="0.25"/>
    <row r="3" spans="1:9" x14ac:dyDescent="0.2">
      <c r="A3" s="90" t="s">
        <v>102</v>
      </c>
      <c r="B3" s="90"/>
    </row>
    <row r="4" spans="1:9" x14ac:dyDescent="0.2">
      <c r="A4" s="61" t="s">
        <v>103</v>
      </c>
      <c r="B4" s="61">
        <v>0.72919977151113746</v>
      </c>
    </row>
    <row r="5" spans="1:9" x14ac:dyDescent="0.2">
      <c r="A5" s="61" t="s">
        <v>104</v>
      </c>
      <c r="B5" s="61">
        <v>0.53173230677189509</v>
      </c>
    </row>
    <row r="6" spans="1:9" x14ac:dyDescent="0.2">
      <c r="A6" s="61" t="s">
        <v>105</v>
      </c>
      <c r="B6" s="61">
        <v>0.47319884511838195</v>
      </c>
    </row>
    <row r="7" spans="1:9" x14ac:dyDescent="0.2">
      <c r="A7" s="61" t="s">
        <v>106</v>
      </c>
      <c r="B7" s="61">
        <v>11436.784691519442</v>
      </c>
    </row>
    <row r="8" spans="1:9" ht="13.5" thickBot="1" x14ac:dyDescent="0.25">
      <c r="A8" s="91" t="s">
        <v>107</v>
      </c>
      <c r="B8" s="91">
        <v>10</v>
      </c>
    </row>
    <row r="10" spans="1:9" ht="13.5" thickBot="1" x14ac:dyDescent="0.25">
      <c r="A10" s="61" t="s">
        <v>108</v>
      </c>
    </row>
    <row r="11" spans="1:9" x14ac:dyDescent="0.2">
      <c r="A11" s="92"/>
      <c r="B11" s="92" t="s">
        <v>113</v>
      </c>
      <c r="C11" s="92" t="s">
        <v>114</v>
      </c>
      <c r="D11" s="92" t="s">
        <v>115</v>
      </c>
      <c r="E11" s="92" t="s">
        <v>116</v>
      </c>
      <c r="F11" s="92" t="s">
        <v>117</v>
      </c>
    </row>
    <row r="12" spans="1:9" x14ac:dyDescent="0.2">
      <c r="A12" s="61" t="s">
        <v>109</v>
      </c>
      <c r="B12" s="61">
        <v>1</v>
      </c>
      <c r="C12" s="61">
        <v>1188219647.3586123</v>
      </c>
      <c r="D12" s="61">
        <v>1188219647.3586123</v>
      </c>
      <c r="E12" s="61">
        <v>9.0842450070605238</v>
      </c>
      <c r="F12" s="61">
        <v>1.6711230186270954E-2</v>
      </c>
    </row>
    <row r="13" spans="1:9" x14ac:dyDescent="0.2">
      <c r="A13" s="61" t="s">
        <v>110</v>
      </c>
      <c r="B13" s="61">
        <v>8</v>
      </c>
      <c r="C13" s="61">
        <v>1046400352.6413877</v>
      </c>
      <c r="D13" s="61">
        <v>130800044.08017346</v>
      </c>
    </row>
    <row r="14" spans="1:9" ht="13.5" thickBot="1" x14ac:dyDescent="0.25">
      <c r="A14" s="91" t="s">
        <v>111</v>
      </c>
      <c r="B14" s="91">
        <v>9</v>
      </c>
      <c r="C14" s="91">
        <v>2234620000</v>
      </c>
      <c r="D14" s="91"/>
      <c r="E14" s="91"/>
      <c r="F14" s="91"/>
    </row>
    <row r="15" spans="1:9" ht="13.5" thickBot="1" x14ac:dyDescent="0.25"/>
    <row r="16" spans="1:9" x14ac:dyDescent="0.2">
      <c r="A16" s="92"/>
      <c r="B16" s="92" t="s">
        <v>118</v>
      </c>
      <c r="C16" s="92" t="s">
        <v>106</v>
      </c>
      <c r="D16" s="92" t="s">
        <v>119</v>
      </c>
      <c r="E16" s="92" t="s">
        <v>120</v>
      </c>
      <c r="F16" s="92" t="s">
        <v>121</v>
      </c>
      <c r="G16" s="92" t="s">
        <v>122</v>
      </c>
      <c r="H16" s="92" t="s">
        <v>123</v>
      </c>
      <c r="I16" s="92" t="s">
        <v>124</v>
      </c>
    </row>
    <row r="17" spans="1:9" x14ac:dyDescent="0.2">
      <c r="A17" s="61" t="s">
        <v>112</v>
      </c>
      <c r="B17" s="61">
        <v>23438.076764874779</v>
      </c>
      <c r="C17" s="61">
        <v>12313.768578759644</v>
      </c>
      <c r="D17" s="61">
        <v>1.9034040322394687</v>
      </c>
      <c r="E17" s="61">
        <v>9.3476459028600078E-2</v>
      </c>
      <c r="F17" s="61">
        <v>-4957.5244976920985</v>
      </c>
      <c r="G17" s="61">
        <v>51833.678027441652</v>
      </c>
      <c r="H17" s="61">
        <v>-4957.5244976920985</v>
      </c>
      <c r="I17" s="61">
        <v>51833.678027441652</v>
      </c>
    </row>
    <row r="18" spans="1:9" ht="13.5" thickBot="1" x14ac:dyDescent="0.25">
      <c r="A18" s="91">
        <v>45878.311961739128</v>
      </c>
      <c r="B18" s="91">
        <v>1.0093526027304094</v>
      </c>
      <c r="C18" s="91">
        <v>0.33488715332903712</v>
      </c>
      <c r="D18" s="91">
        <v>3.014008129892904</v>
      </c>
      <c r="E18" s="91">
        <v>1.6711230186270961E-2</v>
      </c>
      <c r="F18" s="91">
        <v>0.23710144232689778</v>
      </c>
      <c r="G18" s="91">
        <v>1.781603763133921</v>
      </c>
      <c r="H18" s="91">
        <v>0.23710144232689778</v>
      </c>
      <c r="I18" s="91">
        <v>1.781603763133921</v>
      </c>
    </row>
    <row r="22" spans="1:9" x14ac:dyDescent="0.2">
      <c r="A22" s="61" t="s">
        <v>125</v>
      </c>
      <c r="E22" s="61" t="s">
        <v>128</v>
      </c>
    </row>
    <row r="23" spans="1:9" ht="13.5" thickBot="1" x14ac:dyDescent="0.25"/>
    <row r="24" spans="1:9" x14ac:dyDescent="0.2">
      <c r="A24" s="92" t="s">
        <v>126</v>
      </c>
      <c r="B24" s="92" t="s">
        <v>193</v>
      </c>
      <c r="C24" s="92" t="s">
        <v>127</v>
      </c>
      <c r="E24" s="92" t="s">
        <v>129</v>
      </c>
      <c r="F24" s="92">
        <v>56350</v>
      </c>
    </row>
    <row r="25" spans="1:9" x14ac:dyDescent="0.2">
      <c r="A25" s="61">
        <v>1</v>
      </c>
      <c r="B25" s="61">
        <v>70534.665683879706</v>
      </c>
      <c r="C25" s="61">
        <v>-11954.665683879706</v>
      </c>
      <c r="E25" s="61">
        <v>5</v>
      </c>
      <c r="F25" s="61">
        <v>34790</v>
      </c>
    </row>
    <row r="26" spans="1:9" x14ac:dyDescent="0.2">
      <c r="A26" s="61">
        <v>2</v>
      </c>
      <c r="B26" s="61">
        <v>62943.452205162663</v>
      </c>
      <c r="C26" s="61">
        <v>-18463.452205162663</v>
      </c>
      <c r="E26" s="61">
        <v>15</v>
      </c>
      <c r="F26" s="61">
        <v>43640</v>
      </c>
    </row>
    <row r="27" spans="1:9" x14ac:dyDescent="0.2">
      <c r="A27" s="61">
        <v>3</v>
      </c>
      <c r="B27" s="61">
        <v>46130.309622029061</v>
      </c>
      <c r="C27" s="61">
        <v>-11340.309622029061</v>
      </c>
      <c r="E27" s="61">
        <v>25</v>
      </c>
      <c r="F27" s="61">
        <v>44480</v>
      </c>
    </row>
    <row r="28" spans="1:9" x14ac:dyDescent="0.2">
      <c r="A28" s="61">
        <v>4</v>
      </c>
      <c r="B28" s="61">
        <v>46093.90047780551</v>
      </c>
      <c r="C28" s="61">
        <v>-2453.9004778055096</v>
      </c>
      <c r="E28" s="61">
        <v>35</v>
      </c>
      <c r="F28" s="61">
        <v>58470</v>
      </c>
    </row>
    <row r="29" spans="1:9" x14ac:dyDescent="0.2">
      <c r="A29" s="61">
        <v>5</v>
      </c>
      <c r="B29" s="61">
        <v>51689.274252268064</v>
      </c>
      <c r="C29" s="61">
        <v>9520.7257477319363</v>
      </c>
      <c r="E29" s="61">
        <v>45</v>
      </c>
      <c r="F29" s="61">
        <v>58580</v>
      </c>
    </row>
    <row r="30" spans="1:9" x14ac:dyDescent="0.2">
      <c r="A30" s="61">
        <v>6</v>
      </c>
      <c r="B30" s="61">
        <v>59434.367936268121</v>
      </c>
      <c r="C30" s="61">
        <v>2275.6320637318786</v>
      </c>
      <c r="E30" s="61">
        <v>55</v>
      </c>
      <c r="F30" s="61">
        <v>61210</v>
      </c>
    </row>
    <row r="31" spans="1:9" x14ac:dyDescent="0.2">
      <c r="A31" s="61">
        <v>7</v>
      </c>
      <c r="B31" s="61">
        <v>56215.198656048044</v>
      </c>
      <c r="C31" s="61">
        <v>2254.8013439519564</v>
      </c>
      <c r="E31" s="61">
        <v>65</v>
      </c>
      <c r="F31" s="61">
        <v>61420</v>
      </c>
    </row>
    <row r="32" spans="1:9" x14ac:dyDescent="0.2">
      <c r="A32" s="61">
        <v>8</v>
      </c>
      <c r="B32" s="61">
        <v>47678.694100494773</v>
      </c>
      <c r="C32" s="61">
        <v>13741.305899505227</v>
      </c>
      <c r="E32" s="61">
        <v>75</v>
      </c>
      <c r="F32" s="61">
        <v>61710</v>
      </c>
    </row>
    <row r="33" spans="1:6" x14ac:dyDescent="0.2">
      <c r="A33" s="61">
        <v>9</v>
      </c>
      <c r="B33" s="61">
        <v>68974.021827613731</v>
      </c>
      <c r="C33" s="61">
        <v>6900.9781723862689</v>
      </c>
      <c r="E33" s="61">
        <v>85</v>
      </c>
      <c r="F33" s="61">
        <v>75875</v>
      </c>
    </row>
    <row r="34" spans="1:6" ht="13.5" thickBot="1" x14ac:dyDescent="0.25">
      <c r="A34" s="91">
        <v>10</v>
      </c>
      <c r="B34" s="91">
        <v>79456.115238430255</v>
      </c>
      <c r="C34" s="91">
        <v>9518.884761569745</v>
      </c>
      <c r="E34" s="91">
        <v>95</v>
      </c>
      <c r="F34" s="91">
        <v>88975</v>
      </c>
    </row>
    <row r="36" spans="1:6" x14ac:dyDescent="0.2">
      <c r="A36" s="77" t="s">
        <v>138</v>
      </c>
    </row>
    <row r="37" spans="1:6" x14ac:dyDescent="0.2">
      <c r="A37" s="77" t="s">
        <v>151</v>
      </c>
    </row>
    <row r="38" spans="1:6" x14ac:dyDescent="0.2">
      <c r="A38" s="77" t="s">
        <v>140</v>
      </c>
    </row>
    <row r="39" spans="1:6" x14ac:dyDescent="0.2">
      <c r="A39" s="80" t="s">
        <v>141</v>
      </c>
    </row>
    <row r="40" spans="1:6" x14ac:dyDescent="0.2">
      <c r="A40" s="77" t="s">
        <v>143</v>
      </c>
    </row>
    <row r="41" spans="1:6" x14ac:dyDescent="0.2">
      <c r="A41" s="77" t="s">
        <v>144</v>
      </c>
    </row>
    <row r="42" spans="1:6" x14ac:dyDescent="0.2">
      <c r="A42" s="77" t="s">
        <v>145</v>
      </c>
    </row>
    <row r="43" spans="1:6" x14ac:dyDescent="0.2">
      <c r="A43" s="77" t="s">
        <v>146</v>
      </c>
    </row>
    <row r="44" spans="1:6" x14ac:dyDescent="0.2">
      <c r="A44" s="77" t="s">
        <v>148</v>
      </c>
    </row>
    <row r="45" spans="1:6" x14ac:dyDescent="0.2">
      <c r="A45" s="77" t="s">
        <v>147</v>
      </c>
    </row>
    <row r="46" spans="1:6" x14ac:dyDescent="0.2">
      <c r="A46" s="80" t="s">
        <v>142</v>
      </c>
    </row>
    <row r="47" spans="1:6" x14ac:dyDescent="0.2">
      <c r="A47" s="77" t="s">
        <v>149</v>
      </c>
    </row>
    <row r="48" spans="1:6" x14ac:dyDescent="0.2">
      <c r="A48" s="77" t="s">
        <v>150</v>
      </c>
    </row>
    <row r="50" spans="1:1" x14ac:dyDescent="0.2">
      <c r="A50" s="80" t="s">
        <v>102</v>
      </c>
    </row>
    <row r="51" spans="1:1" x14ac:dyDescent="0.2">
      <c r="A51" s="80" t="s">
        <v>155</v>
      </c>
    </row>
    <row r="52" spans="1:1" x14ac:dyDescent="0.2">
      <c r="A52" s="77" t="s">
        <v>153</v>
      </c>
    </row>
    <row r="53" spans="1:1" x14ac:dyDescent="0.2">
      <c r="A53" s="77" t="s">
        <v>152</v>
      </c>
    </row>
    <row r="54" spans="1:1" x14ac:dyDescent="0.2">
      <c r="A54" s="77" t="s">
        <v>154</v>
      </c>
    </row>
    <row r="55" spans="1:1" x14ac:dyDescent="0.2">
      <c r="A55" s="80" t="s">
        <v>196</v>
      </c>
    </row>
    <row r="57" spans="1:1" x14ac:dyDescent="0.2">
      <c r="A57" s="80" t="s">
        <v>156</v>
      </c>
    </row>
    <row r="58" spans="1:1" x14ac:dyDescent="0.2">
      <c r="A58" s="77" t="s">
        <v>157</v>
      </c>
    </row>
    <row r="59" spans="1:1" x14ac:dyDescent="0.2">
      <c r="A59" s="77" t="s">
        <v>158</v>
      </c>
    </row>
    <row r="60" spans="1:1" x14ac:dyDescent="0.2">
      <c r="A60" s="77" t="s">
        <v>159</v>
      </c>
    </row>
    <row r="62" spans="1:1" x14ac:dyDescent="0.2">
      <c r="A62" s="80" t="s">
        <v>160</v>
      </c>
    </row>
    <row r="63" spans="1:1" x14ac:dyDescent="0.2">
      <c r="A63" s="77" t="s">
        <v>161</v>
      </c>
    </row>
    <row r="65" spans="1:1" x14ac:dyDescent="0.2">
      <c r="A65" s="80" t="s">
        <v>162</v>
      </c>
    </row>
    <row r="66" spans="1:1" x14ac:dyDescent="0.2">
      <c r="A66" s="77" t="s">
        <v>164</v>
      </c>
    </row>
    <row r="67" spans="1:1" x14ac:dyDescent="0.2">
      <c r="A67" s="77" t="s">
        <v>163</v>
      </c>
    </row>
    <row r="68" spans="1:1" x14ac:dyDescent="0.2">
      <c r="A68" s="77" t="s">
        <v>165</v>
      </c>
    </row>
  </sheetData>
  <sortState xmlns:xlrd2="http://schemas.microsoft.com/office/spreadsheetml/2017/richdata2" ref="F25:F34">
    <sortCondition ref="F25"/>
  </sortState>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944E9-4754-4D36-979D-11F3D22F9ED5}">
  <dimension ref="A1:I68"/>
  <sheetViews>
    <sheetView showGridLines="0" topLeftCell="A10" workbookViewId="0">
      <selection activeCell="C31" sqref="C31"/>
    </sheetView>
  </sheetViews>
  <sheetFormatPr defaultRowHeight="12.75" x14ac:dyDescent="0.2"/>
  <cols>
    <col min="1" max="1" width="18.140625" style="61" bestFit="1" customWidth="1"/>
    <col min="2" max="2" width="19.140625" style="61" bestFit="1" customWidth="1"/>
    <col min="3" max="3" width="13.7109375" style="61" bestFit="1" customWidth="1"/>
    <col min="4" max="4" width="12.42578125" style="61" bestFit="1" customWidth="1"/>
    <col min="5" max="5" width="9.28515625" style="61" bestFit="1" customWidth="1"/>
    <col min="6" max="6" width="10.140625" style="61" bestFit="1" customWidth="1"/>
    <col min="7" max="9" width="9.28515625" style="61" bestFit="1" customWidth="1"/>
    <col min="10" max="16384" width="9.140625" style="61"/>
  </cols>
  <sheetData>
    <row r="1" spans="1:9" x14ac:dyDescent="0.2">
      <c r="A1" s="61" t="s">
        <v>101</v>
      </c>
    </row>
    <row r="2" spans="1:9" ht="13.5" thickBot="1" x14ac:dyDescent="0.25"/>
    <row r="3" spans="1:9" x14ac:dyDescent="0.2">
      <c r="A3" s="90" t="s">
        <v>102</v>
      </c>
      <c r="B3" s="90"/>
    </row>
    <row r="4" spans="1:9" x14ac:dyDescent="0.2">
      <c r="A4" s="61" t="s">
        <v>103</v>
      </c>
      <c r="B4" s="61">
        <v>0.75275785003686468</v>
      </c>
    </row>
    <row r="5" spans="1:9" x14ac:dyDescent="0.2">
      <c r="A5" s="61" t="s">
        <v>104</v>
      </c>
      <c r="B5" s="61">
        <v>0.56664438079212287</v>
      </c>
    </row>
    <row r="6" spans="1:9" x14ac:dyDescent="0.2">
      <c r="A6" s="61" t="s">
        <v>105</v>
      </c>
      <c r="B6" s="61">
        <v>0.51247492839113828</v>
      </c>
    </row>
    <row r="7" spans="1:9" x14ac:dyDescent="0.2">
      <c r="A7" s="61" t="s">
        <v>106</v>
      </c>
      <c r="B7" s="61">
        <v>24190.960849028754</v>
      </c>
    </row>
    <row r="8" spans="1:9" ht="13.5" thickBot="1" x14ac:dyDescent="0.25">
      <c r="A8" s="91" t="s">
        <v>107</v>
      </c>
      <c r="B8" s="91">
        <v>10</v>
      </c>
    </row>
    <row r="10" spans="1:9" ht="13.5" thickBot="1" x14ac:dyDescent="0.25">
      <c r="A10" s="61" t="s">
        <v>108</v>
      </c>
    </row>
    <row r="11" spans="1:9" x14ac:dyDescent="0.2">
      <c r="A11" s="92"/>
      <c r="B11" s="92" t="s">
        <v>113</v>
      </c>
      <c r="C11" s="92" t="s">
        <v>114</v>
      </c>
      <c r="D11" s="92" t="s">
        <v>115</v>
      </c>
      <c r="E11" s="92" t="s">
        <v>116</v>
      </c>
      <c r="F11" s="92" t="s">
        <v>117</v>
      </c>
    </row>
    <row r="12" spans="1:9" x14ac:dyDescent="0.2">
      <c r="A12" s="61" t="s">
        <v>109</v>
      </c>
      <c r="B12" s="61">
        <v>1</v>
      </c>
      <c r="C12" s="61">
        <v>6121563773.252717</v>
      </c>
      <c r="D12" s="61">
        <v>6121563773.252717</v>
      </c>
      <c r="E12" s="61">
        <v>10.460589052988524</v>
      </c>
      <c r="F12" s="61">
        <v>1.1979815717545155E-2</v>
      </c>
    </row>
    <row r="13" spans="1:9" x14ac:dyDescent="0.2">
      <c r="A13" s="61" t="s">
        <v>110</v>
      </c>
      <c r="B13" s="61">
        <v>8</v>
      </c>
      <c r="C13" s="61">
        <v>4681620694.3939352</v>
      </c>
      <c r="D13" s="61">
        <v>585202586.7992419</v>
      </c>
    </row>
    <row r="14" spans="1:9" ht="13.5" thickBot="1" x14ac:dyDescent="0.25">
      <c r="A14" s="91" t="s">
        <v>111</v>
      </c>
      <c r="B14" s="91">
        <v>9</v>
      </c>
      <c r="C14" s="91">
        <v>10803184467.646652</v>
      </c>
      <c r="D14" s="91"/>
      <c r="E14" s="91"/>
      <c r="F14" s="91"/>
    </row>
    <row r="15" spans="1:9" ht="13.5" thickBot="1" x14ac:dyDescent="0.25"/>
    <row r="16" spans="1:9" x14ac:dyDescent="0.2">
      <c r="A16" s="92"/>
      <c r="B16" s="92" t="s">
        <v>118</v>
      </c>
      <c r="C16" s="92" t="s">
        <v>106</v>
      </c>
      <c r="D16" s="92" t="s">
        <v>119</v>
      </c>
      <c r="E16" s="92" t="s">
        <v>120</v>
      </c>
      <c r="F16" s="92" t="s">
        <v>121</v>
      </c>
      <c r="G16" s="92" t="s">
        <v>122</v>
      </c>
      <c r="H16" s="92" t="s">
        <v>123</v>
      </c>
      <c r="I16" s="92" t="s">
        <v>124</v>
      </c>
    </row>
    <row r="17" spans="1:9" x14ac:dyDescent="0.2">
      <c r="A17" s="61" t="s">
        <v>112</v>
      </c>
      <c r="B17" s="61">
        <v>26047.271225933713</v>
      </c>
      <c r="C17" s="61">
        <v>31104.665923425153</v>
      </c>
      <c r="D17" s="61">
        <v>0.83740720090220677</v>
      </c>
      <c r="E17" s="61">
        <v>0.42667093347257223</v>
      </c>
      <c r="F17" s="61">
        <v>-45680.217017628835</v>
      </c>
      <c r="G17" s="61">
        <v>97774.759469496261</v>
      </c>
      <c r="H17" s="61">
        <v>-45680.217017628835</v>
      </c>
      <c r="I17" s="61">
        <v>97774.759469496261</v>
      </c>
    </row>
    <row r="18" spans="1:9" ht="13.5" thickBot="1" x14ac:dyDescent="0.25">
      <c r="A18" s="91">
        <v>56350</v>
      </c>
      <c r="B18" s="91">
        <v>1.6551194733780237</v>
      </c>
      <c r="C18" s="91">
        <v>0.51174225425274233</v>
      </c>
      <c r="D18" s="91">
        <v>3.2342833909520854</v>
      </c>
      <c r="E18" s="91">
        <v>1.1979815717545162E-2</v>
      </c>
      <c r="F18" s="91">
        <v>0.47503971891249752</v>
      </c>
      <c r="G18" s="91">
        <v>2.8351992278435496</v>
      </c>
      <c r="H18" s="91">
        <v>0.47503971891249752</v>
      </c>
      <c r="I18" s="91">
        <v>2.8351992278435496</v>
      </c>
    </row>
    <row r="22" spans="1:9" x14ac:dyDescent="0.2">
      <c r="A22" s="61" t="s">
        <v>125</v>
      </c>
      <c r="E22" s="61" t="s">
        <v>128</v>
      </c>
    </row>
    <row r="23" spans="1:9" ht="13.5" thickBot="1" x14ac:dyDescent="0.25"/>
    <row r="24" spans="1:9" x14ac:dyDescent="0.2">
      <c r="A24" s="92" t="s">
        <v>126</v>
      </c>
      <c r="B24" s="92" t="s">
        <v>130</v>
      </c>
      <c r="C24" s="92" t="s">
        <v>127</v>
      </c>
      <c r="E24" s="92" t="s">
        <v>129</v>
      </c>
      <c r="F24" s="92">
        <v>129734.52</v>
      </c>
    </row>
    <row r="25" spans="1:9" x14ac:dyDescent="0.2">
      <c r="A25" s="61">
        <v>1</v>
      </c>
      <c r="B25" s="61">
        <v>123004.16997641834</v>
      </c>
      <c r="C25" s="61">
        <v>21949.790023581678</v>
      </c>
      <c r="E25" s="61">
        <v>5</v>
      </c>
      <c r="F25" s="61">
        <v>85926.290000000008</v>
      </c>
    </row>
    <row r="26" spans="1:9" x14ac:dyDescent="0.2">
      <c r="A26" s="61">
        <v>2</v>
      </c>
      <c r="B26" s="61">
        <v>99666.985401788203</v>
      </c>
      <c r="C26" s="61">
        <v>31080.43459821181</v>
      </c>
      <c r="E26" s="61">
        <v>15</v>
      </c>
      <c r="F26" s="61">
        <v>86784.34</v>
      </c>
    </row>
    <row r="27" spans="1:9" x14ac:dyDescent="0.2">
      <c r="A27" s="61">
        <v>3</v>
      </c>
      <c r="B27" s="61">
        <v>83628.877704755156</v>
      </c>
      <c r="C27" s="61">
        <v>3155.4622952448408</v>
      </c>
      <c r="E27" s="61">
        <v>25</v>
      </c>
      <c r="F27" s="61">
        <v>103593.11</v>
      </c>
    </row>
    <row r="28" spans="1:9" x14ac:dyDescent="0.2">
      <c r="A28" s="61">
        <v>4</v>
      </c>
      <c r="B28" s="61">
        <v>98276.685044150669</v>
      </c>
      <c r="C28" s="61">
        <v>-12350.39504415066</v>
      </c>
      <c r="E28" s="61">
        <v>35</v>
      </c>
      <c r="F28" s="61">
        <v>104646.03</v>
      </c>
    </row>
    <row r="29" spans="1:9" x14ac:dyDescent="0.2">
      <c r="A29" s="61">
        <v>5</v>
      </c>
      <c r="B29" s="61">
        <v>127357.13419140254</v>
      </c>
      <c r="C29" s="61">
        <v>-22436.944191402537</v>
      </c>
      <c r="E29" s="61">
        <v>45</v>
      </c>
      <c r="F29" s="61">
        <v>104920.19</v>
      </c>
    </row>
    <row r="30" spans="1:9" x14ac:dyDescent="0.2">
      <c r="A30" s="61">
        <v>6</v>
      </c>
      <c r="B30" s="61">
        <v>128184.69392809155</v>
      </c>
      <c r="C30" s="61">
        <v>-11817.713928091558</v>
      </c>
      <c r="E30" s="61">
        <v>55</v>
      </c>
      <c r="F30" s="61">
        <v>116366.98</v>
      </c>
    </row>
    <row r="31" spans="1:9" x14ac:dyDescent="0.2">
      <c r="A31" s="61">
        <v>7</v>
      </c>
      <c r="B31" s="61">
        <v>122822.10683434676</v>
      </c>
      <c r="C31" s="61">
        <v>-19228.996834346763</v>
      </c>
      <c r="E31" s="61">
        <v>65</v>
      </c>
      <c r="F31" s="61">
        <v>130747.42000000001</v>
      </c>
    </row>
    <row r="32" spans="1:9" x14ac:dyDescent="0.2">
      <c r="A32" s="61">
        <v>8</v>
      </c>
      <c r="B32" s="61">
        <v>127704.70928081193</v>
      </c>
      <c r="C32" s="61">
        <v>-23058.679280811935</v>
      </c>
      <c r="E32" s="61">
        <v>75</v>
      </c>
      <c r="F32" s="61">
        <v>144953.96000000002</v>
      </c>
    </row>
    <row r="33" spans="1:6" x14ac:dyDescent="0.2">
      <c r="A33" s="61">
        <v>9</v>
      </c>
      <c r="B33" s="61">
        <v>151629.46126849126</v>
      </c>
      <c r="C33" s="61">
        <v>38623.878731508739</v>
      </c>
      <c r="E33" s="61">
        <v>85</v>
      </c>
      <c r="F33" s="61">
        <v>167394.69</v>
      </c>
    </row>
    <row r="34" spans="1:6" ht="13.5" thickBot="1" x14ac:dyDescent="0.25">
      <c r="A34" s="91">
        <v>10</v>
      </c>
      <c r="B34" s="91">
        <v>173311.52636974337</v>
      </c>
      <c r="C34" s="91">
        <v>-5916.836369743367</v>
      </c>
      <c r="E34" s="91">
        <v>95</v>
      </c>
      <c r="F34" s="91">
        <v>190253.34</v>
      </c>
    </row>
    <row r="36" spans="1:6" x14ac:dyDescent="0.2">
      <c r="A36" s="77" t="s">
        <v>138</v>
      </c>
    </row>
    <row r="37" spans="1:6" x14ac:dyDescent="0.2">
      <c r="A37" s="77" t="s">
        <v>151</v>
      </c>
    </row>
    <row r="38" spans="1:6" x14ac:dyDescent="0.2">
      <c r="A38" s="77" t="s">
        <v>140</v>
      </c>
    </row>
    <row r="39" spans="1:6" x14ac:dyDescent="0.2">
      <c r="A39" s="80" t="s">
        <v>141</v>
      </c>
    </row>
    <row r="40" spans="1:6" x14ac:dyDescent="0.2">
      <c r="A40" s="77" t="s">
        <v>143</v>
      </c>
    </row>
    <row r="41" spans="1:6" x14ac:dyDescent="0.2">
      <c r="A41" s="77" t="s">
        <v>144</v>
      </c>
    </row>
    <row r="42" spans="1:6" x14ac:dyDescent="0.2">
      <c r="A42" s="77" t="s">
        <v>145</v>
      </c>
    </row>
    <row r="43" spans="1:6" x14ac:dyDescent="0.2">
      <c r="A43" s="77" t="s">
        <v>146</v>
      </c>
    </row>
    <row r="44" spans="1:6" x14ac:dyDescent="0.2">
      <c r="A44" s="77" t="s">
        <v>148</v>
      </c>
    </row>
    <row r="45" spans="1:6" x14ac:dyDescent="0.2">
      <c r="A45" s="77" t="s">
        <v>147</v>
      </c>
    </row>
    <row r="46" spans="1:6" x14ac:dyDescent="0.2">
      <c r="A46" s="80" t="s">
        <v>142</v>
      </c>
    </row>
    <row r="47" spans="1:6" x14ac:dyDescent="0.2">
      <c r="A47" s="77" t="s">
        <v>149</v>
      </c>
    </row>
    <row r="48" spans="1:6" x14ac:dyDescent="0.2">
      <c r="A48" s="77" t="s">
        <v>150</v>
      </c>
    </row>
    <row r="50" spans="1:1" x14ac:dyDescent="0.2">
      <c r="A50" s="80" t="s">
        <v>102</v>
      </c>
    </row>
    <row r="51" spans="1:1" x14ac:dyDescent="0.2">
      <c r="A51" s="80" t="s">
        <v>155</v>
      </c>
    </row>
    <row r="52" spans="1:1" x14ac:dyDescent="0.2">
      <c r="A52" s="77" t="s">
        <v>153</v>
      </c>
    </row>
    <row r="53" spans="1:1" x14ac:dyDescent="0.2">
      <c r="A53" s="77" t="s">
        <v>152</v>
      </c>
    </row>
    <row r="54" spans="1:1" x14ac:dyDescent="0.2">
      <c r="A54" s="77" t="s">
        <v>154</v>
      </c>
    </row>
    <row r="55" spans="1:1" x14ac:dyDescent="0.2">
      <c r="A55" s="80" t="s">
        <v>195</v>
      </c>
    </row>
    <row r="57" spans="1:1" x14ac:dyDescent="0.2">
      <c r="A57" s="80" t="s">
        <v>156</v>
      </c>
    </row>
    <row r="58" spans="1:1" x14ac:dyDescent="0.2">
      <c r="A58" s="77" t="s">
        <v>157</v>
      </c>
    </row>
    <row r="59" spans="1:1" x14ac:dyDescent="0.2">
      <c r="A59" s="77" t="s">
        <v>158</v>
      </c>
    </row>
    <row r="60" spans="1:1" x14ac:dyDescent="0.2">
      <c r="A60" s="77" t="s">
        <v>159</v>
      </c>
    </row>
    <row r="62" spans="1:1" x14ac:dyDescent="0.2">
      <c r="A62" s="80" t="s">
        <v>160</v>
      </c>
    </row>
    <row r="63" spans="1:1" x14ac:dyDescent="0.2">
      <c r="A63" s="77" t="s">
        <v>161</v>
      </c>
    </row>
    <row r="65" spans="1:1" x14ac:dyDescent="0.2">
      <c r="A65" s="80" t="s">
        <v>162</v>
      </c>
    </row>
    <row r="66" spans="1:1" x14ac:dyDescent="0.2">
      <c r="A66" s="77" t="s">
        <v>164</v>
      </c>
    </row>
    <row r="67" spans="1:1" x14ac:dyDescent="0.2">
      <c r="A67" s="77" t="s">
        <v>163</v>
      </c>
    </row>
    <row r="68" spans="1:1" x14ac:dyDescent="0.2">
      <c r="A68" s="77" t="s">
        <v>165</v>
      </c>
    </row>
  </sheetData>
  <sortState xmlns:xlrd2="http://schemas.microsoft.com/office/spreadsheetml/2017/richdata2" ref="F25:F34">
    <sortCondition ref="F25"/>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930A-91E3-410C-BDF0-E9919493CFC5}">
  <dimension ref="A1:I68"/>
  <sheetViews>
    <sheetView showGridLines="0" topLeftCell="C1" workbookViewId="0">
      <selection activeCell="L19" sqref="L19"/>
    </sheetView>
  </sheetViews>
  <sheetFormatPr defaultRowHeight="12.75" x14ac:dyDescent="0.2"/>
  <cols>
    <col min="1" max="1" width="18.140625" style="61" bestFit="1" customWidth="1"/>
    <col min="2" max="2" width="19.140625" style="61" bestFit="1" customWidth="1"/>
    <col min="3" max="3" width="13.7109375" style="61" bestFit="1" customWidth="1"/>
    <col min="4" max="4" width="12.42578125" style="61" bestFit="1" customWidth="1"/>
    <col min="5" max="5" width="9.28515625" style="61" bestFit="1" customWidth="1"/>
    <col min="6" max="6" width="10.140625" style="61" bestFit="1" customWidth="1"/>
    <col min="7" max="9" width="9.28515625" style="61" bestFit="1" customWidth="1"/>
    <col min="10" max="16384" width="9.140625" style="61"/>
  </cols>
  <sheetData>
    <row r="1" spans="1:9" x14ac:dyDescent="0.2">
      <c r="A1" s="61" t="s">
        <v>101</v>
      </c>
    </row>
    <row r="2" spans="1:9" ht="13.5" thickBot="1" x14ac:dyDescent="0.25"/>
    <row r="3" spans="1:9" x14ac:dyDescent="0.2">
      <c r="A3" s="90" t="s">
        <v>102</v>
      </c>
      <c r="B3" s="90"/>
    </row>
    <row r="4" spans="1:9" x14ac:dyDescent="0.2">
      <c r="A4" s="61" t="s">
        <v>103</v>
      </c>
      <c r="B4" s="61">
        <v>0.73052253349085183</v>
      </c>
    </row>
    <row r="5" spans="1:9" x14ac:dyDescent="0.2">
      <c r="A5" s="61" t="s">
        <v>104</v>
      </c>
      <c r="B5" s="61">
        <v>0.53366317193789281</v>
      </c>
    </row>
    <row r="6" spans="1:9" x14ac:dyDescent="0.2">
      <c r="A6" s="61" t="s">
        <v>105</v>
      </c>
      <c r="B6" s="61">
        <v>0.47537106843012944</v>
      </c>
    </row>
    <row r="7" spans="1:9" x14ac:dyDescent="0.2">
      <c r="A7" s="61" t="s">
        <v>106</v>
      </c>
      <c r="B7" s="61">
        <v>29456.123193436531</v>
      </c>
    </row>
    <row r="8" spans="1:9" ht="13.5" thickBot="1" x14ac:dyDescent="0.25">
      <c r="A8" s="91" t="s">
        <v>107</v>
      </c>
      <c r="B8" s="91">
        <v>10</v>
      </c>
    </row>
    <row r="10" spans="1:9" ht="13.5" thickBot="1" x14ac:dyDescent="0.25">
      <c r="A10" s="61" t="s">
        <v>108</v>
      </c>
    </row>
    <row r="11" spans="1:9" x14ac:dyDescent="0.2">
      <c r="A11" s="92"/>
      <c r="B11" s="92" t="s">
        <v>113</v>
      </c>
      <c r="C11" s="92" t="s">
        <v>114</v>
      </c>
      <c r="D11" s="92" t="s">
        <v>115</v>
      </c>
      <c r="E11" s="92" t="s">
        <v>116</v>
      </c>
      <c r="F11" s="92" t="s">
        <v>117</v>
      </c>
    </row>
    <row r="12" spans="1:9" x14ac:dyDescent="0.2">
      <c r="A12" s="61" t="s">
        <v>109</v>
      </c>
      <c r="B12" s="61">
        <v>1</v>
      </c>
      <c r="C12" s="61">
        <v>7943441121.5180111</v>
      </c>
      <c r="D12" s="61">
        <v>7943441121.5180111</v>
      </c>
      <c r="E12" s="61">
        <v>9.1549822330020909</v>
      </c>
      <c r="F12" s="61">
        <v>1.6415955594437176E-2</v>
      </c>
    </row>
    <row r="13" spans="1:9" x14ac:dyDescent="0.2">
      <c r="A13" s="61" t="s">
        <v>110</v>
      </c>
      <c r="B13" s="61">
        <v>8</v>
      </c>
      <c r="C13" s="61">
        <v>6941305548.6952763</v>
      </c>
      <c r="D13" s="61">
        <v>867663193.58690953</v>
      </c>
    </row>
    <row r="14" spans="1:9" ht="13.5" thickBot="1" x14ac:dyDescent="0.25">
      <c r="A14" s="91" t="s">
        <v>111</v>
      </c>
      <c r="B14" s="91">
        <v>9</v>
      </c>
      <c r="C14" s="91">
        <v>14884746670.213287</v>
      </c>
      <c r="D14" s="91"/>
      <c r="E14" s="91"/>
      <c r="F14" s="91"/>
    </row>
    <row r="15" spans="1:9" ht="13.5" thickBot="1" x14ac:dyDescent="0.25"/>
    <row r="16" spans="1:9" x14ac:dyDescent="0.2">
      <c r="A16" s="92"/>
      <c r="B16" s="92" t="s">
        <v>118</v>
      </c>
      <c r="C16" s="92" t="s">
        <v>106</v>
      </c>
      <c r="D16" s="92" t="s">
        <v>119</v>
      </c>
      <c r="E16" s="92" t="s">
        <v>120</v>
      </c>
      <c r="F16" s="92" t="s">
        <v>121</v>
      </c>
      <c r="G16" s="92" t="s">
        <v>122</v>
      </c>
      <c r="H16" s="92" t="s">
        <v>123</v>
      </c>
      <c r="I16" s="92" t="s">
        <v>124</v>
      </c>
    </row>
    <row r="17" spans="1:9" x14ac:dyDescent="0.2">
      <c r="A17" s="61" t="s">
        <v>112</v>
      </c>
      <c r="B17" s="61">
        <v>19993.336546612205</v>
      </c>
      <c r="C17" s="61">
        <v>37874.596095999397</v>
      </c>
      <c r="D17" s="61">
        <v>0.52788250192651043</v>
      </c>
      <c r="E17" s="61">
        <v>0.61190485279862772</v>
      </c>
      <c r="F17" s="61">
        <v>-67345.638669950014</v>
      </c>
      <c r="G17" s="61">
        <v>107332.31176317442</v>
      </c>
      <c r="H17" s="61">
        <v>-67345.638669950014</v>
      </c>
      <c r="I17" s="61">
        <v>107332.31176317442</v>
      </c>
    </row>
    <row r="18" spans="1:9" ht="13.5" thickBot="1" x14ac:dyDescent="0.25">
      <c r="A18" s="91">
        <v>56350</v>
      </c>
      <c r="B18" s="91">
        <v>1.885395645478873</v>
      </c>
      <c r="C18" s="91">
        <v>0.62312294987492833</v>
      </c>
      <c r="D18" s="91">
        <v>3.0257201180879387</v>
      </c>
      <c r="E18" s="91">
        <v>1.641595559443719E-2</v>
      </c>
      <c r="F18" s="91">
        <v>0.4484715463266693</v>
      </c>
      <c r="G18" s="91">
        <v>3.3223197446310766</v>
      </c>
      <c r="H18" s="91">
        <v>0.4484715463266693</v>
      </c>
      <c r="I18" s="91">
        <v>3.3223197446310766</v>
      </c>
    </row>
    <row r="22" spans="1:9" x14ac:dyDescent="0.2">
      <c r="A22" s="61" t="s">
        <v>125</v>
      </c>
      <c r="E22" s="61" t="s">
        <v>128</v>
      </c>
    </row>
    <row r="23" spans="1:9" ht="13.5" thickBot="1" x14ac:dyDescent="0.25"/>
    <row r="24" spans="1:9" x14ac:dyDescent="0.2">
      <c r="A24" s="92" t="s">
        <v>126</v>
      </c>
      <c r="B24" s="92" t="s">
        <v>131</v>
      </c>
      <c r="C24" s="92" t="s">
        <v>127</v>
      </c>
      <c r="E24" s="92" t="s">
        <v>129</v>
      </c>
      <c r="F24" s="92">
        <v>135903.35999999999</v>
      </c>
    </row>
    <row r="25" spans="1:9" x14ac:dyDescent="0.2">
      <c r="A25" s="61">
        <v>1</v>
      </c>
      <c r="B25" s="61">
        <v>130439.81345876458</v>
      </c>
      <c r="C25" s="61">
        <v>22202.376541235426</v>
      </c>
      <c r="E25" s="61">
        <v>5</v>
      </c>
      <c r="F25" s="61">
        <v>89522.46</v>
      </c>
    </row>
    <row r="26" spans="1:9" x14ac:dyDescent="0.2">
      <c r="A26" s="61">
        <v>2</v>
      </c>
      <c r="B26" s="61">
        <v>103855.73485751248</v>
      </c>
      <c r="C26" s="61">
        <v>33258.835142487529</v>
      </c>
      <c r="E26" s="61">
        <v>15</v>
      </c>
      <c r="F26" s="61">
        <v>90183.28</v>
      </c>
    </row>
    <row r="27" spans="1:9" x14ac:dyDescent="0.2">
      <c r="A27" s="61">
        <v>3</v>
      </c>
      <c r="B27" s="61">
        <v>85586.25105282219</v>
      </c>
      <c r="C27" s="61">
        <v>4597.0289471778087</v>
      </c>
      <c r="E27" s="61">
        <v>25</v>
      </c>
      <c r="F27" s="61">
        <v>105316.15000000001</v>
      </c>
    </row>
    <row r="28" spans="1:9" x14ac:dyDescent="0.2">
      <c r="A28" s="61">
        <v>4</v>
      </c>
      <c r="B28" s="61">
        <v>102272.00251531022</v>
      </c>
      <c r="C28" s="61">
        <v>-12749.542515310211</v>
      </c>
      <c r="E28" s="61">
        <v>35</v>
      </c>
      <c r="F28" s="61">
        <v>109228.34000000001</v>
      </c>
    </row>
    <row r="29" spans="1:9" x14ac:dyDescent="0.2">
      <c r="A29" s="61">
        <v>5</v>
      </c>
      <c r="B29" s="61">
        <v>135398.40400637401</v>
      </c>
      <c r="C29" s="61">
        <v>-25048.79400637401</v>
      </c>
      <c r="E29" s="61">
        <v>45</v>
      </c>
      <c r="F29" s="61">
        <v>110349.61</v>
      </c>
    </row>
    <row r="30" spans="1:9" x14ac:dyDescent="0.2">
      <c r="A30" s="61">
        <v>6</v>
      </c>
      <c r="B30" s="61">
        <v>136341.10182911344</v>
      </c>
      <c r="C30" s="61">
        <v>-12869.861829113448</v>
      </c>
      <c r="E30" s="61">
        <v>55</v>
      </c>
      <c r="F30" s="61">
        <v>123471.23999999999</v>
      </c>
    </row>
    <row r="31" spans="1:9" x14ac:dyDescent="0.2">
      <c r="A31" s="61">
        <v>7</v>
      </c>
      <c r="B31" s="61">
        <v>130232.41993776191</v>
      </c>
      <c r="C31" s="61">
        <v>-21004.079937761897</v>
      </c>
      <c r="E31" s="61">
        <v>65</v>
      </c>
      <c r="F31" s="61">
        <v>137114.57</v>
      </c>
    </row>
    <row r="32" spans="1:9" x14ac:dyDescent="0.2">
      <c r="A32" s="61">
        <v>8</v>
      </c>
      <c r="B32" s="61">
        <v>135794.33709192456</v>
      </c>
      <c r="C32" s="61">
        <v>-30478.187091924556</v>
      </c>
      <c r="E32" s="61">
        <v>75</v>
      </c>
      <c r="F32" s="61">
        <v>152642.19</v>
      </c>
    </row>
    <row r="33" spans="1:6" x14ac:dyDescent="0.2">
      <c r="A33" s="61">
        <v>9</v>
      </c>
      <c r="B33" s="61">
        <v>163047.7311473217</v>
      </c>
      <c r="C33" s="61">
        <v>53522.888852678298</v>
      </c>
      <c r="E33" s="61">
        <v>85</v>
      </c>
      <c r="F33" s="61">
        <v>176315.75</v>
      </c>
    </row>
    <row r="34" spans="1:6" ht="13.5" thickBot="1" x14ac:dyDescent="0.25">
      <c r="A34" s="91">
        <v>10</v>
      </c>
      <c r="B34" s="91">
        <v>187746.41410309492</v>
      </c>
      <c r="C34" s="91">
        <v>-11430.664103094925</v>
      </c>
      <c r="E34" s="91">
        <v>95</v>
      </c>
      <c r="F34" s="91">
        <v>216570.62</v>
      </c>
    </row>
    <row r="36" spans="1:6" x14ac:dyDescent="0.2">
      <c r="A36" s="77" t="s">
        <v>138</v>
      </c>
    </row>
    <row r="37" spans="1:6" x14ac:dyDescent="0.2">
      <c r="A37" s="77" t="s">
        <v>151</v>
      </c>
    </row>
    <row r="38" spans="1:6" x14ac:dyDescent="0.2">
      <c r="A38" s="77" t="s">
        <v>140</v>
      </c>
    </row>
    <row r="39" spans="1:6" x14ac:dyDescent="0.2">
      <c r="A39" s="80" t="s">
        <v>141</v>
      </c>
    </row>
    <row r="40" spans="1:6" x14ac:dyDescent="0.2">
      <c r="A40" s="77" t="s">
        <v>143</v>
      </c>
    </row>
    <row r="41" spans="1:6" x14ac:dyDescent="0.2">
      <c r="A41" s="77" t="s">
        <v>144</v>
      </c>
    </row>
    <row r="42" spans="1:6" x14ac:dyDescent="0.2">
      <c r="A42" s="77" t="s">
        <v>145</v>
      </c>
    </row>
    <row r="43" spans="1:6" x14ac:dyDescent="0.2">
      <c r="A43" s="77" t="s">
        <v>146</v>
      </c>
    </row>
    <row r="44" spans="1:6" x14ac:dyDescent="0.2">
      <c r="A44" s="77" t="s">
        <v>148</v>
      </c>
    </row>
    <row r="45" spans="1:6" x14ac:dyDescent="0.2">
      <c r="A45" s="77" t="s">
        <v>147</v>
      </c>
    </row>
    <row r="46" spans="1:6" x14ac:dyDescent="0.2">
      <c r="A46" s="80" t="s">
        <v>142</v>
      </c>
    </row>
    <row r="47" spans="1:6" x14ac:dyDescent="0.2">
      <c r="A47" s="77" t="s">
        <v>149</v>
      </c>
    </row>
    <row r="48" spans="1:6" x14ac:dyDescent="0.2">
      <c r="A48" s="77" t="s">
        <v>150</v>
      </c>
    </row>
    <row r="50" spans="1:1" x14ac:dyDescent="0.2">
      <c r="A50" s="80" t="s">
        <v>102</v>
      </c>
    </row>
    <row r="51" spans="1:1" x14ac:dyDescent="0.2">
      <c r="A51" s="80" t="s">
        <v>155</v>
      </c>
    </row>
    <row r="52" spans="1:1" x14ac:dyDescent="0.2">
      <c r="A52" s="77" t="s">
        <v>153</v>
      </c>
    </row>
    <row r="53" spans="1:1" x14ac:dyDescent="0.2">
      <c r="A53" s="77" t="s">
        <v>152</v>
      </c>
    </row>
    <row r="54" spans="1:1" x14ac:dyDescent="0.2">
      <c r="A54" s="77" t="s">
        <v>154</v>
      </c>
    </row>
    <row r="55" spans="1:1" x14ac:dyDescent="0.2">
      <c r="A55" s="80" t="s">
        <v>194</v>
      </c>
    </row>
    <row r="57" spans="1:1" x14ac:dyDescent="0.2">
      <c r="A57" s="80" t="s">
        <v>156</v>
      </c>
    </row>
    <row r="58" spans="1:1" x14ac:dyDescent="0.2">
      <c r="A58" s="77" t="s">
        <v>157</v>
      </c>
    </row>
    <row r="59" spans="1:1" x14ac:dyDescent="0.2">
      <c r="A59" s="77" t="s">
        <v>158</v>
      </c>
    </row>
    <row r="60" spans="1:1" x14ac:dyDescent="0.2">
      <c r="A60" s="77" t="s">
        <v>159</v>
      </c>
    </row>
    <row r="62" spans="1:1" x14ac:dyDescent="0.2">
      <c r="A62" s="80" t="s">
        <v>160</v>
      </c>
    </row>
    <row r="63" spans="1:1" x14ac:dyDescent="0.2">
      <c r="A63" s="77" t="s">
        <v>161</v>
      </c>
    </row>
    <row r="65" spans="1:1" x14ac:dyDescent="0.2">
      <c r="A65" s="80" t="s">
        <v>162</v>
      </c>
    </row>
    <row r="66" spans="1:1" x14ac:dyDescent="0.2">
      <c r="A66" s="77" t="s">
        <v>164</v>
      </c>
    </row>
    <row r="67" spans="1:1" x14ac:dyDescent="0.2">
      <c r="A67" s="77" t="s">
        <v>163</v>
      </c>
    </row>
    <row r="68" spans="1:1" x14ac:dyDescent="0.2">
      <c r="A68" s="77" t="s">
        <v>165</v>
      </c>
    </row>
  </sheetData>
  <sortState xmlns:xlrd2="http://schemas.microsoft.com/office/spreadsheetml/2017/richdata2" ref="F25:F34">
    <sortCondition ref="F25"/>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CE2B-7ACE-4976-B590-472C47000D49}">
  <dimension ref="A1:I95"/>
  <sheetViews>
    <sheetView showGridLines="0" zoomScale="98" workbookViewId="0">
      <selection activeCell="A29" sqref="A29"/>
    </sheetView>
  </sheetViews>
  <sheetFormatPr defaultRowHeight="15" x14ac:dyDescent="0.25"/>
  <cols>
    <col min="1" max="1" width="47.7109375" bestFit="1" customWidth="1"/>
    <col min="2" max="2" width="50" bestFit="1" customWidth="1"/>
    <col min="3" max="3" width="44.5703125" bestFit="1" customWidth="1"/>
    <col min="4" max="5" width="31.42578125" bestFit="1" customWidth="1"/>
    <col min="6" max="6" width="13.5703125" bestFit="1" customWidth="1"/>
    <col min="7" max="7" width="12" bestFit="1" customWidth="1"/>
    <col min="8" max="8" width="12.5703125" bestFit="1" customWidth="1"/>
    <col min="9" max="9" width="12.28515625" bestFit="1" customWidth="1"/>
  </cols>
  <sheetData>
    <row r="1" spans="1:5" x14ac:dyDescent="0.25">
      <c r="A1" s="78"/>
      <c r="B1" s="48" t="s">
        <v>136</v>
      </c>
      <c r="C1" s="47" t="s">
        <v>61</v>
      </c>
      <c r="D1" s="3" t="s">
        <v>36</v>
      </c>
      <c r="E1" s="3" t="s">
        <v>39</v>
      </c>
    </row>
    <row r="2" spans="1:5" x14ac:dyDescent="0.25">
      <c r="A2" s="74" t="s">
        <v>58</v>
      </c>
      <c r="B2" s="50">
        <v>45878.31</v>
      </c>
      <c r="C2" s="49">
        <v>56350</v>
      </c>
      <c r="D2" s="46">
        <v>129734.52</v>
      </c>
      <c r="E2" s="46">
        <v>135903.35999999999</v>
      </c>
    </row>
    <row r="3" spans="1:5" x14ac:dyDescent="0.25">
      <c r="A3" s="74" t="s">
        <v>55</v>
      </c>
      <c r="B3" s="50">
        <v>46660.19</v>
      </c>
      <c r="C3" s="49">
        <v>58580</v>
      </c>
      <c r="D3" s="46">
        <v>144953.96000000002</v>
      </c>
      <c r="E3" s="46">
        <v>152642.19</v>
      </c>
    </row>
    <row r="4" spans="1:5" x14ac:dyDescent="0.25">
      <c r="A4" s="74" t="s">
        <v>56</v>
      </c>
      <c r="B4" s="50">
        <v>39139.32</v>
      </c>
      <c r="C4" s="49">
        <v>44480</v>
      </c>
      <c r="D4" s="46">
        <v>130747.42000000001</v>
      </c>
      <c r="E4" s="46">
        <v>137114.57</v>
      </c>
    </row>
    <row r="5" spans="1:5" x14ac:dyDescent="0.25">
      <c r="A5" s="74" t="s">
        <v>57</v>
      </c>
      <c r="B5" s="50">
        <v>22481.97</v>
      </c>
      <c r="C5" s="49">
        <v>34790</v>
      </c>
      <c r="D5" s="46">
        <v>86784.34</v>
      </c>
      <c r="E5" s="46">
        <v>90183.28</v>
      </c>
    </row>
    <row r="6" spans="1:5" x14ac:dyDescent="0.25">
      <c r="A6" s="74" t="s">
        <v>40</v>
      </c>
      <c r="B6" s="50">
        <v>22445.9</v>
      </c>
      <c r="C6" s="49">
        <v>43640</v>
      </c>
      <c r="D6" s="46">
        <v>85926.290000000008</v>
      </c>
      <c r="E6" s="46">
        <v>89522.46</v>
      </c>
    </row>
    <row r="7" spans="1:5" x14ac:dyDescent="0.25">
      <c r="A7" s="74" t="s">
        <v>41</v>
      </c>
      <c r="B7" s="50">
        <v>27989.42</v>
      </c>
      <c r="C7" s="49">
        <v>61210</v>
      </c>
      <c r="D7" s="46">
        <v>104920.19</v>
      </c>
      <c r="E7" s="46">
        <v>110349.61</v>
      </c>
    </row>
    <row r="8" spans="1:5" x14ac:dyDescent="0.25">
      <c r="A8" s="74" t="s">
        <v>42</v>
      </c>
      <c r="B8" s="50">
        <v>35662.75</v>
      </c>
      <c r="C8" s="49">
        <v>61710</v>
      </c>
      <c r="D8" s="46">
        <v>116366.98</v>
      </c>
      <c r="E8" s="46">
        <v>123471.23999999999</v>
      </c>
    </row>
    <row r="9" spans="1:5" x14ac:dyDescent="0.25">
      <c r="A9" s="74" t="s">
        <v>43</v>
      </c>
      <c r="B9" s="50">
        <v>32473.41</v>
      </c>
      <c r="C9" s="49">
        <v>58470</v>
      </c>
      <c r="D9" s="46">
        <v>103593.11</v>
      </c>
      <c r="E9" s="46">
        <v>109228.34000000001</v>
      </c>
    </row>
    <row r="10" spans="1:5" x14ac:dyDescent="0.25">
      <c r="A10" s="74" t="s">
        <v>44</v>
      </c>
      <c r="B10" s="50">
        <v>24016.01</v>
      </c>
      <c r="C10" s="49">
        <v>61420</v>
      </c>
      <c r="D10" s="46">
        <v>104646.03</v>
      </c>
      <c r="E10" s="46">
        <v>105316.15000000001</v>
      </c>
    </row>
    <row r="11" spans="1:5" x14ac:dyDescent="0.25">
      <c r="A11" s="74" t="s">
        <v>45</v>
      </c>
      <c r="B11" s="50">
        <v>45114.01</v>
      </c>
      <c r="C11" s="49">
        <v>75875</v>
      </c>
      <c r="D11" s="46">
        <v>190253.34</v>
      </c>
      <c r="E11" s="46">
        <v>216570.62</v>
      </c>
    </row>
    <row r="12" spans="1:5" x14ac:dyDescent="0.25">
      <c r="A12" s="74" t="s">
        <v>46</v>
      </c>
      <c r="B12" s="50">
        <v>55498.98</v>
      </c>
      <c r="C12" s="49">
        <v>88975</v>
      </c>
      <c r="D12" s="45">
        <v>167394.69</v>
      </c>
      <c r="E12" s="45">
        <v>176315.75</v>
      </c>
    </row>
    <row r="13" spans="1:5" x14ac:dyDescent="0.25">
      <c r="A13" s="36"/>
      <c r="B13" s="79"/>
      <c r="C13" s="67"/>
      <c r="D13" s="76"/>
    </row>
    <row r="14" spans="1:5" x14ac:dyDescent="0.25">
      <c r="A14" s="93"/>
      <c r="B14" s="48" t="s">
        <v>136</v>
      </c>
      <c r="C14" s="48" t="s">
        <v>61</v>
      </c>
      <c r="D14" s="3" t="s">
        <v>36</v>
      </c>
      <c r="E14" s="3" t="s">
        <v>39</v>
      </c>
    </row>
    <row r="15" spans="1:5" x14ac:dyDescent="0.25">
      <c r="A15" s="48" t="s">
        <v>136</v>
      </c>
      <c r="B15" s="94">
        <v>1</v>
      </c>
      <c r="C15" s="49"/>
      <c r="D15" s="49"/>
      <c r="E15" s="49"/>
    </row>
    <row r="16" spans="1:5" x14ac:dyDescent="0.25">
      <c r="A16" s="48" t="s">
        <v>61</v>
      </c>
      <c r="B16" s="81">
        <v>0.68276898404545194</v>
      </c>
      <c r="C16" s="94">
        <v>1</v>
      </c>
      <c r="D16" s="49"/>
      <c r="E16" s="49"/>
    </row>
    <row r="17" spans="1:9" x14ac:dyDescent="0.25">
      <c r="A17" s="3" t="s">
        <v>36</v>
      </c>
      <c r="B17" s="82">
        <v>0.87014865247427153</v>
      </c>
      <c r="C17" s="82">
        <v>0.74762653805392532</v>
      </c>
      <c r="D17" s="94">
        <v>1</v>
      </c>
      <c r="E17" s="49"/>
    </row>
    <row r="18" spans="1:9" x14ac:dyDescent="0.25">
      <c r="A18" s="3" t="s">
        <v>39</v>
      </c>
      <c r="B18" s="83">
        <v>0.83344345344103909</v>
      </c>
      <c r="C18" s="83">
        <v>0.72707760972191415</v>
      </c>
      <c r="D18" s="83">
        <v>0.99519140622973856</v>
      </c>
      <c r="E18" s="94">
        <v>1</v>
      </c>
    </row>
    <row r="19" spans="1:9" x14ac:dyDescent="0.25">
      <c r="A19" s="36"/>
      <c r="B19" s="79"/>
      <c r="C19" s="67"/>
      <c r="D19" s="76"/>
    </row>
    <row r="20" spans="1:9" x14ac:dyDescent="0.25">
      <c r="A20" s="113" t="s">
        <v>258</v>
      </c>
      <c r="B20" s="79"/>
      <c r="C20" s="67"/>
      <c r="D20" s="76"/>
    </row>
    <row r="21" spans="1:9" x14ac:dyDescent="0.25">
      <c r="A21" s="77" t="s">
        <v>197</v>
      </c>
      <c r="B21" s="79"/>
      <c r="C21" s="67"/>
      <c r="D21" s="76"/>
    </row>
    <row r="22" spans="1:9" x14ac:dyDescent="0.25">
      <c r="A22" s="77" t="s">
        <v>199</v>
      </c>
      <c r="B22" s="79"/>
      <c r="C22" s="67"/>
      <c r="D22" s="76"/>
    </row>
    <row r="23" spans="1:9" x14ac:dyDescent="0.25">
      <c r="A23" s="77" t="s">
        <v>139</v>
      </c>
    </row>
    <row r="24" spans="1:9" x14ac:dyDescent="0.25">
      <c r="A24" s="77" t="s">
        <v>198</v>
      </c>
    </row>
    <row r="26" spans="1:9" x14ac:dyDescent="0.25">
      <c r="A26" s="61"/>
      <c r="B26" s="61"/>
      <c r="C26" s="61"/>
      <c r="D26" s="61"/>
      <c r="E26" s="61"/>
      <c r="F26" s="61"/>
      <c r="G26" s="61"/>
      <c r="H26" s="61"/>
      <c r="I26" s="61"/>
    </row>
    <row r="27" spans="1:9" x14ac:dyDescent="0.25">
      <c r="A27" s="61" t="s">
        <v>101</v>
      </c>
      <c r="B27" s="61"/>
      <c r="C27" s="61"/>
      <c r="D27" s="61"/>
      <c r="E27" s="61"/>
      <c r="F27" s="61"/>
      <c r="G27" s="61"/>
      <c r="H27" s="61"/>
      <c r="I27" s="61"/>
    </row>
    <row r="28" spans="1:9" ht="15.75" thickBot="1" x14ac:dyDescent="0.3">
      <c r="A28" s="61"/>
      <c r="B28" s="61"/>
      <c r="C28" s="61"/>
      <c r="D28" s="61"/>
      <c r="E28" s="61"/>
      <c r="F28" s="61"/>
      <c r="G28" s="61"/>
      <c r="H28" s="61"/>
      <c r="I28" s="61"/>
    </row>
    <row r="29" spans="1:9" x14ac:dyDescent="0.25">
      <c r="A29" s="90" t="s">
        <v>102</v>
      </c>
      <c r="B29" s="90"/>
      <c r="C29" s="61"/>
      <c r="D29" s="61"/>
      <c r="E29" s="61"/>
      <c r="F29" s="61"/>
      <c r="G29" s="61"/>
      <c r="H29" s="61"/>
      <c r="I29" s="61"/>
    </row>
    <row r="30" spans="1:9" x14ac:dyDescent="0.25">
      <c r="A30" s="61" t="s">
        <v>103</v>
      </c>
      <c r="B30" s="67">
        <v>0.90512442635592005</v>
      </c>
      <c r="C30" s="61"/>
      <c r="D30" s="61"/>
      <c r="E30" s="61"/>
      <c r="F30" s="61"/>
      <c r="G30" s="61"/>
      <c r="H30" s="61"/>
      <c r="I30" s="61"/>
    </row>
    <row r="31" spans="1:9" x14ac:dyDescent="0.25">
      <c r="A31" s="61" t="s">
        <v>104</v>
      </c>
      <c r="B31" s="67">
        <v>0.81925022718613327</v>
      </c>
      <c r="C31" s="61"/>
      <c r="D31" s="61"/>
      <c r="E31" s="61"/>
      <c r="F31" s="61"/>
      <c r="G31" s="61"/>
      <c r="H31" s="61"/>
      <c r="I31" s="61"/>
    </row>
    <row r="32" spans="1:9" x14ac:dyDescent="0.25">
      <c r="A32" s="61" t="s">
        <v>105</v>
      </c>
      <c r="B32" s="67">
        <v>0.76760743495359995</v>
      </c>
      <c r="C32" s="61"/>
      <c r="D32" s="61"/>
      <c r="E32" s="61"/>
      <c r="F32" s="61"/>
      <c r="G32" s="61"/>
      <c r="H32" s="61"/>
      <c r="I32" s="61"/>
    </row>
    <row r="33" spans="1:9" x14ac:dyDescent="0.25">
      <c r="A33" s="61" t="s">
        <v>106</v>
      </c>
      <c r="B33" s="67">
        <v>16701.895265394392</v>
      </c>
      <c r="C33" s="61"/>
      <c r="D33" s="61"/>
      <c r="E33" s="61"/>
      <c r="F33" s="61"/>
      <c r="G33" s="61"/>
      <c r="H33" s="61"/>
      <c r="I33" s="61"/>
    </row>
    <row r="34" spans="1:9" ht="15.75" thickBot="1" x14ac:dyDescent="0.3">
      <c r="A34" s="91" t="s">
        <v>107</v>
      </c>
      <c r="B34" s="114">
        <v>10</v>
      </c>
      <c r="C34" s="61"/>
      <c r="D34" s="61"/>
      <c r="E34" s="61"/>
      <c r="F34" s="61"/>
      <c r="G34" s="61"/>
      <c r="H34" s="61"/>
      <c r="I34" s="61"/>
    </row>
    <row r="35" spans="1:9" x14ac:dyDescent="0.25">
      <c r="A35" s="61"/>
      <c r="B35" s="61"/>
      <c r="C35" s="61"/>
      <c r="D35" s="61"/>
      <c r="E35" s="61"/>
      <c r="F35" s="61"/>
      <c r="G35" s="61"/>
      <c r="H35" s="61"/>
      <c r="I35" s="61"/>
    </row>
    <row r="36" spans="1:9" ht="15.75" thickBot="1" x14ac:dyDescent="0.3">
      <c r="A36" s="61" t="s">
        <v>108</v>
      </c>
      <c r="B36" s="61"/>
      <c r="C36" s="61"/>
      <c r="D36" s="61"/>
      <c r="E36" s="61"/>
      <c r="F36" s="61"/>
      <c r="G36" s="61"/>
      <c r="H36" s="61"/>
      <c r="I36" s="61"/>
    </row>
    <row r="37" spans="1:9" x14ac:dyDescent="0.25">
      <c r="A37" s="92"/>
      <c r="B37" s="92" t="s">
        <v>113</v>
      </c>
      <c r="C37" s="92" t="s">
        <v>114</v>
      </c>
      <c r="D37" s="92" t="s">
        <v>115</v>
      </c>
      <c r="E37" s="92" t="s">
        <v>116</v>
      </c>
      <c r="F37" s="92" t="s">
        <v>117</v>
      </c>
      <c r="G37" s="61"/>
      <c r="H37" s="61"/>
      <c r="I37" s="61"/>
    </row>
    <row r="38" spans="1:9" x14ac:dyDescent="0.25">
      <c r="A38" s="61" t="s">
        <v>109</v>
      </c>
      <c r="B38" s="67">
        <v>2</v>
      </c>
      <c r="C38" s="67">
        <v>8850511329.4532261</v>
      </c>
      <c r="D38" s="67">
        <v>4425255664.726613</v>
      </c>
      <c r="E38" s="67">
        <v>15.863786440850722</v>
      </c>
      <c r="F38" s="67">
        <v>2.5105689907609957E-3</v>
      </c>
      <c r="G38" s="61"/>
      <c r="H38" s="61"/>
      <c r="I38" s="61"/>
    </row>
    <row r="39" spans="1:9" x14ac:dyDescent="0.25">
      <c r="A39" s="61" t="s">
        <v>110</v>
      </c>
      <c r="B39" s="67">
        <v>7</v>
      </c>
      <c r="C39" s="67">
        <v>1952673138.1934254</v>
      </c>
      <c r="D39" s="67">
        <v>278953305.45620364</v>
      </c>
      <c r="E39" s="67"/>
      <c r="F39" s="67"/>
      <c r="G39" s="61"/>
      <c r="H39" s="61"/>
      <c r="I39" s="61"/>
    </row>
    <row r="40" spans="1:9" ht="15.75" thickBot="1" x14ac:dyDescent="0.3">
      <c r="A40" s="91" t="s">
        <v>111</v>
      </c>
      <c r="B40" s="114">
        <v>9</v>
      </c>
      <c r="C40" s="114">
        <v>10803184467.646652</v>
      </c>
      <c r="D40" s="114"/>
      <c r="E40" s="114"/>
      <c r="F40" s="114"/>
      <c r="G40" s="61"/>
      <c r="H40" s="61"/>
      <c r="I40" s="61"/>
    </row>
    <row r="41" spans="1:9" ht="15.75" thickBot="1" x14ac:dyDescent="0.3">
      <c r="A41" s="61"/>
      <c r="B41" s="61"/>
      <c r="C41" s="61"/>
      <c r="D41" s="61"/>
      <c r="E41" s="61"/>
      <c r="F41" s="61"/>
      <c r="G41" s="61"/>
      <c r="H41" s="61"/>
      <c r="I41" s="61"/>
    </row>
    <row r="42" spans="1:9" x14ac:dyDescent="0.25">
      <c r="A42" s="92"/>
      <c r="B42" s="92" t="s">
        <v>118</v>
      </c>
      <c r="C42" s="92" t="s">
        <v>106</v>
      </c>
      <c r="D42" s="92" t="s">
        <v>119</v>
      </c>
      <c r="E42" s="92" t="s">
        <v>120</v>
      </c>
      <c r="F42" s="92" t="s">
        <v>121</v>
      </c>
      <c r="G42" s="92" t="s">
        <v>122</v>
      </c>
      <c r="H42" s="92" t="s">
        <v>123</v>
      </c>
      <c r="I42" s="92" t="s">
        <v>124</v>
      </c>
    </row>
    <row r="43" spans="1:9" x14ac:dyDescent="0.25">
      <c r="A43" s="61" t="s">
        <v>112</v>
      </c>
      <c r="B43" s="67">
        <v>16856.720046023442</v>
      </c>
      <c r="C43" s="67">
        <v>21675.340919896757</v>
      </c>
      <c r="D43" s="67">
        <v>0.77769111490882759</v>
      </c>
      <c r="E43" s="67">
        <v>0.46222098841512271</v>
      </c>
      <c r="F43" s="67">
        <v>-34397.316754705898</v>
      </c>
      <c r="G43" s="67">
        <v>68110.756846752774</v>
      </c>
      <c r="H43" s="67">
        <v>-34397.316754705898</v>
      </c>
      <c r="I43" s="67">
        <v>68110.756846752774</v>
      </c>
    </row>
    <row r="44" spans="1:9" x14ac:dyDescent="0.25">
      <c r="A44" s="61">
        <v>45878.31</v>
      </c>
      <c r="B44" s="67">
        <v>2.2353478910127293</v>
      </c>
      <c r="C44" s="67">
        <v>0.71468272370931474</v>
      </c>
      <c r="D44" s="67">
        <v>3.1277486034794926</v>
      </c>
      <c r="E44" s="67">
        <v>1.6662090909946529E-2</v>
      </c>
      <c r="F44" s="67">
        <v>0.54539179033529783</v>
      </c>
      <c r="G44" s="67">
        <v>3.9253039916901606</v>
      </c>
      <c r="H44" s="67">
        <v>0.54539179033529783</v>
      </c>
      <c r="I44" s="67">
        <v>3.9253039916901606</v>
      </c>
    </row>
    <row r="45" spans="1:9" ht="15.75" thickBot="1" x14ac:dyDescent="0.3">
      <c r="A45" s="91">
        <v>56350</v>
      </c>
      <c r="B45" s="114">
        <v>0.47752642200584744</v>
      </c>
      <c r="C45" s="114">
        <v>0.51631750113891017</v>
      </c>
      <c r="D45" s="114">
        <v>0.92486971863728018</v>
      </c>
      <c r="E45" s="114">
        <v>0.38580735287497625</v>
      </c>
      <c r="F45" s="114">
        <v>-0.74337046270900475</v>
      </c>
      <c r="G45" s="114">
        <v>1.6984233067206997</v>
      </c>
      <c r="H45" s="114">
        <v>-0.74337046270900475</v>
      </c>
      <c r="I45" s="114">
        <v>1.6984233067206997</v>
      </c>
    </row>
    <row r="46" spans="1:9" x14ac:dyDescent="0.25">
      <c r="A46" s="61"/>
      <c r="B46" s="61"/>
      <c r="C46" s="61"/>
      <c r="D46" s="61"/>
      <c r="E46" s="61"/>
      <c r="F46" s="61"/>
      <c r="G46" s="61"/>
      <c r="H46" s="61"/>
      <c r="I46" s="61"/>
    </row>
    <row r="47" spans="1:9" x14ac:dyDescent="0.25">
      <c r="A47" s="61"/>
      <c r="B47" s="61"/>
      <c r="C47" s="61"/>
      <c r="D47" s="61"/>
      <c r="E47" s="61"/>
      <c r="F47" s="61"/>
      <c r="G47" s="61"/>
      <c r="H47" s="61"/>
      <c r="I47" s="61"/>
    </row>
    <row r="48" spans="1:9" x14ac:dyDescent="0.25">
      <c r="A48" s="61"/>
      <c r="B48" s="61"/>
      <c r="C48" s="61"/>
      <c r="D48" s="61"/>
      <c r="E48" s="61"/>
      <c r="F48" s="61"/>
      <c r="G48" s="61"/>
      <c r="H48" s="61"/>
      <c r="I48" s="61"/>
    </row>
    <row r="49" spans="1:9" x14ac:dyDescent="0.25">
      <c r="A49" s="61" t="s">
        <v>125</v>
      </c>
      <c r="B49" s="61"/>
      <c r="C49" s="61"/>
      <c r="D49" s="61"/>
      <c r="E49" s="61" t="s">
        <v>128</v>
      </c>
      <c r="F49" s="61"/>
      <c r="G49" s="61"/>
      <c r="H49" s="61"/>
      <c r="I49" s="61"/>
    </row>
    <row r="50" spans="1:9" ht="15.75" thickBot="1" x14ac:dyDescent="0.3">
      <c r="A50" s="61"/>
      <c r="B50" s="61"/>
      <c r="C50" s="61"/>
      <c r="D50" s="61"/>
      <c r="E50" s="61"/>
      <c r="F50" s="61"/>
      <c r="G50" s="61"/>
      <c r="H50" s="61"/>
      <c r="I50" s="61"/>
    </row>
    <row r="51" spans="1:9" x14ac:dyDescent="0.25">
      <c r="A51" s="92" t="s">
        <v>126</v>
      </c>
      <c r="B51" s="92" t="s">
        <v>130</v>
      </c>
      <c r="C51" s="92" t="s">
        <v>127</v>
      </c>
      <c r="D51" s="61"/>
      <c r="E51" s="92" t="s">
        <v>129</v>
      </c>
      <c r="F51" s="92">
        <v>129734.52</v>
      </c>
      <c r="G51" s="61"/>
      <c r="H51" s="61"/>
      <c r="I51" s="61"/>
    </row>
    <row r="52" spans="1:9" x14ac:dyDescent="0.25">
      <c r="A52" s="67">
        <v>1</v>
      </c>
      <c r="B52" s="67">
        <v>149131.97515787923</v>
      </c>
      <c r="C52" s="67">
        <v>-4178.0151578792138</v>
      </c>
      <c r="D52" s="61"/>
      <c r="E52" s="67">
        <v>5</v>
      </c>
      <c r="F52" s="67">
        <v>85926.290000000008</v>
      </c>
      <c r="G52" s="61"/>
      <c r="H52" s="61"/>
      <c r="I52" s="61"/>
    </row>
    <row r="53" spans="1:9" x14ac:dyDescent="0.25">
      <c r="A53" s="67">
        <v>2</v>
      </c>
      <c r="B53" s="67">
        <v>125587.09171451587</v>
      </c>
      <c r="C53" s="67">
        <v>5160.3282854841382</v>
      </c>
      <c r="D53" s="61"/>
      <c r="E53" s="67">
        <v>15</v>
      </c>
      <c r="F53" s="67">
        <v>86784.34</v>
      </c>
      <c r="G53" s="61"/>
      <c r="H53" s="61"/>
      <c r="I53" s="61"/>
    </row>
    <row r="54" spans="1:9" x14ac:dyDescent="0.25">
      <c r="A54" s="67">
        <v>3</v>
      </c>
      <c r="B54" s="67">
        <v>83724.88849291834</v>
      </c>
      <c r="C54" s="67">
        <v>3059.451507081656</v>
      </c>
      <c r="D54" s="61"/>
      <c r="E54" s="67">
        <v>25</v>
      </c>
      <c r="F54" s="67">
        <v>103593.11</v>
      </c>
      <c r="G54" s="61"/>
      <c r="H54" s="61"/>
      <c r="I54" s="61"/>
    </row>
    <row r="55" spans="1:9" x14ac:dyDescent="0.25">
      <c r="A55" s="67">
        <v>4</v>
      </c>
      <c r="B55" s="67">
        <v>87870.368329241261</v>
      </c>
      <c r="C55" s="67">
        <v>-1944.0783292412525</v>
      </c>
      <c r="D55" s="61"/>
      <c r="E55" s="67">
        <v>35</v>
      </c>
      <c r="F55" s="67">
        <v>104646.03</v>
      </c>
      <c r="G55" s="61"/>
      <c r="H55" s="61"/>
      <c r="I55" s="61"/>
    </row>
    <row r="56" spans="1:9" x14ac:dyDescent="0.25">
      <c r="A56" s="67">
        <v>5</v>
      </c>
      <c r="B56" s="67">
        <v>108652.20330467087</v>
      </c>
      <c r="C56" s="67">
        <v>-3732.0133046708652</v>
      </c>
      <c r="D56" s="61"/>
      <c r="E56" s="67">
        <v>45</v>
      </c>
      <c r="F56" s="67">
        <v>104920.19</v>
      </c>
      <c r="G56" s="61"/>
      <c r="H56" s="61"/>
      <c r="I56" s="61"/>
    </row>
    <row r="57" spans="1:9" x14ac:dyDescent="0.25">
      <c r="A57" s="67">
        <v>6</v>
      </c>
      <c r="B57" s="67">
        <v>126043.5285482185</v>
      </c>
      <c r="C57" s="67">
        <v>-9676.5485482185031</v>
      </c>
      <c r="D57" s="61"/>
      <c r="E57" s="67">
        <v>55</v>
      </c>
      <c r="F57" s="67">
        <v>116366.98</v>
      </c>
      <c r="G57" s="61"/>
      <c r="H57" s="61"/>
      <c r="I57" s="61"/>
    </row>
    <row r="58" spans="1:9" x14ac:dyDescent="0.25">
      <c r="A58" s="67">
        <v>7</v>
      </c>
      <c r="B58" s="67">
        <v>117367.05849819702</v>
      </c>
      <c r="C58" s="67">
        <v>-13773.948498197016</v>
      </c>
      <c r="D58" s="61"/>
      <c r="E58" s="67">
        <v>65</v>
      </c>
      <c r="F58" s="67">
        <v>130747.42000000001</v>
      </c>
      <c r="G58" s="61"/>
      <c r="H58" s="61"/>
      <c r="I58" s="61"/>
    </row>
    <row r="59" spans="1:9" x14ac:dyDescent="0.25">
      <c r="A59" s="67">
        <v>8</v>
      </c>
      <c r="B59" s="67">
        <v>99870.530189663215</v>
      </c>
      <c r="C59" s="67">
        <v>4775.4998103367834</v>
      </c>
      <c r="D59" s="61"/>
      <c r="E59" s="67">
        <v>75</v>
      </c>
      <c r="F59" s="67">
        <v>144953.96000000002</v>
      </c>
      <c r="G59" s="61"/>
      <c r="H59" s="61"/>
      <c r="I59" s="61"/>
    </row>
    <row r="60" spans="1:9" x14ac:dyDescent="0.25">
      <c r="A60" s="67">
        <v>9</v>
      </c>
      <c r="B60" s="67">
        <v>153934.54442434432</v>
      </c>
      <c r="C60" s="67">
        <v>36318.795575655677</v>
      </c>
      <c r="D60" s="61"/>
      <c r="E60" s="67">
        <v>85</v>
      </c>
      <c r="F60" s="67">
        <v>167394.69</v>
      </c>
      <c r="G60" s="61"/>
      <c r="H60" s="61"/>
      <c r="I60" s="61"/>
    </row>
    <row r="61" spans="1:9" ht="15.75" thickBot="1" x14ac:dyDescent="0.3">
      <c r="A61" s="114">
        <v>10</v>
      </c>
      <c r="B61" s="114">
        <v>183404.16134035139</v>
      </c>
      <c r="C61" s="114">
        <v>-16009.471340351389</v>
      </c>
      <c r="D61" s="61"/>
      <c r="E61" s="114">
        <v>95</v>
      </c>
      <c r="F61" s="114">
        <v>190253.34</v>
      </c>
      <c r="G61" s="61"/>
      <c r="H61" s="61"/>
      <c r="I61" s="61"/>
    </row>
    <row r="62" spans="1:9" x14ac:dyDescent="0.25">
      <c r="A62" s="61"/>
      <c r="B62" s="61"/>
      <c r="C62" s="61"/>
      <c r="D62" s="61"/>
      <c r="E62" s="61"/>
      <c r="F62" s="61"/>
      <c r="G62" s="61"/>
      <c r="H62" s="61"/>
      <c r="I62" s="61"/>
    </row>
    <row r="63" spans="1:9" x14ac:dyDescent="0.25">
      <c r="A63" s="77" t="s">
        <v>138</v>
      </c>
      <c r="B63" s="61"/>
      <c r="C63" s="61"/>
      <c r="D63" s="61"/>
      <c r="E63" s="61"/>
      <c r="F63" s="61"/>
      <c r="G63" s="61"/>
      <c r="H63" s="61"/>
      <c r="I63" s="61"/>
    </row>
    <row r="64" spans="1:9" x14ac:dyDescent="0.25">
      <c r="A64" s="77" t="s">
        <v>151</v>
      </c>
    </row>
    <row r="65" spans="1:1" x14ac:dyDescent="0.25">
      <c r="A65" s="77" t="s">
        <v>140</v>
      </c>
    </row>
    <row r="66" spans="1:1" x14ac:dyDescent="0.25">
      <c r="A66" s="80" t="s">
        <v>141</v>
      </c>
    </row>
    <row r="67" spans="1:1" x14ac:dyDescent="0.25">
      <c r="A67" s="77" t="s">
        <v>143</v>
      </c>
    </row>
    <row r="68" spans="1:1" x14ac:dyDescent="0.25">
      <c r="A68" s="77" t="s">
        <v>144</v>
      </c>
    </row>
    <row r="69" spans="1:1" x14ac:dyDescent="0.25">
      <c r="A69" s="77" t="s">
        <v>145</v>
      </c>
    </row>
    <row r="70" spans="1:1" x14ac:dyDescent="0.25">
      <c r="A70" s="77" t="s">
        <v>146</v>
      </c>
    </row>
    <row r="71" spans="1:1" x14ac:dyDescent="0.25">
      <c r="A71" s="77" t="s">
        <v>264</v>
      </c>
    </row>
    <row r="72" spans="1:1" x14ac:dyDescent="0.25">
      <c r="A72" s="77" t="s">
        <v>147</v>
      </c>
    </row>
    <row r="73" spans="1:1" x14ac:dyDescent="0.25">
      <c r="A73" s="80" t="s">
        <v>142</v>
      </c>
    </row>
    <row r="74" spans="1:1" x14ac:dyDescent="0.25">
      <c r="A74" s="77" t="s">
        <v>149</v>
      </c>
    </row>
    <row r="75" spans="1:1" x14ac:dyDescent="0.25">
      <c r="A75" s="77" t="s">
        <v>150</v>
      </c>
    </row>
    <row r="76" spans="1:1" x14ac:dyDescent="0.25">
      <c r="A76" s="61"/>
    </row>
    <row r="77" spans="1:1" x14ac:dyDescent="0.25">
      <c r="A77" s="80" t="s">
        <v>102</v>
      </c>
    </row>
    <row r="78" spans="1:1" x14ac:dyDescent="0.25">
      <c r="A78" s="80" t="s">
        <v>155</v>
      </c>
    </row>
    <row r="79" spans="1:1" x14ac:dyDescent="0.25">
      <c r="A79" s="77" t="s">
        <v>153</v>
      </c>
    </row>
    <row r="80" spans="1:1" x14ac:dyDescent="0.25">
      <c r="A80" s="77" t="s">
        <v>152</v>
      </c>
    </row>
    <row r="81" spans="1:1" x14ac:dyDescent="0.25">
      <c r="A81" s="77" t="s">
        <v>154</v>
      </c>
    </row>
    <row r="82" spans="1:1" x14ac:dyDescent="0.25">
      <c r="A82" s="80" t="s">
        <v>263</v>
      </c>
    </row>
    <row r="83" spans="1:1" x14ac:dyDescent="0.25">
      <c r="A83" s="61"/>
    </row>
    <row r="84" spans="1:1" x14ac:dyDescent="0.25">
      <c r="A84" s="80" t="s">
        <v>156</v>
      </c>
    </row>
    <row r="85" spans="1:1" x14ac:dyDescent="0.25">
      <c r="A85" s="77" t="s">
        <v>157</v>
      </c>
    </row>
    <row r="86" spans="1:1" x14ac:dyDescent="0.25">
      <c r="A86" s="77" t="s">
        <v>158</v>
      </c>
    </row>
    <row r="87" spans="1:1" x14ac:dyDescent="0.25">
      <c r="A87" s="77" t="s">
        <v>159</v>
      </c>
    </row>
    <row r="88" spans="1:1" x14ac:dyDescent="0.25">
      <c r="A88" s="61"/>
    </row>
    <row r="89" spans="1:1" x14ac:dyDescent="0.25">
      <c r="A89" s="80" t="s">
        <v>160</v>
      </c>
    </row>
    <row r="90" spans="1:1" x14ac:dyDescent="0.25">
      <c r="A90" s="77" t="s">
        <v>161</v>
      </c>
    </row>
    <row r="91" spans="1:1" x14ac:dyDescent="0.25">
      <c r="A91" s="61"/>
    </row>
    <row r="92" spans="1:1" x14ac:dyDescent="0.25">
      <c r="A92" s="80" t="s">
        <v>162</v>
      </c>
    </row>
    <row r="93" spans="1:1" x14ac:dyDescent="0.25">
      <c r="A93" s="77" t="s">
        <v>164</v>
      </c>
    </row>
    <row r="94" spans="1:1" x14ac:dyDescent="0.25">
      <c r="A94" s="77" t="s">
        <v>163</v>
      </c>
    </row>
    <row r="95" spans="1:1" x14ac:dyDescent="0.25">
      <c r="A95" s="77" t="s">
        <v>165</v>
      </c>
    </row>
  </sheetData>
  <sortState xmlns:xlrd2="http://schemas.microsoft.com/office/spreadsheetml/2017/richdata2" ref="F52:F61">
    <sortCondition ref="F52"/>
  </sortState>
  <phoneticPr fontId="10" type="noConversion"/>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94D1F-AB0F-4165-B06A-61CCCB66E906}">
  <dimension ref="A1:E26"/>
  <sheetViews>
    <sheetView workbookViewId="0">
      <selection activeCell="J26" sqref="J26"/>
    </sheetView>
  </sheetViews>
  <sheetFormatPr defaultRowHeight="15" x14ac:dyDescent="0.25"/>
  <cols>
    <col min="1" max="1" width="34.42578125" customWidth="1"/>
  </cols>
  <sheetData>
    <row r="1" spans="1:3" x14ac:dyDescent="0.25">
      <c r="A1" s="96" t="s">
        <v>200</v>
      </c>
      <c r="B1" s="96"/>
      <c r="C1" s="96"/>
    </row>
    <row r="2" spans="1:3" x14ac:dyDescent="0.25">
      <c r="A2" s="96"/>
      <c r="B2" s="93">
        <v>2022</v>
      </c>
      <c r="C2" s="96" t="s">
        <v>205</v>
      </c>
    </row>
    <row r="3" spans="1:3" x14ac:dyDescent="0.25">
      <c r="A3" s="96" t="s">
        <v>201</v>
      </c>
      <c r="B3" s="93">
        <v>3250</v>
      </c>
      <c r="C3" s="97">
        <f>B3*33.33%</f>
        <v>1083.2249999999999</v>
      </c>
    </row>
    <row r="4" spans="1:3" x14ac:dyDescent="0.25">
      <c r="A4" s="96" t="s">
        <v>202</v>
      </c>
      <c r="B4" s="93">
        <v>593</v>
      </c>
      <c r="C4" s="97">
        <f>C3*C5</f>
        <v>182.41508999999999</v>
      </c>
    </row>
    <row r="5" spans="1:3" x14ac:dyDescent="0.25">
      <c r="A5" s="96" t="s">
        <v>203</v>
      </c>
      <c r="B5" s="98">
        <f>B4/$B$3</f>
        <v>0.18246153846153845</v>
      </c>
      <c r="C5" s="98">
        <v>0.16839999999999999</v>
      </c>
    </row>
    <row r="26" spans="1:5" x14ac:dyDescent="0.25">
      <c r="A26" t="s">
        <v>226</v>
      </c>
      <c r="B26" s="75">
        <f>'Price (f)'!B12</f>
        <v>132036.75</v>
      </c>
      <c r="C26" s="75">
        <v>133978.73360695751</v>
      </c>
      <c r="D26" s="75">
        <v>120259.99797896203</v>
      </c>
      <c r="E26" s="75">
        <v>126883.48582200869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A4118-19C7-4B39-9EA8-C044EA332B4E}">
  <dimension ref="A1:F20"/>
  <sheetViews>
    <sheetView showGridLines="0" zoomScale="90" workbookViewId="0">
      <selection activeCell="A18" sqref="A18"/>
    </sheetView>
  </sheetViews>
  <sheetFormatPr defaultRowHeight="15" x14ac:dyDescent="0.25"/>
  <cols>
    <col min="1" max="1" width="51" customWidth="1"/>
    <col min="2" max="2" width="20.42578125" bestFit="1" customWidth="1"/>
    <col min="3" max="4" width="24.42578125" bestFit="1" customWidth="1"/>
    <col min="5" max="5" width="25.85546875" bestFit="1" customWidth="1"/>
  </cols>
  <sheetData>
    <row r="1" spans="1:6" x14ac:dyDescent="0.25">
      <c r="A1" s="48" t="s">
        <v>212</v>
      </c>
      <c r="B1" s="48" t="s">
        <v>216</v>
      </c>
      <c r="C1" s="48" t="s">
        <v>217</v>
      </c>
      <c r="D1" s="48" t="s">
        <v>218</v>
      </c>
      <c r="E1" s="55" t="s">
        <v>265</v>
      </c>
    </row>
    <row r="2" spans="1:6" x14ac:dyDescent="0.25">
      <c r="A2" s="99" t="s">
        <v>208</v>
      </c>
      <c r="B2" s="100">
        <v>70042.935069614061</v>
      </c>
      <c r="C2" s="100">
        <v>67427.038592501296</v>
      </c>
      <c r="D2" s="100">
        <v>69817.421512886955</v>
      </c>
      <c r="E2" s="100">
        <v>92009.4</v>
      </c>
    </row>
    <row r="3" spans="1:6" x14ac:dyDescent="0.25">
      <c r="A3" s="31" t="s">
        <v>207</v>
      </c>
      <c r="B3" s="50">
        <f>B11*0.58</f>
        <v>45546.611199999999</v>
      </c>
      <c r="C3" s="50">
        <f>C11*0.58</f>
        <v>39422.008399999992</v>
      </c>
      <c r="D3" s="50">
        <f>D11*0.58</f>
        <v>50142.571799999998</v>
      </c>
      <c r="E3" s="50">
        <f>E11*0.58</f>
        <v>58305.607799999998</v>
      </c>
    </row>
    <row r="4" spans="1:6" x14ac:dyDescent="0.25">
      <c r="A4" s="49" t="s">
        <v>210</v>
      </c>
      <c r="B4" s="50">
        <v>24496.32</v>
      </c>
      <c r="C4" s="50">
        <v>28005.03</v>
      </c>
      <c r="D4" s="50">
        <v>19674.849999999999</v>
      </c>
      <c r="E4" s="50">
        <v>33703.79</v>
      </c>
    </row>
    <row r="5" spans="1:6" x14ac:dyDescent="0.25">
      <c r="A5" s="99" t="s">
        <v>209</v>
      </c>
      <c r="B5" s="100">
        <v>13461.16</v>
      </c>
      <c r="C5" s="100">
        <v>12415.52</v>
      </c>
      <c r="D5" s="100">
        <v>16334.38</v>
      </c>
      <c r="E5" s="100">
        <v>17084.03</v>
      </c>
    </row>
    <row r="6" spans="1:6" x14ac:dyDescent="0.25">
      <c r="A6" s="101" t="s">
        <v>211</v>
      </c>
      <c r="B6" s="102">
        <f>B5+B2</f>
        <v>83504.095069614064</v>
      </c>
      <c r="C6" s="102">
        <f>C5+C2</f>
        <v>79842.5585925013</v>
      </c>
      <c r="D6" s="102">
        <f>D2+D5</f>
        <v>86151.801512886959</v>
      </c>
      <c r="E6" s="102">
        <f>E5+E2</f>
        <v>109093.43</v>
      </c>
    </row>
    <row r="7" spans="1:6" x14ac:dyDescent="0.25">
      <c r="A7" s="49" t="s">
        <v>204</v>
      </c>
      <c r="B7" s="50">
        <v>102306.16</v>
      </c>
      <c r="C7" s="50">
        <v>94331.94</v>
      </c>
      <c r="D7" s="50">
        <v>103460.79</v>
      </c>
      <c r="E7" s="50">
        <v>133774.9</v>
      </c>
    </row>
    <row r="8" spans="1:6" x14ac:dyDescent="0.25">
      <c r="A8" s="49" t="s">
        <v>202</v>
      </c>
      <c r="B8" s="50">
        <f t="shared" ref="B8:D8" si="0">B7-B6</f>
        <v>18802.064930385939</v>
      </c>
      <c r="C8" s="50">
        <f t="shared" si="0"/>
        <v>14489.381407498702</v>
      </c>
      <c r="D8" s="50">
        <f t="shared" si="0"/>
        <v>17308.988487113034</v>
      </c>
      <c r="E8" s="50">
        <f>E7-E6</f>
        <v>24681.47</v>
      </c>
    </row>
    <row r="9" spans="1:6" x14ac:dyDescent="0.25">
      <c r="A9" s="103" t="s">
        <v>213</v>
      </c>
      <c r="B9" s="106">
        <f>B8/$B$7</f>
        <v>0.18378233461588175</v>
      </c>
      <c r="C9" s="106">
        <f>C8/$C$7</f>
        <v>0.15359995148513539</v>
      </c>
      <c r="D9" s="106">
        <f>D8/$D$7</f>
        <v>0.16729998376305685</v>
      </c>
      <c r="E9" s="106">
        <f>E8/E7</f>
        <v>0.18450000710148168</v>
      </c>
    </row>
    <row r="11" spans="1:6" x14ac:dyDescent="0.25">
      <c r="A11" s="95" t="s">
        <v>225</v>
      </c>
      <c r="B11" s="109">
        <v>78528.639999999999</v>
      </c>
      <c r="C11" s="109">
        <v>67968.98</v>
      </c>
      <c r="D11" s="109">
        <v>86452.71</v>
      </c>
      <c r="E11" s="109">
        <v>100526.91</v>
      </c>
      <c r="F11" s="43"/>
    </row>
    <row r="13" spans="1:6" x14ac:dyDescent="0.25">
      <c r="A13" s="95" t="s">
        <v>206</v>
      </c>
      <c r="B13" s="95" t="s">
        <v>235</v>
      </c>
      <c r="D13" s="108"/>
    </row>
    <row r="14" spans="1:6" x14ac:dyDescent="0.25">
      <c r="B14" s="43"/>
      <c r="C14" s="43"/>
      <c r="D14" s="43"/>
    </row>
    <row r="15" spans="1:6" x14ac:dyDescent="0.25">
      <c r="A15" s="80" t="s">
        <v>259</v>
      </c>
      <c r="B15" s="43"/>
      <c r="C15" s="43"/>
      <c r="D15" s="43"/>
    </row>
    <row r="16" spans="1:6" x14ac:dyDescent="0.25">
      <c r="A16" s="77" t="s">
        <v>260</v>
      </c>
    </row>
    <row r="17" spans="1:1" x14ac:dyDescent="0.25">
      <c r="A17" s="77" t="s">
        <v>267</v>
      </c>
    </row>
    <row r="18" spans="1:1" x14ac:dyDescent="0.25">
      <c r="A18" s="77" t="s">
        <v>261</v>
      </c>
    </row>
    <row r="19" spans="1:1" x14ac:dyDescent="0.25">
      <c r="A19" s="77" t="s">
        <v>262</v>
      </c>
    </row>
    <row r="20" spans="1:1" x14ac:dyDescent="0.25">
      <c r="A20" s="77" t="s">
        <v>266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31BA0-9494-41F4-9958-09991C7BA74F}">
  <dimension ref="A1:C37"/>
  <sheetViews>
    <sheetView showGridLines="0" workbookViewId="0">
      <selection activeCell="C12" sqref="C12"/>
    </sheetView>
  </sheetViews>
  <sheetFormatPr defaultRowHeight="15" x14ac:dyDescent="0.25"/>
  <cols>
    <col min="1" max="1" width="11" customWidth="1"/>
    <col min="3" max="3" width="10.5703125" customWidth="1"/>
    <col min="4" max="4" width="25.28515625" customWidth="1"/>
    <col min="5" max="5" width="25.42578125" customWidth="1"/>
  </cols>
  <sheetData>
    <row r="1" spans="1:3" x14ac:dyDescent="0.25">
      <c r="A1" t="s">
        <v>222</v>
      </c>
      <c r="B1" t="s">
        <v>223</v>
      </c>
      <c r="C1" t="s">
        <v>224</v>
      </c>
    </row>
    <row r="2" spans="1:3" x14ac:dyDescent="0.25">
      <c r="A2">
        <v>2013</v>
      </c>
      <c r="B2">
        <v>45878.31</v>
      </c>
    </row>
    <row r="3" spans="1:3" x14ac:dyDescent="0.25">
      <c r="A3">
        <v>2014</v>
      </c>
      <c r="B3">
        <v>46660.19</v>
      </c>
    </row>
    <row r="4" spans="1:3" x14ac:dyDescent="0.25">
      <c r="A4">
        <v>2015</v>
      </c>
      <c r="B4">
        <v>39139.32</v>
      </c>
    </row>
    <row r="5" spans="1:3" x14ac:dyDescent="0.25">
      <c r="A5">
        <v>2016</v>
      </c>
      <c r="B5">
        <v>22481.97</v>
      </c>
    </row>
    <row r="6" spans="1:3" x14ac:dyDescent="0.25">
      <c r="A6">
        <v>2017</v>
      </c>
      <c r="B6">
        <v>22445.9</v>
      </c>
    </row>
    <row r="7" spans="1:3" x14ac:dyDescent="0.25">
      <c r="A7">
        <v>2018</v>
      </c>
      <c r="B7">
        <v>27989.42</v>
      </c>
    </row>
    <row r="8" spans="1:3" x14ac:dyDescent="0.25">
      <c r="A8">
        <v>2019</v>
      </c>
      <c r="B8">
        <v>35662.75</v>
      </c>
    </row>
    <row r="9" spans="1:3" x14ac:dyDescent="0.25">
      <c r="A9">
        <v>2020</v>
      </c>
      <c r="B9">
        <v>32473.41</v>
      </c>
    </row>
    <row r="10" spans="1:3" x14ac:dyDescent="0.25">
      <c r="A10">
        <v>2021</v>
      </c>
      <c r="B10">
        <v>24016.01</v>
      </c>
    </row>
    <row r="11" spans="1:3" x14ac:dyDescent="0.25">
      <c r="A11">
        <v>2022</v>
      </c>
      <c r="B11">
        <v>45114.01</v>
      </c>
    </row>
    <row r="12" spans="1:3" x14ac:dyDescent="0.25">
      <c r="A12">
        <v>2023</v>
      </c>
      <c r="B12">
        <v>55498.98</v>
      </c>
      <c r="C12">
        <v>55498.98</v>
      </c>
    </row>
    <row r="13" spans="1:3" x14ac:dyDescent="0.25">
      <c r="A13">
        <v>2024</v>
      </c>
      <c r="C13">
        <f t="shared" ref="C13:C37" si="0">_xlfn.FORECAST.ETS(A13,$B$2:$B$12,$A$2:$A$12,1,1)</f>
        <v>55769.420272727286</v>
      </c>
    </row>
    <row r="14" spans="1:3" x14ac:dyDescent="0.25">
      <c r="A14">
        <v>2025</v>
      </c>
      <c r="C14">
        <f t="shared" si="0"/>
        <v>56039.860545454561</v>
      </c>
    </row>
    <row r="15" spans="1:3" x14ac:dyDescent="0.25">
      <c r="A15">
        <v>2026</v>
      </c>
      <c r="C15">
        <f t="shared" si="0"/>
        <v>56310.300818181844</v>
      </c>
    </row>
    <row r="16" spans="1:3" x14ac:dyDescent="0.25">
      <c r="A16">
        <v>2027</v>
      </c>
      <c r="C16">
        <f t="shared" si="0"/>
        <v>56580.74109090912</v>
      </c>
    </row>
    <row r="17" spans="1:3" x14ac:dyDescent="0.25">
      <c r="A17">
        <v>2028</v>
      </c>
      <c r="C17">
        <f t="shared" si="0"/>
        <v>56851.181363636402</v>
      </c>
    </row>
    <row r="18" spans="1:3" x14ac:dyDescent="0.25">
      <c r="A18">
        <v>2029</v>
      </c>
      <c r="C18">
        <f t="shared" si="0"/>
        <v>57121.621636363678</v>
      </c>
    </row>
    <row r="19" spans="1:3" x14ac:dyDescent="0.25">
      <c r="A19">
        <v>2030</v>
      </c>
      <c r="C19">
        <f t="shared" si="0"/>
        <v>57392.06190909096</v>
      </c>
    </row>
    <row r="20" spans="1:3" x14ac:dyDescent="0.25">
      <c r="A20">
        <v>2031</v>
      </c>
      <c r="C20">
        <f t="shared" si="0"/>
        <v>57662.502181818236</v>
      </c>
    </row>
    <row r="21" spans="1:3" x14ac:dyDescent="0.25">
      <c r="A21">
        <v>2032</v>
      </c>
      <c r="C21">
        <f t="shared" si="0"/>
        <v>57932.942454545519</v>
      </c>
    </row>
    <row r="22" spans="1:3" x14ac:dyDescent="0.25">
      <c r="A22">
        <v>2033</v>
      </c>
      <c r="C22">
        <f t="shared" si="0"/>
        <v>58203.382727272794</v>
      </c>
    </row>
    <row r="23" spans="1:3" x14ac:dyDescent="0.25">
      <c r="A23">
        <v>2034</v>
      </c>
      <c r="C23">
        <f t="shared" si="0"/>
        <v>58473.823000000077</v>
      </c>
    </row>
    <row r="24" spans="1:3" x14ac:dyDescent="0.25">
      <c r="A24">
        <v>2035</v>
      </c>
      <c r="C24">
        <f t="shared" si="0"/>
        <v>58744.263272727352</v>
      </c>
    </row>
    <row r="25" spans="1:3" x14ac:dyDescent="0.25">
      <c r="A25">
        <v>2036</v>
      </c>
      <c r="C25">
        <f t="shared" si="0"/>
        <v>59014.703545454635</v>
      </c>
    </row>
    <row r="26" spans="1:3" x14ac:dyDescent="0.25">
      <c r="A26">
        <v>2037</v>
      </c>
      <c r="C26">
        <f t="shared" si="0"/>
        <v>59285.14381818191</v>
      </c>
    </row>
    <row r="27" spans="1:3" x14ac:dyDescent="0.25">
      <c r="A27">
        <v>2038</v>
      </c>
      <c r="C27">
        <f t="shared" si="0"/>
        <v>59555.584090909193</v>
      </c>
    </row>
    <row r="28" spans="1:3" x14ac:dyDescent="0.25">
      <c r="A28">
        <v>2039</v>
      </c>
      <c r="C28">
        <f t="shared" si="0"/>
        <v>59826.024363636468</v>
      </c>
    </row>
    <row r="29" spans="1:3" x14ac:dyDescent="0.25">
      <c r="A29">
        <v>2040</v>
      </c>
      <c r="C29">
        <f t="shared" si="0"/>
        <v>60096.464636363751</v>
      </c>
    </row>
    <row r="30" spans="1:3" x14ac:dyDescent="0.25">
      <c r="A30">
        <v>2041</v>
      </c>
      <c r="C30">
        <f t="shared" si="0"/>
        <v>60366.904909091027</v>
      </c>
    </row>
    <row r="31" spans="1:3" x14ac:dyDescent="0.25">
      <c r="A31">
        <v>2042</v>
      </c>
      <c r="C31">
        <f t="shared" si="0"/>
        <v>60637.345181818309</v>
      </c>
    </row>
    <row r="32" spans="1:3" x14ac:dyDescent="0.25">
      <c r="A32">
        <v>2043</v>
      </c>
      <c r="C32">
        <f t="shared" si="0"/>
        <v>60907.785454545592</v>
      </c>
    </row>
    <row r="33" spans="1:3" x14ac:dyDescent="0.25">
      <c r="A33">
        <v>2044</v>
      </c>
      <c r="C33">
        <f t="shared" si="0"/>
        <v>61178.225727272868</v>
      </c>
    </row>
    <row r="34" spans="1:3" x14ac:dyDescent="0.25">
      <c r="A34">
        <v>2045</v>
      </c>
      <c r="C34">
        <f t="shared" si="0"/>
        <v>61448.666000000143</v>
      </c>
    </row>
    <row r="35" spans="1:3" x14ac:dyDescent="0.25">
      <c r="A35">
        <v>2046</v>
      </c>
      <c r="C35">
        <f t="shared" si="0"/>
        <v>61719.106272727426</v>
      </c>
    </row>
    <row r="36" spans="1:3" x14ac:dyDescent="0.25">
      <c r="A36">
        <v>2047</v>
      </c>
      <c r="C36">
        <f t="shared" si="0"/>
        <v>61989.546545454708</v>
      </c>
    </row>
    <row r="37" spans="1:3" x14ac:dyDescent="0.25">
      <c r="A37">
        <v>2048</v>
      </c>
      <c r="C37">
        <f t="shared" si="0"/>
        <v>62259.986818181984</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E2212-D7AE-429E-A4B0-A27C2F0B8E84}">
  <dimension ref="A1:C37"/>
  <sheetViews>
    <sheetView showGridLines="0" workbookViewId="0">
      <selection activeCell="J21" sqref="J21"/>
    </sheetView>
  </sheetViews>
  <sheetFormatPr defaultRowHeight="15" x14ac:dyDescent="0.25"/>
  <cols>
    <col min="1" max="1" width="11" customWidth="1"/>
    <col min="3" max="3" width="10.5703125" customWidth="1"/>
    <col min="4" max="4" width="25.28515625" customWidth="1"/>
    <col min="5" max="5" width="25.42578125" customWidth="1"/>
  </cols>
  <sheetData>
    <row r="1" spans="1:3" x14ac:dyDescent="0.25">
      <c r="A1" t="s">
        <v>222</v>
      </c>
      <c r="B1" t="s">
        <v>223</v>
      </c>
      <c r="C1" t="s">
        <v>224</v>
      </c>
    </row>
    <row r="2" spans="1:3" x14ac:dyDescent="0.25">
      <c r="A2">
        <v>2013</v>
      </c>
      <c r="B2">
        <v>56350</v>
      </c>
    </row>
    <row r="3" spans="1:3" x14ac:dyDescent="0.25">
      <c r="A3">
        <v>2014</v>
      </c>
      <c r="B3">
        <v>58580</v>
      </c>
    </row>
    <row r="4" spans="1:3" x14ac:dyDescent="0.25">
      <c r="A4">
        <v>2015</v>
      </c>
      <c r="B4">
        <v>44480</v>
      </c>
    </row>
    <row r="5" spans="1:3" x14ac:dyDescent="0.25">
      <c r="A5">
        <v>2016</v>
      </c>
      <c r="B5">
        <v>34790</v>
      </c>
    </row>
    <row r="6" spans="1:3" x14ac:dyDescent="0.25">
      <c r="A6">
        <v>2017</v>
      </c>
      <c r="B6">
        <v>43640</v>
      </c>
    </row>
    <row r="7" spans="1:3" x14ac:dyDescent="0.25">
      <c r="A7">
        <v>2018</v>
      </c>
      <c r="B7">
        <v>61210</v>
      </c>
    </row>
    <row r="8" spans="1:3" x14ac:dyDescent="0.25">
      <c r="A8">
        <v>2019</v>
      </c>
      <c r="B8">
        <v>61710</v>
      </c>
    </row>
    <row r="9" spans="1:3" x14ac:dyDescent="0.25">
      <c r="A9">
        <v>2020</v>
      </c>
      <c r="B9">
        <v>58470</v>
      </c>
    </row>
    <row r="10" spans="1:3" x14ac:dyDescent="0.25">
      <c r="A10">
        <v>2021</v>
      </c>
      <c r="B10">
        <v>61420</v>
      </c>
    </row>
    <row r="11" spans="1:3" x14ac:dyDescent="0.25">
      <c r="A11">
        <v>2022</v>
      </c>
      <c r="B11">
        <v>75875</v>
      </c>
    </row>
    <row r="12" spans="1:3" x14ac:dyDescent="0.25">
      <c r="A12">
        <v>2023</v>
      </c>
      <c r="B12">
        <v>88975</v>
      </c>
      <c r="C12">
        <v>88975</v>
      </c>
    </row>
    <row r="13" spans="1:3" x14ac:dyDescent="0.25">
      <c r="A13">
        <v>2024</v>
      </c>
      <c r="C13">
        <f t="shared" ref="C13:C37" si="0">_xlfn.FORECAST.ETS(A13,$B$2:$B$12,$A$2:$A$12,1,1)</f>
        <v>91037.200763139132</v>
      </c>
    </row>
    <row r="14" spans="1:3" x14ac:dyDescent="0.25">
      <c r="A14">
        <v>2025</v>
      </c>
      <c r="C14">
        <f t="shared" si="0"/>
        <v>94205.878078206209</v>
      </c>
    </row>
    <row r="15" spans="1:3" x14ac:dyDescent="0.25">
      <c r="A15">
        <v>2026</v>
      </c>
      <c r="C15">
        <f t="shared" si="0"/>
        <v>97374.555393273273</v>
      </c>
    </row>
    <row r="16" spans="1:3" x14ac:dyDescent="0.25">
      <c r="A16">
        <v>2027</v>
      </c>
      <c r="C16">
        <f t="shared" si="0"/>
        <v>100543.23270834035</v>
      </c>
    </row>
    <row r="17" spans="1:3" x14ac:dyDescent="0.25">
      <c r="A17">
        <v>2028</v>
      </c>
      <c r="C17">
        <f t="shared" si="0"/>
        <v>103711.91002340743</v>
      </c>
    </row>
    <row r="18" spans="1:3" x14ac:dyDescent="0.25">
      <c r="A18">
        <v>2029</v>
      </c>
      <c r="C18">
        <f t="shared" si="0"/>
        <v>106880.58733847451</v>
      </c>
    </row>
    <row r="19" spans="1:3" x14ac:dyDescent="0.25">
      <c r="A19">
        <v>2030</v>
      </c>
      <c r="C19">
        <f t="shared" si="0"/>
        <v>110049.26465354158</v>
      </c>
    </row>
    <row r="20" spans="1:3" x14ac:dyDescent="0.25">
      <c r="A20">
        <v>2031</v>
      </c>
      <c r="C20">
        <f t="shared" si="0"/>
        <v>113217.94196860865</v>
      </c>
    </row>
    <row r="21" spans="1:3" x14ac:dyDescent="0.25">
      <c r="A21">
        <v>2032</v>
      </c>
      <c r="C21">
        <f t="shared" si="0"/>
        <v>116386.61928367573</v>
      </c>
    </row>
    <row r="22" spans="1:3" x14ac:dyDescent="0.25">
      <c r="A22">
        <v>2033</v>
      </c>
      <c r="C22">
        <f t="shared" si="0"/>
        <v>119555.2965987428</v>
      </c>
    </row>
    <row r="23" spans="1:3" x14ac:dyDescent="0.25">
      <c r="A23">
        <v>2034</v>
      </c>
      <c r="C23">
        <f t="shared" si="0"/>
        <v>122723.97391380988</v>
      </c>
    </row>
    <row r="24" spans="1:3" x14ac:dyDescent="0.25">
      <c r="A24">
        <v>2035</v>
      </c>
      <c r="C24">
        <f t="shared" si="0"/>
        <v>125892.65122887696</v>
      </c>
    </row>
    <row r="25" spans="1:3" x14ac:dyDescent="0.25">
      <c r="A25">
        <v>2036</v>
      </c>
      <c r="C25">
        <f t="shared" si="0"/>
        <v>129061.32854394402</v>
      </c>
    </row>
    <row r="26" spans="1:3" x14ac:dyDescent="0.25">
      <c r="A26">
        <v>2037</v>
      </c>
      <c r="C26">
        <f t="shared" si="0"/>
        <v>132230.00585901111</v>
      </c>
    </row>
    <row r="27" spans="1:3" x14ac:dyDescent="0.25">
      <c r="A27">
        <v>2038</v>
      </c>
      <c r="C27">
        <f t="shared" si="0"/>
        <v>135398.68317407818</v>
      </c>
    </row>
    <row r="28" spans="1:3" x14ac:dyDescent="0.25">
      <c r="A28">
        <v>2039</v>
      </c>
      <c r="C28">
        <f t="shared" si="0"/>
        <v>138567.36048914527</v>
      </c>
    </row>
    <row r="29" spans="1:3" x14ac:dyDescent="0.25">
      <c r="A29">
        <v>2040</v>
      </c>
      <c r="C29">
        <f t="shared" si="0"/>
        <v>141736.03780421233</v>
      </c>
    </row>
    <row r="30" spans="1:3" x14ac:dyDescent="0.25">
      <c r="A30">
        <v>2041</v>
      </c>
      <c r="C30">
        <f t="shared" si="0"/>
        <v>144904.7151192794</v>
      </c>
    </row>
    <row r="31" spans="1:3" x14ac:dyDescent="0.25">
      <c r="A31">
        <v>2042</v>
      </c>
      <c r="C31">
        <f t="shared" si="0"/>
        <v>148073.39243434649</v>
      </c>
    </row>
    <row r="32" spans="1:3" x14ac:dyDescent="0.25">
      <c r="A32">
        <v>2043</v>
      </c>
      <c r="C32">
        <f t="shared" si="0"/>
        <v>151242.06974941355</v>
      </c>
    </row>
    <row r="33" spans="1:3" x14ac:dyDescent="0.25">
      <c r="A33">
        <v>2044</v>
      </c>
      <c r="C33">
        <f t="shared" si="0"/>
        <v>154410.74706448062</v>
      </c>
    </row>
    <row r="34" spans="1:3" x14ac:dyDescent="0.25">
      <c r="A34">
        <v>2045</v>
      </c>
      <c r="C34">
        <f t="shared" si="0"/>
        <v>157579.42437954771</v>
      </c>
    </row>
    <row r="35" spans="1:3" x14ac:dyDescent="0.25">
      <c r="A35">
        <v>2046</v>
      </c>
      <c r="C35">
        <f t="shared" si="0"/>
        <v>160748.1016946148</v>
      </c>
    </row>
    <row r="36" spans="1:3" x14ac:dyDescent="0.25">
      <c r="A36">
        <v>2047</v>
      </c>
      <c r="C36">
        <f t="shared" si="0"/>
        <v>163916.77900968186</v>
      </c>
    </row>
    <row r="37" spans="1:3" x14ac:dyDescent="0.25">
      <c r="A37">
        <v>2048</v>
      </c>
      <c r="C37">
        <f t="shared" si="0"/>
        <v>167085.45632474893</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83920-3783-487A-B472-36D70AECEEFA}">
  <dimension ref="A1:C37"/>
  <sheetViews>
    <sheetView showGridLines="0" workbookViewId="0">
      <selection activeCell="B6" sqref="B6"/>
    </sheetView>
  </sheetViews>
  <sheetFormatPr defaultRowHeight="15" x14ac:dyDescent="0.25"/>
  <cols>
    <col min="1" max="1" width="11" customWidth="1"/>
    <col min="2" max="2" width="9.28515625" bestFit="1" customWidth="1"/>
    <col min="3" max="3" width="10.5703125" customWidth="1"/>
  </cols>
  <sheetData>
    <row r="1" spans="1:3" x14ac:dyDescent="0.25">
      <c r="A1" t="s">
        <v>222</v>
      </c>
      <c r="B1" t="s">
        <v>223</v>
      </c>
      <c r="C1" t="s">
        <v>224</v>
      </c>
    </row>
    <row r="2" spans="1:3" x14ac:dyDescent="0.25">
      <c r="A2">
        <v>2013</v>
      </c>
      <c r="B2">
        <v>135903.56</v>
      </c>
    </row>
    <row r="3" spans="1:3" x14ac:dyDescent="0.25">
      <c r="A3">
        <v>2014</v>
      </c>
      <c r="B3">
        <v>152641.75750000001</v>
      </c>
    </row>
    <row r="4" spans="1:3" x14ac:dyDescent="0.25">
      <c r="A4">
        <v>2015</v>
      </c>
      <c r="B4">
        <v>137113.905</v>
      </c>
    </row>
    <row r="5" spans="1:3" x14ac:dyDescent="0.25">
      <c r="A5">
        <v>2016</v>
      </c>
      <c r="B5">
        <v>90182.747499999998</v>
      </c>
    </row>
    <row r="6" spans="1:3" x14ac:dyDescent="0.25">
      <c r="A6">
        <v>2017</v>
      </c>
      <c r="B6">
        <v>89522.037499999991</v>
      </c>
    </row>
    <row r="7" spans="1:3" x14ac:dyDescent="0.25">
      <c r="A7">
        <v>2018</v>
      </c>
      <c r="B7">
        <v>110350.24</v>
      </c>
    </row>
    <row r="8" spans="1:3" x14ac:dyDescent="0.25">
      <c r="A8">
        <v>2019</v>
      </c>
      <c r="B8">
        <v>123471.30250000001</v>
      </c>
    </row>
    <row r="9" spans="1:3" x14ac:dyDescent="0.25">
      <c r="A9">
        <v>2020</v>
      </c>
      <c r="B9">
        <v>109227.52500000001</v>
      </c>
    </row>
    <row r="10" spans="1:3" x14ac:dyDescent="0.25">
      <c r="A10">
        <v>2021</v>
      </c>
      <c r="B10">
        <v>105316.62999999999</v>
      </c>
    </row>
    <row r="11" spans="1:3" x14ac:dyDescent="0.25">
      <c r="A11">
        <v>2022</v>
      </c>
      <c r="B11">
        <v>216570.1275</v>
      </c>
    </row>
    <row r="12" spans="1:3" x14ac:dyDescent="0.25">
      <c r="A12">
        <v>2023</v>
      </c>
      <c r="B12">
        <v>176315.5</v>
      </c>
      <c r="C12">
        <v>176315.5</v>
      </c>
    </row>
    <row r="13" spans="1:3" x14ac:dyDescent="0.25">
      <c r="A13">
        <v>2024</v>
      </c>
      <c r="C13">
        <f t="shared" ref="C13:C37" si="0">_xlfn.FORECAST.ETS(A13,$B$2:$B$12,$A$2:$A$12,1,1)</f>
        <v>180264.77431818188</v>
      </c>
    </row>
    <row r="14" spans="1:3" x14ac:dyDescent="0.25">
      <c r="A14">
        <v>2025</v>
      </c>
      <c r="C14">
        <f t="shared" si="0"/>
        <v>184214.04863636364</v>
      </c>
    </row>
    <row r="15" spans="1:3" x14ac:dyDescent="0.25">
      <c r="A15">
        <v>2026</v>
      </c>
      <c r="C15">
        <f t="shared" si="0"/>
        <v>188163.3229545455</v>
      </c>
    </row>
    <row r="16" spans="1:3" x14ac:dyDescent="0.25">
      <c r="A16">
        <v>2027</v>
      </c>
      <c r="C16">
        <f t="shared" si="0"/>
        <v>192112.59727272726</v>
      </c>
    </row>
    <row r="17" spans="1:3" x14ac:dyDescent="0.25">
      <c r="A17">
        <v>2028</v>
      </c>
      <c r="C17">
        <f t="shared" si="0"/>
        <v>196061.87159090914</v>
      </c>
    </row>
    <row r="18" spans="1:3" x14ac:dyDescent="0.25">
      <c r="A18">
        <v>2029</v>
      </c>
      <c r="C18">
        <f t="shared" si="0"/>
        <v>200011.1459090909</v>
      </c>
    </row>
    <row r="19" spans="1:3" x14ac:dyDescent="0.25">
      <c r="A19">
        <v>2030</v>
      </c>
      <c r="C19">
        <f t="shared" si="0"/>
        <v>203960.42022727276</v>
      </c>
    </row>
    <row r="20" spans="1:3" x14ac:dyDescent="0.25">
      <c r="A20">
        <v>2031</v>
      </c>
      <c r="C20">
        <f t="shared" si="0"/>
        <v>207909.69454545452</v>
      </c>
    </row>
    <row r="21" spans="1:3" x14ac:dyDescent="0.25">
      <c r="A21">
        <v>2032</v>
      </c>
      <c r="C21">
        <f t="shared" si="0"/>
        <v>211858.9688636364</v>
      </c>
    </row>
    <row r="22" spans="1:3" x14ac:dyDescent="0.25">
      <c r="A22">
        <v>2033</v>
      </c>
      <c r="C22">
        <f t="shared" si="0"/>
        <v>215808.24318181816</v>
      </c>
    </row>
    <row r="23" spans="1:3" x14ac:dyDescent="0.25">
      <c r="A23">
        <v>2034</v>
      </c>
      <c r="C23">
        <f t="shared" si="0"/>
        <v>219757.51750000005</v>
      </c>
    </row>
    <row r="24" spans="1:3" x14ac:dyDescent="0.25">
      <c r="A24">
        <v>2035</v>
      </c>
      <c r="C24">
        <f t="shared" si="0"/>
        <v>223706.79181818178</v>
      </c>
    </row>
    <row r="25" spans="1:3" x14ac:dyDescent="0.25">
      <c r="A25">
        <v>2036</v>
      </c>
      <c r="C25">
        <f t="shared" si="0"/>
        <v>227656.06613636366</v>
      </c>
    </row>
    <row r="26" spans="1:3" x14ac:dyDescent="0.25">
      <c r="A26">
        <v>2037</v>
      </c>
      <c r="C26">
        <f t="shared" si="0"/>
        <v>231605.34045454543</v>
      </c>
    </row>
    <row r="27" spans="1:3" x14ac:dyDescent="0.25">
      <c r="A27">
        <v>2038</v>
      </c>
      <c r="C27">
        <f t="shared" si="0"/>
        <v>235554.61477272731</v>
      </c>
    </row>
    <row r="28" spans="1:3" x14ac:dyDescent="0.25">
      <c r="A28">
        <v>2039</v>
      </c>
      <c r="C28">
        <f t="shared" si="0"/>
        <v>239503.88909090907</v>
      </c>
    </row>
    <row r="29" spans="1:3" x14ac:dyDescent="0.25">
      <c r="A29">
        <v>2040</v>
      </c>
      <c r="C29">
        <f t="shared" si="0"/>
        <v>243453.16340909092</v>
      </c>
    </row>
    <row r="30" spans="1:3" x14ac:dyDescent="0.25">
      <c r="A30">
        <v>2041</v>
      </c>
      <c r="C30">
        <f t="shared" si="0"/>
        <v>247402.43772727269</v>
      </c>
    </row>
    <row r="31" spans="1:3" x14ac:dyDescent="0.25">
      <c r="A31">
        <v>2042</v>
      </c>
      <c r="C31">
        <f t="shared" si="0"/>
        <v>251351.71204545457</v>
      </c>
    </row>
    <row r="32" spans="1:3" x14ac:dyDescent="0.25">
      <c r="A32">
        <v>2043</v>
      </c>
      <c r="C32">
        <f t="shared" si="0"/>
        <v>255300.9863636363</v>
      </c>
    </row>
    <row r="33" spans="1:3" x14ac:dyDescent="0.25">
      <c r="A33">
        <v>2044</v>
      </c>
      <c r="C33">
        <f t="shared" si="0"/>
        <v>259250.26068181821</v>
      </c>
    </row>
    <row r="34" spans="1:3" x14ac:dyDescent="0.25">
      <c r="A34">
        <v>2045</v>
      </c>
      <c r="C34">
        <f t="shared" si="0"/>
        <v>263199.53499999997</v>
      </c>
    </row>
    <row r="35" spans="1:3" x14ac:dyDescent="0.25">
      <c r="A35">
        <v>2046</v>
      </c>
      <c r="C35">
        <f t="shared" si="0"/>
        <v>267148.80931818183</v>
      </c>
    </row>
    <row r="36" spans="1:3" x14ac:dyDescent="0.25">
      <c r="A36">
        <v>2047</v>
      </c>
      <c r="C36">
        <f t="shared" si="0"/>
        <v>271098.08363636362</v>
      </c>
    </row>
    <row r="37" spans="1:3" x14ac:dyDescent="0.25">
      <c r="A37">
        <v>2048</v>
      </c>
      <c r="C37">
        <f t="shared" si="0"/>
        <v>275047.35795454541</v>
      </c>
    </row>
  </sheetData>
  <pageMargins left="0.7" right="0.7" top="0.75" bottom="0.75" header="0.3" footer="0.3"/>
  <drawing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B13A4-E991-4BF6-AC13-7CC2B1F6BFB0}">
  <dimension ref="A1:C37"/>
  <sheetViews>
    <sheetView showGridLines="0" workbookViewId="0">
      <selection activeCell="K22" sqref="K22"/>
    </sheetView>
  </sheetViews>
  <sheetFormatPr defaultRowHeight="15" x14ac:dyDescent="0.25"/>
  <cols>
    <col min="1" max="1" width="11" customWidth="1"/>
    <col min="2" max="2" width="9.28515625" bestFit="1" customWidth="1"/>
    <col min="3" max="3" width="10.5703125" customWidth="1"/>
  </cols>
  <sheetData>
    <row r="1" spans="1:3" x14ac:dyDescent="0.25">
      <c r="A1" t="s">
        <v>222</v>
      </c>
      <c r="B1" t="s">
        <v>223</v>
      </c>
      <c r="C1" t="s">
        <v>224</v>
      </c>
    </row>
    <row r="2" spans="1:3" x14ac:dyDescent="0.25">
      <c r="A2">
        <v>2013</v>
      </c>
      <c r="B2">
        <v>129734.72</v>
      </c>
    </row>
    <row r="3" spans="1:3" x14ac:dyDescent="0.25">
      <c r="A3">
        <v>2014</v>
      </c>
      <c r="B3">
        <v>144953.52750000003</v>
      </c>
    </row>
    <row r="4" spans="1:3" x14ac:dyDescent="0.25">
      <c r="A4">
        <v>2015</v>
      </c>
      <c r="B4">
        <v>130746.755</v>
      </c>
    </row>
    <row r="5" spans="1:3" x14ac:dyDescent="0.25">
      <c r="A5">
        <v>2016</v>
      </c>
      <c r="B5">
        <v>86783.80750000001</v>
      </c>
    </row>
    <row r="6" spans="1:3" x14ac:dyDescent="0.25">
      <c r="A6">
        <v>2017</v>
      </c>
      <c r="B6">
        <v>85925.867499999993</v>
      </c>
    </row>
    <row r="7" spans="1:3" x14ac:dyDescent="0.25">
      <c r="A7">
        <v>2018</v>
      </c>
      <c r="B7">
        <v>104920.82</v>
      </c>
    </row>
    <row r="8" spans="1:3" x14ac:dyDescent="0.25">
      <c r="A8">
        <v>2019</v>
      </c>
      <c r="B8">
        <v>116367.0425</v>
      </c>
    </row>
    <row r="9" spans="1:3" x14ac:dyDescent="0.25">
      <c r="A9">
        <v>2020</v>
      </c>
      <c r="B9">
        <v>103592.295</v>
      </c>
    </row>
    <row r="10" spans="1:3" x14ac:dyDescent="0.25">
      <c r="A10">
        <v>2021</v>
      </c>
      <c r="B10">
        <v>104646.51</v>
      </c>
    </row>
    <row r="11" spans="1:3" x14ac:dyDescent="0.25">
      <c r="A11">
        <v>2022</v>
      </c>
      <c r="B11">
        <v>190252.8475</v>
      </c>
    </row>
    <row r="12" spans="1:3" x14ac:dyDescent="0.25">
      <c r="A12">
        <v>2023</v>
      </c>
      <c r="B12">
        <v>167394.44</v>
      </c>
      <c r="C12">
        <v>167394.44</v>
      </c>
    </row>
    <row r="13" spans="1:3" x14ac:dyDescent="0.25">
      <c r="A13">
        <v>2024</v>
      </c>
      <c r="C13">
        <f t="shared" ref="C13:C37" si="0">_xlfn.FORECAST.ETS(A13,$B$2:$B$12,$A$2:$A$12,1,1)</f>
        <v>170624.01540909096</v>
      </c>
    </row>
    <row r="14" spans="1:3" x14ac:dyDescent="0.25">
      <c r="A14">
        <v>2025</v>
      </c>
      <c r="C14">
        <f t="shared" si="0"/>
        <v>173853.59081818181</v>
      </c>
    </row>
    <row r="15" spans="1:3" x14ac:dyDescent="0.25">
      <c r="A15">
        <v>2026</v>
      </c>
      <c r="C15">
        <f t="shared" si="0"/>
        <v>177083.16622727277</v>
      </c>
    </row>
    <row r="16" spans="1:3" x14ac:dyDescent="0.25">
      <c r="A16">
        <v>2027</v>
      </c>
      <c r="C16">
        <f t="shared" si="0"/>
        <v>180312.74163636361</v>
      </c>
    </row>
    <row r="17" spans="1:3" x14ac:dyDescent="0.25">
      <c r="A17">
        <v>2028</v>
      </c>
      <c r="C17">
        <f t="shared" si="0"/>
        <v>183542.31704545458</v>
      </c>
    </row>
    <row r="18" spans="1:3" x14ac:dyDescent="0.25">
      <c r="A18">
        <v>2029</v>
      </c>
      <c r="C18">
        <f t="shared" si="0"/>
        <v>186771.89245454539</v>
      </c>
    </row>
    <row r="19" spans="1:3" x14ac:dyDescent="0.25">
      <c r="A19">
        <v>2030</v>
      </c>
      <c r="C19">
        <f t="shared" si="0"/>
        <v>190001.46786363635</v>
      </c>
    </row>
    <row r="20" spans="1:3" x14ac:dyDescent="0.25">
      <c r="A20">
        <v>2031</v>
      </c>
      <c r="C20">
        <f t="shared" si="0"/>
        <v>193231.0432727272</v>
      </c>
    </row>
    <row r="21" spans="1:3" x14ac:dyDescent="0.25">
      <c r="A21">
        <v>2032</v>
      </c>
      <c r="C21">
        <f t="shared" si="0"/>
        <v>196460.61868181816</v>
      </c>
    </row>
    <row r="22" spans="1:3" x14ac:dyDescent="0.25">
      <c r="A22">
        <v>2033</v>
      </c>
      <c r="C22">
        <f t="shared" si="0"/>
        <v>199690.194090909</v>
      </c>
    </row>
    <row r="23" spans="1:3" x14ac:dyDescent="0.25">
      <c r="A23">
        <v>2034</v>
      </c>
      <c r="C23">
        <f t="shared" si="0"/>
        <v>202919.76949999997</v>
      </c>
    </row>
    <row r="24" spans="1:3" x14ac:dyDescent="0.25">
      <c r="A24">
        <v>2035</v>
      </c>
      <c r="C24">
        <f t="shared" si="0"/>
        <v>206149.34490909081</v>
      </c>
    </row>
    <row r="25" spans="1:3" x14ac:dyDescent="0.25">
      <c r="A25">
        <v>2036</v>
      </c>
      <c r="C25">
        <f t="shared" si="0"/>
        <v>209378.92031818177</v>
      </c>
    </row>
    <row r="26" spans="1:3" x14ac:dyDescent="0.25">
      <c r="A26">
        <v>2037</v>
      </c>
      <c r="C26">
        <f t="shared" si="0"/>
        <v>212608.49572727262</v>
      </c>
    </row>
    <row r="27" spans="1:3" x14ac:dyDescent="0.25">
      <c r="A27">
        <v>2038</v>
      </c>
      <c r="C27">
        <f t="shared" si="0"/>
        <v>215838.07113636358</v>
      </c>
    </row>
    <row r="28" spans="1:3" x14ac:dyDescent="0.25">
      <c r="A28">
        <v>2039</v>
      </c>
      <c r="C28">
        <f t="shared" si="0"/>
        <v>219067.64654545442</v>
      </c>
    </row>
    <row r="29" spans="1:3" x14ac:dyDescent="0.25">
      <c r="A29">
        <v>2040</v>
      </c>
      <c r="C29">
        <f t="shared" si="0"/>
        <v>222297.22195454538</v>
      </c>
    </row>
    <row r="30" spans="1:3" x14ac:dyDescent="0.25">
      <c r="A30">
        <v>2041</v>
      </c>
      <c r="C30">
        <f t="shared" si="0"/>
        <v>225526.79736363623</v>
      </c>
    </row>
    <row r="31" spans="1:3" x14ac:dyDescent="0.25">
      <c r="A31">
        <v>2042</v>
      </c>
      <c r="C31">
        <f t="shared" si="0"/>
        <v>228756.37277272719</v>
      </c>
    </row>
    <row r="32" spans="1:3" x14ac:dyDescent="0.25">
      <c r="A32">
        <v>2043</v>
      </c>
      <c r="C32">
        <f t="shared" si="0"/>
        <v>231985.94818181804</v>
      </c>
    </row>
    <row r="33" spans="1:3" x14ac:dyDescent="0.25">
      <c r="A33">
        <v>2044</v>
      </c>
      <c r="C33">
        <f t="shared" si="0"/>
        <v>235215.523590909</v>
      </c>
    </row>
    <row r="34" spans="1:3" x14ac:dyDescent="0.25">
      <c r="A34">
        <v>2045</v>
      </c>
      <c r="C34">
        <f t="shared" si="0"/>
        <v>238445.09899999984</v>
      </c>
    </row>
    <row r="35" spans="1:3" x14ac:dyDescent="0.25">
      <c r="A35">
        <v>2046</v>
      </c>
      <c r="C35">
        <f t="shared" si="0"/>
        <v>241674.67440909077</v>
      </c>
    </row>
    <row r="36" spans="1:3" x14ac:dyDescent="0.25">
      <c r="A36">
        <v>2047</v>
      </c>
      <c r="C36">
        <f t="shared" si="0"/>
        <v>244904.24981818162</v>
      </c>
    </row>
    <row r="37" spans="1:3" x14ac:dyDescent="0.25">
      <c r="A37">
        <v>2048</v>
      </c>
      <c r="C37">
        <f t="shared" si="0"/>
        <v>248133.82522727258</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F2330-7B5C-489B-81BA-7914E8E1222C}">
  <dimension ref="A1:M20"/>
  <sheetViews>
    <sheetView showGridLines="0" zoomScale="88" workbookViewId="0">
      <selection activeCell="D4" sqref="D4"/>
    </sheetView>
  </sheetViews>
  <sheetFormatPr defaultRowHeight="12.75" x14ac:dyDescent="0.2"/>
  <cols>
    <col min="1" max="2" width="9.140625" style="61"/>
    <col min="3" max="3" width="64.42578125" style="61" bestFit="1" customWidth="1"/>
    <col min="4" max="5" width="9.140625" style="61"/>
    <col min="6" max="6" width="13.5703125" style="61" bestFit="1" customWidth="1"/>
    <col min="7" max="13" width="13.7109375" style="61" customWidth="1"/>
    <col min="14" max="16384" width="9.140625" style="61"/>
  </cols>
  <sheetData>
    <row r="1" spans="1:13" x14ac:dyDescent="0.2">
      <c r="D1" s="128" t="s">
        <v>48</v>
      </c>
    </row>
    <row r="2" spans="1:13" x14ac:dyDescent="0.2">
      <c r="A2" s="135" t="s">
        <v>292</v>
      </c>
      <c r="B2" s="124" t="s">
        <v>269</v>
      </c>
      <c r="C2" s="125" t="s">
        <v>289</v>
      </c>
      <c r="D2" s="126">
        <v>100000</v>
      </c>
      <c r="E2" s="87"/>
      <c r="F2" s="87"/>
    </row>
    <row r="3" spans="1:13" ht="32.25" customHeight="1" x14ac:dyDescent="0.2">
      <c r="A3" s="136"/>
      <c r="B3" s="117" t="s">
        <v>270</v>
      </c>
      <c r="C3" s="118" t="s">
        <v>280</v>
      </c>
      <c r="D3" s="117">
        <f>D2*7.5%</f>
        <v>7500</v>
      </c>
      <c r="E3" s="87"/>
      <c r="F3" s="87"/>
      <c r="G3" s="138" t="s">
        <v>295</v>
      </c>
      <c r="H3" s="138" t="s">
        <v>296</v>
      </c>
      <c r="I3" s="138" t="s">
        <v>268</v>
      </c>
      <c r="J3" s="138" t="s">
        <v>271</v>
      </c>
      <c r="K3" s="138" t="s">
        <v>275</v>
      </c>
      <c r="L3" s="138" t="s">
        <v>297</v>
      </c>
      <c r="M3" s="120" t="s">
        <v>298</v>
      </c>
    </row>
    <row r="4" spans="1:13" ht="32.25" customHeight="1" x14ac:dyDescent="0.2">
      <c r="A4" s="136"/>
      <c r="B4" s="117" t="s">
        <v>272</v>
      </c>
      <c r="C4" s="118" t="s">
        <v>281</v>
      </c>
      <c r="D4" s="119">
        <f>D3*7.5%</f>
        <v>562.5</v>
      </c>
      <c r="G4" s="138"/>
      <c r="H4" s="138"/>
      <c r="I4" s="138"/>
      <c r="J4" s="138"/>
      <c r="K4" s="138"/>
      <c r="L4" s="138"/>
      <c r="M4" s="120" t="s">
        <v>299</v>
      </c>
    </row>
    <row r="5" spans="1:13" x14ac:dyDescent="0.2">
      <c r="A5" s="136"/>
      <c r="B5" s="117" t="s">
        <v>273</v>
      </c>
      <c r="C5" s="118" t="s">
        <v>282</v>
      </c>
      <c r="D5" s="119">
        <f>D4+D3</f>
        <v>8062.5</v>
      </c>
      <c r="G5" s="121" t="s">
        <v>23</v>
      </c>
      <c r="H5" s="122">
        <v>7.4999999999999997E-2</v>
      </c>
      <c r="I5" s="122">
        <v>7.4999999999999997E-2</v>
      </c>
      <c r="J5" s="123">
        <v>0.1</v>
      </c>
      <c r="K5" s="123">
        <v>0.18</v>
      </c>
      <c r="L5" s="122">
        <v>0.28460000000000002</v>
      </c>
      <c r="M5" s="121" t="s">
        <v>300</v>
      </c>
    </row>
    <row r="6" spans="1:13" x14ac:dyDescent="0.2">
      <c r="A6" s="136"/>
      <c r="B6" s="117"/>
      <c r="C6" s="118" t="s">
        <v>274</v>
      </c>
      <c r="D6" s="119"/>
      <c r="G6" s="121" t="s">
        <v>22</v>
      </c>
      <c r="H6" s="122">
        <v>7.4999999999999997E-2</v>
      </c>
      <c r="I6" s="122">
        <v>7.4999999999999997E-2</v>
      </c>
      <c r="J6" s="123">
        <v>0.1</v>
      </c>
      <c r="K6" s="123">
        <v>0.18</v>
      </c>
      <c r="L6" s="122">
        <v>0.28460000000000002</v>
      </c>
      <c r="M6" s="121" t="s">
        <v>300</v>
      </c>
    </row>
    <row r="7" spans="1:13" x14ac:dyDescent="0.2">
      <c r="A7" s="136"/>
      <c r="B7" s="117" t="s">
        <v>276</v>
      </c>
      <c r="C7" s="118" t="s">
        <v>283</v>
      </c>
      <c r="D7" s="119">
        <f>D5*10%</f>
        <v>806.25</v>
      </c>
      <c r="G7" s="121" t="s">
        <v>20</v>
      </c>
      <c r="H7" s="122">
        <v>7.4999999999999997E-2</v>
      </c>
      <c r="I7" s="122">
        <v>7.4999999999999997E-2</v>
      </c>
      <c r="J7" s="123">
        <v>0.1</v>
      </c>
      <c r="K7" s="123">
        <v>0.18</v>
      </c>
      <c r="L7" s="122">
        <v>0.28460000000000002</v>
      </c>
      <c r="M7" s="121" t="s">
        <v>300</v>
      </c>
    </row>
    <row r="8" spans="1:13" x14ac:dyDescent="0.2">
      <c r="A8" s="136"/>
      <c r="B8" s="117" t="s">
        <v>116</v>
      </c>
      <c r="C8" s="118" t="s">
        <v>284</v>
      </c>
      <c r="D8" s="119">
        <f>D5+D7</f>
        <v>8868.75</v>
      </c>
      <c r="G8" s="121" t="s">
        <v>26</v>
      </c>
      <c r="H8" s="122">
        <v>7.4999999999999997E-2</v>
      </c>
      <c r="I8" s="122">
        <v>7.4999999999999997E-2</v>
      </c>
      <c r="J8" s="123">
        <v>0.1</v>
      </c>
      <c r="K8" s="123">
        <v>0.18</v>
      </c>
      <c r="L8" s="122">
        <v>0.28460000000000002</v>
      </c>
      <c r="M8" s="121" t="s">
        <v>300</v>
      </c>
    </row>
    <row r="9" spans="1:13" x14ac:dyDescent="0.2">
      <c r="A9" s="136"/>
      <c r="B9" s="117" t="s">
        <v>277</v>
      </c>
      <c r="C9" s="118" t="s">
        <v>285</v>
      </c>
      <c r="D9" s="119">
        <f>D2*18%</f>
        <v>18000</v>
      </c>
      <c r="G9" s="121" t="s">
        <v>221</v>
      </c>
      <c r="H9" s="122">
        <v>7.4999999999999997E-2</v>
      </c>
      <c r="I9" s="122">
        <v>7.4999999999999997E-2</v>
      </c>
      <c r="J9" s="123">
        <v>0.1</v>
      </c>
      <c r="K9" s="123">
        <v>0.18</v>
      </c>
      <c r="L9" s="122">
        <v>0.28460000000000002</v>
      </c>
      <c r="M9" s="121">
        <v>381.93</v>
      </c>
    </row>
    <row r="10" spans="1:13" x14ac:dyDescent="0.2">
      <c r="A10" s="136"/>
      <c r="B10" s="117" t="s">
        <v>278</v>
      </c>
      <c r="C10" s="118" t="s">
        <v>286</v>
      </c>
      <c r="D10" s="119">
        <f>D9+D8</f>
        <v>26868.75</v>
      </c>
      <c r="G10" s="121" t="s">
        <v>19</v>
      </c>
      <c r="H10" s="122">
        <v>7.4999999999999997E-2</v>
      </c>
      <c r="I10" s="122">
        <v>7.4999999999999997E-2</v>
      </c>
      <c r="J10" s="123">
        <v>0.1</v>
      </c>
      <c r="K10" s="123">
        <v>0.18</v>
      </c>
      <c r="L10" s="122">
        <v>0.28460000000000002</v>
      </c>
      <c r="M10" s="121">
        <v>465.94</v>
      </c>
    </row>
    <row r="11" spans="1:13" x14ac:dyDescent="0.2">
      <c r="A11" s="137"/>
      <c r="B11" s="117" t="s">
        <v>279</v>
      </c>
      <c r="C11" s="118" t="s">
        <v>287</v>
      </c>
      <c r="D11" s="119">
        <f>D10+D2</f>
        <v>126868.75</v>
      </c>
    </row>
    <row r="12" spans="1:13" x14ac:dyDescent="0.2">
      <c r="A12" s="135" t="s">
        <v>293</v>
      </c>
      <c r="B12" s="125"/>
      <c r="C12" s="125" t="s">
        <v>290</v>
      </c>
      <c r="D12" s="127">
        <v>1000</v>
      </c>
      <c r="G12" s="138" t="s">
        <v>295</v>
      </c>
      <c r="H12" s="138" t="s">
        <v>296</v>
      </c>
      <c r="I12" s="138" t="s">
        <v>268</v>
      </c>
      <c r="J12" s="138" t="s">
        <v>271</v>
      </c>
      <c r="K12" s="138" t="s">
        <v>301</v>
      </c>
      <c r="L12" s="138" t="s">
        <v>275</v>
      </c>
      <c r="M12" s="138" t="s">
        <v>297</v>
      </c>
    </row>
    <row r="13" spans="1:13" x14ac:dyDescent="0.2">
      <c r="A13" s="136"/>
      <c r="B13" s="118"/>
      <c r="C13" s="118" t="s">
        <v>302</v>
      </c>
      <c r="D13" s="117">
        <v>3.8</v>
      </c>
      <c r="G13" s="138"/>
      <c r="H13" s="138"/>
      <c r="I13" s="138"/>
      <c r="J13" s="138"/>
      <c r="K13" s="138"/>
      <c r="L13" s="138"/>
      <c r="M13" s="138"/>
    </row>
    <row r="14" spans="1:13" x14ac:dyDescent="0.2">
      <c r="A14" s="137"/>
      <c r="B14" s="118"/>
      <c r="C14" s="118" t="s">
        <v>288</v>
      </c>
      <c r="D14" s="119">
        <f>D12*D13</f>
        <v>3800</v>
      </c>
      <c r="E14" s="87"/>
      <c r="G14" s="138"/>
      <c r="H14" s="138"/>
      <c r="I14" s="138"/>
      <c r="J14" s="138"/>
      <c r="K14" s="138"/>
      <c r="L14" s="138"/>
      <c r="M14" s="138"/>
    </row>
    <row r="15" spans="1:13" x14ac:dyDescent="0.2">
      <c r="A15" s="129" t="s">
        <v>294</v>
      </c>
      <c r="B15" s="130"/>
      <c r="C15" s="130" t="s">
        <v>291</v>
      </c>
      <c r="D15" s="131">
        <f>D11+D14</f>
        <v>130668.75</v>
      </c>
      <c r="E15" s="87"/>
      <c r="G15" s="121" t="s">
        <v>23</v>
      </c>
      <c r="H15" s="121">
        <v>7500</v>
      </c>
      <c r="I15" s="121">
        <v>562.5</v>
      </c>
      <c r="J15" s="121">
        <v>806.25</v>
      </c>
      <c r="K15" s="121" t="s">
        <v>300</v>
      </c>
      <c r="L15" s="121">
        <v>19596</v>
      </c>
      <c r="M15" s="121">
        <v>28465</v>
      </c>
    </row>
    <row r="16" spans="1:13" x14ac:dyDescent="0.2">
      <c r="G16" s="121" t="s">
        <v>22</v>
      </c>
      <c r="H16" s="121">
        <v>7500</v>
      </c>
      <c r="I16" s="121">
        <v>562.5</v>
      </c>
      <c r="J16" s="121">
        <v>806.25</v>
      </c>
      <c r="K16" s="121" t="s">
        <v>300</v>
      </c>
      <c r="L16" s="121">
        <v>19596</v>
      </c>
      <c r="M16" s="121">
        <v>28465</v>
      </c>
    </row>
    <row r="17" spans="7:13" x14ac:dyDescent="0.2">
      <c r="G17" s="121" t="s">
        <v>20</v>
      </c>
      <c r="H17" s="121">
        <v>7500</v>
      </c>
      <c r="I17" s="121">
        <v>562.5</v>
      </c>
      <c r="J17" s="121">
        <v>806.25</v>
      </c>
      <c r="K17" s="121" t="s">
        <v>300</v>
      </c>
      <c r="L17" s="121">
        <v>19596</v>
      </c>
      <c r="M17" s="121">
        <v>28465</v>
      </c>
    </row>
    <row r="18" spans="7:13" x14ac:dyDescent="0.2">
      <c r="G18" s="121" t="s">
        <v>26</v>
      </c>
      <c r="H18" s="121">
        <v>7500</v>
      </c>
      <c r="I18" s="121">
        <v>562.5</v>
      </c>
      <c r="J18" s="121">
        <v>806.25</v>
      </c>
      <c r="K18" s="121" t="s">
        <v>300</v>
      </c>
      <c r="L18" s="121">
        <v>19596</v>
      </c>
      <c r="M18" s="121">
        <v>28465</v>
      </c>
    </row>
    <row r="19" spans="7:13" x14ac:dyDescent="0.2">
      <c r="G19" s="121" t="s">
        <v>221</v>
      </c>
      <c r="H19" s="121">
        <v>7500</v>
      </c>
      <c r="I19" s="121">
        <v>562.5</v>
      </c>
      <c r="J19" s="121">
        <v>806.25</v>
      </c>
      <c r="K19" s="121">
        <v>38193</v>
      </c>
      <c r="L19" s="121">
        <v>26471</v>
      </c>
      <c r="M19" s="121">
        <v>73533</v>
      </c>
    </row>
    <row r="20" spans="7:13" x14ac:dyDescent="0.2">
      <c r="G20" s="121" t="s">
        <v>19</v>
      </c>
      <c r="H20" s="121">
        <v>7500</v>
      </c>
      <c r="I20" s="121">
        <v>562.5</v>
      </c>
      <c r="J20" s="121">
        <v>806.25</v>
      </c>
      <c r="K20" s="121">
        <v>46594</v>
      </c>
      <c r="L20" s="121">
        <v>46594</v>
      </c>
      <c r="M20" s="121">
        <v>83446</v>
      </c>
    </row>
  </sheetData>
  <mergeCells count="15">
    <mergeCell ref="M12:M14"/>
    <mergeCell ref="K3:K4"/>
    <mergeCell ref="L3:L4"/>
    <mergeCell ref="G12:G14"/>
    <mergeCell ref="H12:H14"/>
    <mergeCell ref="I12:I14"/>
    <mergeCell ref="J12:J14"/>
    <mergeCell ref="L12:L14"/>
    <mergeCell ref="K12:K14"/>
    <mergeCell ref="J3:J4"/>
    <mergeCell ref="A2:A11"/>
    <mergeCell ref="A12:A14"/>
    <mergeCell ref="G3:G4"/>
    <mergeCell ref="H3:H4"/>
    <mergeCell ref="I3:I4"/>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21474-A4A9-431F-A80C-8A044BB066DF}">
  <dimension ref="A1:B12"/>
  <sheetViews>
    <sheetView workbookViewId="0">
      <selection activeCell="C5" sqref="C5"/>
    </sheetView>
  </sheetViews>
  <sheetFormatPr defaultRowHeight="15" x14ac:dyDescent="0.25"/>
  <cols>
    <col min="2" max="2" width="32.5703125" bestFit="1" customWidth="1"/>
  </cols>
  <sheetData>
    <row r="1" spans="1:2" x14ac:dyDescent="0.25">
      <c r="B1" t="s">
        <v>100</v>
      </c>
    </row>
    <row r="2" spans="1:2" x14ac:dyDescent="0.25">
      <c r="A2" s="74" t="s">
        <v>58</v>
      </c>
      <c r="B2" s="75">
        <v>45878.311961739128</v>
      </c>
    </row>
    <row r="3" spans="1:2" x14ac:dyDescent="0.25">
      <c r="A3" s="74" t="s">
        <v>55</v>
      </c>
      <c r="B3" s="75">
        <v>46660.194655072461</v>
      </c>
    </row>
    <row r="4" spans="1:2" x14ac:dyDescent="0.25">
      <c r="A4" s="74" t="s">
        <v>56</v>
      </c>
      <c r="B4" s="75">
        <v>39139.320920579703</v>
      </c>
    </row>
    <row r="5" spans="1:2" x14ac:dyDescent="0.25">
      <c r="A5" s="74" t="s">
        <v>57</v>
      </c>
      <c r="B5" s="75">
        <v>22481.9679423913</v>
      </c>
    </row>
    <row r="6" spans="1:2" x14ac:dyDescent="0.25">
      <c r="A6" s="74" t="s">
        <v>40</v>
      </c>
      <c r="B6" s="75">
        <v>22445.896163188405</v>
      </c>
    </row>
    <row r="7" spans="1:2" x14ac:dyDescent="0.25">
      <c r="A7" s="74" t="s">
        <v>41</v>
      </c>
      <c r="B7" s="75">
        <v>27989.423528478259</v>
      </c>
    </row>
    <row r="8" spans="1:2" x14ac:dyDescent="0.25">
      <c r="A8" s="74" t="s">
        <v>42</v>
      </c>
      <c r="B8" s="75">
        <v>35662.7516231884</v>
      </c>
    </row>
    <row r="9" spans="1:2" x14ac:dyDescent="0.25">
      <c r="A9" s="74" t="s">
        <v>43</v>
      </c>
      <c r="B9" s="75">
        <v>32473.410978985499</v>
      </c>
    </row>
    <row r="10" spans="1:2" x14ac:dyDescent="0.25">
      <c r="A10" s="74" t="s">
        <v>44</v>
      </c>
      <c r="B10" s="75">
        <v>24016.005179999996</v>
      </c>
    </row>
    <row r="11" spans="1:2" x14ac:dyDescent="0.25">
      <c r="A11" s="74" t="s">
        <v>45</v>
      </c>
      <c r="B11" s="75">
        <v>45114.011634347822</v>
      </c>
    </row>
    <row r="12" spans="1:2" x14ac:dyDescent="0.25">
      <c r="A12" s="74" t="s">
        <v>46</v>
      </c>
      <c r="B12" s="75">
        <v>55498.978575000001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6C2C3-008C-4B6D-874A-68AB962A1A47}">
  <dimension ref="A1:Y29"/>
  <sheetViews>
    <sheetView showGridLines="0" workbookViewId="0">
      <selection activeCell="I16" sqref="I16"/>
    </sheetView>
  </sheetViews>
  <sheetFormatPr defaultRowHeight="15" x14ac:dyDescent="0.25"/>
  <cols>
    <col min="1" max="1" width="13.28515625" bestFit="1" customWidth="1"/>
    <col min="2" max="2" width="11" bestFit="1" customWidth="1"/>
  </cols>
  <sheetData>
    <row r="1" spans="1:25" x14ac:dyDescent="0.25">
      <c r="A1" s="47" t="s">
        <v>79</v>
      </c>
      <c r="B1" s="167">
        <v>2012</v>
      </c>
      <c r="C1" s="167"/>
      <c r="D1" s="167">
        <v>2013</v>
      </c>
      <c r="E1" s="167"/>
      <c r="F1" s="167">
        <v>2014</v>
      </c>
      <c r="G1" s="167"/>
      <c r="H1" s="167">
        <v>2015</v>
      </c>
      <c r="I1" s="167"/>
      <c r="J1" s="167">
        <v>2016</v>
      </c>
      <c r="K1" s="167"/>
      <c r="L1" s="167">
        <v>2017</v>
      </c>
      <c r="M1" s="167"/>
      <c r="N1" s="167">
        <v>2018</v>
      </c>
      <c r="O1" s="167"/>
      <c r="P1" s="167">
        <v>2019</v>
      </c>
      <c r="Q1" s="167"/>
      <c r="R1" s="167">
        <v>2020</v>
      </c>
      <c r="S1" s="167"/>
      <c r="T1" s="167">
        <v>2021</v>
      </c>
      <c r="U1" s="167"/>
      <c r="V1" s="167">
        <v>2022</v>
      </c>
      <c r="W1" s="167"/>
      <c r="X1" s="167">
        <v>2023</v>
      </c>
      <c r="Y1" s="167"/>
    </row>
    <row r="2" spans="1:25" x14ac:dyDescent="0.25">
      <c r="A2" s="47"/>
      <c r="B2" s="47" t="s">
        <v>80</v>
      </c>
      <c r="C2" s="47" t="s">
        <v>81</v>
      </c>
      <c r="D2" s="47" t="s">
        <v>80</v>
      </c>
      <c r="E2" s="47" t="s">
        <v>81</v>
      </c>
      <c r="F2" s="47" t="s">
        <v>80</v>
      </c>
      <c r="G2" s="47" t="s">
        <v>81</v>
      </c>
      <c r="H2" s="47" t="s">
        <v>80</v>
      </c>
      <c r="I2" s="47" t="s">
        <v>81</v>
      </c>
      <c r="J2" s="47" t="s">
        <v>80</v>
      </c>
      <c r="K2" s="47" t="s">
        <v>81</v>
      </c>
      <c r="L2" s="47" t="s">
        <v>80</v>
      </c>
      <c r="M2" s="47" t="s">
        <v>81</v>
      </c>
      <c r="N2" s="47" t="s">
        <v>80</v>
      </c>
      <c r="O2" s="47" t="s">
        <v>81</v>
      </c>
      <c r="P2" s="47" t="s">
        <v>80</v>
      </c>
      <c r="Q2" s="47" t="s">
        <v>81</v>
      </c>
      <c r="R2" s="47" t="s">
        <v>80</v>
      </c>
      <c r="S2" s="47" t="s">
        <v>81</v>
      </c>
      <c r="T2" s="47" t="s">
        <v>80</v>
      </c>
      <c r="U2" s="47" t="s">
        <v>81</v>
      </c>
      <c r="V2" s="47" t="s">
        <v>80</v>
      </c>
      <c r="W2" s="47" t="s">
        <v>81</v>
      </c>
      <c r="X2" s="47" t="s">
        <v>80</v>
      </c>
      <c r="Y2" s="47" t="s">
        <v>81</v>
      </c>
    </row>
    <row r="3" spans="1:25" x14ac:dyDescent="0.25">
      <c r="A3" s="49" t="s">
        <v>82</v>
      </c>
      <c r="B3" s="50">
        <v>2634.56</v>
      </c>
      <c r="C3" s="50">
        <v>2264.7399999999998</v>
      </c>
      <c r="D3" s="50">
        <v>4890.3999999999996</v>
      </c>
      <c r="E3" s="50">
        <v>4600.46</v>
      </c>
      <c r="F3" s="50">
        <v>3110.61</v>
      </c>
      <c r="G3" s="50">
        <v>5336.54</v>
      </c>
      <c r="H3" s="50">
        <v>2656.81</v>
      </c>
      <c r="I3" s="50">
        <v>5261.22</v>
      </c>
      <c r="J3" s="50">
        <v>4355.3</v>
      </c>
      <c r="K3" s="50">
        <v>6197.3</v>
      </c>
      <c r="L3" s="50">
        <v>3439.63</v>
      </c>
      <c r="M3" s="50">
        <v>4683.24</v>
      </c>
      <c r="N3" s="50">
        <v>7885.5</v>
      </c>
      <c r="O3" s="50">
        <v>9622.02</v>
      </c>
      <c r="P3" s="50">
        <v>16082.84</v>
      </c>
      <c r="Q3" s="50">
        <v>17813.62</v>
      </c>
      <c r="R3" s="50">
        <v>14109.65</v>
      </c>
      <c r="S3" s="50">
        <v>17824.169999999998</v>
      </c>
      <c r="T3" s="50">
        <v>10704.95</v>
      </c>
      <c r="U3" s="50">
        <v>12170.44</v>
      </c>
      <c r="V3" s="51">
        <v>47704.53</v>
      </c>
      <c r="W3" s="51">
        <v>30715.78</v>
      </c>
      <c r="X3" s="51">
        <v>32976.17</v>
      </c>
      <c r="Y3" s="50">
        <v>24346.83</v>
      </c>
    </row>
    <row r="4" spans="1:25" x14ac:dyDescent="0.25">
      <c r="A4" s="49" t="s">
        <v>83</v>
      </c>
      <c r="B4" s="50">
        <v>174.81</v>
      </c>
      <c r="C4" s="50">
        <v>144.80000000000001</v>
      </c>
      <c r="D4" s="50">
        <v>1632.92</v>
      </c>
      <c r="E4" s="50">
        <v>1545.4</v>
      </c>
      <c r="F4" s="50">
        <v>1219.21</v>
      </c>
      <c r="G4" s="50">
        <v>1150.29</v>
      </c>
      <c r="H4" s="50">
        <v>973.9</v>
      </c>
      <c r="I4" s="50">
        <v>1069.8</v>
      </c>
      <c r="J4" s="50">
        <v>1580.7</v>
      </c>
      <c r="K4" s="50">
        <v>2341.73</v>
      </c>
      <c r="L4" s="50">
        <v>1142.27</v>
      </c>
      <c r="M4" s="50">
        <v>1719</v>
      </c>
      <c r="N4" s="50">
        <v>1097.1500000000001</v>
      </c>
      <c r="O4" s="50">
        <v>1264.23</v>
      </c>
      <c r="P4" s="50">
        <v>3784.27</v>
      </c>
      <c r="Q4" s="50">
        <v>3862.3</v>
      </c>
      <c r="R4" s="50">
        <v>9436.16</v>
      </c>
      <c r="S4" s="50">
        <v>12224.9</v>
      </c>
      <c r="T4" s="50">
        <v>6743.29</v>
      </c>
      <c r="U4" s="50">
        <v>8938.7000000000007</v>
      </c>
      <c r="V4" s="51">
        <v>12770.26</v>
      </c>
      <c r="W4" s="51">
        <v>9066</v>
      </c>
      <c r="X4" s="51">
        <v>12011.19</v>
      </c>
      <c r="Y4" s="50">
        <v>9788.5</v>
      </c>
    </row>
    <row r="5" spans="1:25" x14ac:dyDescent="0.25">
      <c r="A5" s="49" t="s">
        <v>84</v>
      </c>
      <c r="B5" s="50">
        <v>2256.4299999999998</v>
      </c>
      <c r="C5" s="50">
        <v>2089.36</v>
      </c>
      <c r="D5" s="50">
        <v>1795.62</v>
      </c>
      <c r="E5" s="50">
        <v>1840.38</v>
      </c>
      <c r="F5" s="50">
        <v>2881.54</v>
      </c>
      <c r="G5" s="50">
        <v>4255.7</v>
      </c>
      <c r="H5" s="50">
        <v>2637.09</v>
      </c>
      <c r="I5" s="50">
        <v>4103.33</v>
      </c>
      <c r="J5" s="50">
        <v>2162.73</v>
      </c>
      <c r="K5" s="50">
        <v>3211.09</v>
      </c>
      <c r="L5" s="50">
        <v>2544.38</v>
      </c>
      <c r="M5" s="50">
        <v>3893.34</v>
      </c>
      <c r="N5" s="50">
        <v>4602.7299999999996</v>
      </c>
      <c r="O5" s="50">
        <v>6022.84</v>
      </c>
      <c r="P5" s="50">
        <v>5895.34</v>
      </c>
      <c r="Q5" s="50">
        <v>6587.12</v>
      </c>
      <c r="R5" s="50">
        <v>6970.41</v>
      </c>
      <c r="S5" s="50">
        <v>9176.68</v>
      </c>
      <c r="T5" s="50">
        <v>9333.3799999999992</v>
      </c>
      <c r="U5" s="50">
        <v>12861.73</v>
      </c>
      <c r="V5" s="51">
        <v>8191.16</v>
      </c>
      <c r="W5" s="51">
        <v>6237.88</v>
      </c>
      <c r="X5" s="51">
        <v>9209.23</v>
      </c>
      <c r="Y5" s="50">
        <v>7241.39</v>
      </c>
    </row>
    <row r="6" spans="1:25" x14ac:dyDescent="0.25">
      <c r="A6" s="49" t="s">
        <v>85</v>
      </c>
      <c r="B6" s="50">
        <v>5290.39</v>
      </c>
      <c r="C6" s="50">
        <v>4465.29</v>
      </c>
      <c r="D6" s="50">
        <v>5158.3500000000004</v>
      </c>
      <c r="E6" s="50">
        <v>5036.79</v>
      </c>
      <c r="F6" s="50">
        <v>7172.78</v>
      </c>
      <c r="G6" s="50">
        <v>6453.24</v>
      </c>
      <c r="H6" s="50">
        <v>6202.47</v>
      </c>
      <c r="I6" s="50">
        <v>6074.49</v>
      </c>
      <c r="J6" s="50">
        <v>4830.29</v>
      </c>
      <c r="K6" s="50">
        <v>7145.29</v>
      </c>
      <c r="L6" s="50">
        <v>5039.03</v>
      </c>
      <c r="M6" s="50">
        <v>7457.79</v>
      </c>
      <c r="N6" s="50">
        <v>8317.1</v>
      </c>
      <c r="O6" s="50">
        <v>9749.85</v>
      </c>
      <c r="P6" s="50">
        <v>7337.27</v>
      </c>
      <c r="Q6" s="50">
        <v>7382.93</v>
      </c>
      <c r="R6" s="50">
        <v>3555.28</v>
      </c>
      <c r="S6" s="50">
        <v>4198.45</v>
      </c>
      <c r="T6" s="50">
        <v>6261.24</v>
      </c>
      <c r="U6" s="50">
        <v>7290.78</v>
      </c>
      <c r="V6" s="51">
        <v>13903.63</v>
      </c>
      <c r="W6" s="51">
        <v>8745.2999999999993</v>
      </c>
      <c r="X6" s="51">
        <v>10155.129999999999</v>
      </c>
      <c r="Y6" s="50">
        <v>7116.05</v>
      </c>
    </row>
    <row r="7" spans="1:25" x14ac:dyDescent="0.25">
      <c r="A7" s="49" t="s">
        <v>86</v>
      </c>
      <c r="B7" s="50">
        <v>425.49</v>
      </c>
      <c r="C7" s="50">
        <v>388.27</v>
      </c>
      <c r="D7" s="50">
        <v>18.89</v>
      </c>
      <c r="E7" s="50">
        <v>16.2</v>
      </c>
      <c r="F7" s="50">
        <v>6.05</v>
      </c>
      <c r="G7" s="50">
        <v>4.2</v>
      </c>
      <c r="H7" s="50">
        <v>0.38</v>
      </c>
      <c r="I7" s="50">
        <v>1.25</v>
      </c>
      <c r="J7" s="50">
        <v>3.08</v>
      </c>
      <c r="K7" s="50">
        <v>0.22</v>
      </c>
      <c r="L7" s="50">
        <v>502.28</v>
      </c>
      <c r="M7" s="50">
        <v>892.33</v>
      </c>
      <c r="N7" s="50">
        <v>0.97</v>
      </c>
      <c r="O7" s="50">
        <v>0.06</v>
      </c>
      <c r="P7" s="50">
        <v>0.93</v>
      </c>
      <c r="Q7" s="50">
        <v>0.04</v>
      </c>
      <c r="R7" s="50">
        <v>98.92</v>
      </c>
      <c r="S7" s="50">
        <v>122.85</v>
      </c>
      <c r="T7" s="50">
        <v>767.83</v>
      </c>
      <c r="U7" s="50">
        <v>954.55</v>
      </c>
      <c r="V7" s="51">
        <v>6549.18</v>
      </c>
      <c r="W7" s="51">
        <v>5620.77</v>
      </c>
      <c r="X7" s="51">
        <v>5582.3</v>
      </c>
      <c r="Y7" s="50">
        <v>3351.77</v>
      </c>
    </row>
    <row r="8" spans="1:25" x14ac:dyDescent="0.25">
      <c r="A8" s="49" t="s">
        <v>87</v>
      </c>
      <c r="B8" s="50">
        <v>0</v>
      </c>
      <c r="C8" s="50">
        <v>0</v>
      </c>
      <c r="D8" s="50">
        <v>0</v>
      </c>
      <c r="E8" s="50">
        <v>0</v>
      </c>
      <c r="F8" s="50">
        <v>0</v>
      </c>
      <c r="G8" s="50">
        <v>0</v>
      </c>
      <c r="H8" s="50">
        <v>0</v>
      </c>
      <c r="I8" s="50">
        <v>0</v>
      </c>
      <c r="J8" s="50">
        <v>0</v>
      </c>
      <c r="K8" s="50">
        <v>0</v>
      </c>
      <c r="L8" s="50">
        <v>0</v>
      </c>
      <c r="M8" s="50">
        <v>0</v>
      </c>
      <c r="N8" s="50">
        <v>0</v>
      </c>
      <c r="O8" s="50">
        <v>0</v>
      </c>
      <c r="P8" s="50">
        <v>0</v>
      </c>
      <c r="Q8" s="50">
        <v>0</v>
      </c>
      <c r="R8" s="50">
        <v>0</v>
      </c>
      <c r="S8" s="50">
        <v>0</v>
      </c>
      <c r="T8" s="50">
        <v>0</v>
      </c>
      <c r="U8" s="50">
        <v>0</v>
      </c>
      <c r="V8" s="50">
        <v>0</v>
      </c>
      <c r="W8" s="50">
        <v>0</v>
      </c>
      <c r="X8" s="51">
        <v>1792.19</v>
      </c>
      <c r="Y8" s="50">
        <v>1856.08</v>
      </c>
    </row>
    <row r="9" spans="1:25" x14ac:dyDescent="0.25">
      <c r="A9" s="49" t="s">
        <v>88</v>
      </c>
      <c r="B9" s="50">
        <v>470.07</v>
      </c>
      <c r="C9" s="50">
        <v>443.85</v>
      </c>
      <c r="D9" s="50">
        <v>146.15</v>
      </c>
      <c r="E9" s="50">
        <v>136.13999999999999</v>
      </c>
      <c r="F9" s="50">
        <v>163.03</v>
      </c>
      <c r="G9" s="50">
        <v>196.47</v>
      </c>
      <c r="H9" s="50">
        <v>132.12</v>
      </c>
      <c r="I9" s="50">
        <v>172.24</v>
      </c>
      <c r="J9" s="50">
        <v>565</v>
      </c>
      <c r="K9" s="50">
        <v>900.2</v>
      </c>
      <c r="L9" s="50">
        <v>984.21</v>
      </c>
      <c r="M9" s="50">
        <v>1568.12</v>
      </c>
      <c r="N9" s="50">
        <v>1455.23</v>
      </c>
      <c r="O9" s="50">
        <v>1724.98</v>
      </c>
      <c r="P9" s="50">
        <v>1053.99</v>
      </c>
      <c r="Q9" s="50">
        <v>1059.47</v>
      </c>
      <c r="R9" s="50">
        <v>899.83</v>
      </c>
      <c r="S9" s="50">
        <v>1063.29</v>
      </c>
      <c r="T9" s="50">
        <v>511.17</v>
      </c>
      <c r="U9" s="50">
        <v>538.95000000000005</v>
      </c>
      <c r="V9" s="51">
        <v>2846.68</v>
      </c>
      <c r="W9" s="51">
        <v>1521.06</v>
      </c>
      <c r="X9" s="51">
        <v>1463.78</v>
      </c>
      <c r="Y9" s="50">
        <v>1291.97</v>
      </c>
    </row>
    <row r="10" spans="1:25" x14ac:dyDescent="0.25">
      <c r="A10" s="49" t="s">
        <v>89</v>
      </c>
      <c r="B10" s="50">
        <v>2526.46</v>
      </c>
      <c r="C10" s="50">
        <v>2043.86</v>
      </c>
      <c r="D10" s="50">
        <v>2841.26</v>
      </c>
      <c r="E10" s="50">
        <v>2589.69</v>
      </c>
      <c r="F10" s="50">
        <v>3661.04</v>
      </c>
      <c r="G10" s="50">
        <v>3216.09</v>
      </c>
      <c r="H10" s="50">
        <v>2892.74</v>
      </c>
      <c r="I10" s="50">
        <v>2828</v>
      </c>
      <c r="J10" s="50">
        <v>2073.69</v>
      </c>
      <c r="K10" s="50">
        <v>2921.08</v>
      </c>
      <c r="L10" s="50">
        <v>2247.02</v>
      </c>
      <c r="M10" s="50">
        <v>3218.37</v>
      </c>
      <c r="N10" s="50">
        <v>1899.29</v>
      </c>
      <c r="O10" s="50">
        <v>2093.6999999999998</v>
      </c>
      <c r="P10" s="50">
        <v>3881.95</v>
      </c>
      <c r="Q10" s="50">
        <v>4000.89</v>
      </c>
      <c r="R10" s="50">
        <v>3235.68</v>
      </c>
      <c r="S10" s="50">
        <v>3683.22</v>
      </c>
      <c r="T10" s="50">
        <v>869.92</v>
      </c>
      <c r="U10" s="50">
        <v>981.02</v>
      </c>
      <c r="V10" s="51">
        <v>1833.08</v>
      </c>
      <c r="W10" s="51">
        <v>1055.44</v>
      </c>
      <c r="X10" s="51">
        <v>673.19</v>
      </c>
      <c r="Y10" s="50">
        <v>441.21</v>
      </c>
    </row>
    <row r="11" spans="1:25" x14ac:dyDescent="0.25">
      <c r="A11" s="49" t="s">
        <v>90</v>
      </c>
      <c r="B11" s="50">
        <v>0</v>
      </c>
      <c r="C11" s="50">
        <v>0</v>
      </c>
      <c r="D11" s="50">
        <v>0</v>
      </c>
      <c r="E11" s="50">
        <v>0</v>
      </c>
      <c r="F11" s="50">
        <v>0</v>
      </c>
      <c r="G11" s="50">
        <v>0</v>
      </c>
      <c r="H11" s="50">
        <v>0</v>
      </c>
      <c r="I11" s="50">
        <v>0</v>
      </c>
      <c r="J11" s="50">
        <v>0</v>
      </c>
      <c r="K11" s="50">
        <v>0</v>
      </c>
      <c r="L11" s="50">
        <v>41.33</v>
      </c>
      <c r="M11" s="50">
        <v>48</v>
      </c>
      <c r="N11" s="50">
        <v>213.06</v>
      </c>
      <c r="O11" s="50">
        <v>282.42</v>
      </c>
      <c r="P11" s="50">
        <v>0</v>
      </c>
      <c r="Q11" s="50">
        <v>0</v>
      </c>
      <c r="R11" s="50">
        <v>435.47</v>
      </c>
      <c r="S11" s="50">
        <v>628.12</v>
      </c>
      <c r="T11" s="50">
        <v>3883.86</v>
      </c>
      <c r="U11" s="50">
        <v>5810.18</v>
      </c>
      <c r="V11" s="51">
        <v>53.07</v>
      </c>
      <c r="W11" s="51">
        <v>46.28</v>
      </c>
      <c r="X11" s="51">
        <v>243.9</v>
      </c>
      <c r="Y11" s="50">
        <v>192.76</v>
      </c>
    </row>
    <row r="12" spans="1:25" x14ac:dyDescent="0.25">
      <c r="A12" s="52" t="s">
        <v>91</v>
      </c>
      <c r="B12" s="53">
        <v>9.99</v>
      </c>
      <c r="C12" s="53">
        <v>16.66</v>
      </c>
      <c r="D12" s="53">
        <v>0</v>
      </c>
      <c r="E12" s="53">
        <v>0</v>
      </c>
      <c r="F12" s="53">
        <v>16.05</v>
      </c>
      <c r="G12" s="53">
        <v>0</v>
      </c>
      <c r="H12" s="53">
        <v>16</v>
      </c>
      <c r="I12" s="53">
        <v>0</v>
      </c>
      <c r="J12" s="53">
        <v>19.78</v>
      </c>
      <c r="K12" s="53">
        <v>32</v>
      </c>
      <c r="L12" s="53">
        <v>20.02</v>
      </c>
      <c r="M12" s="53">
        <v>32</v>
      </c>
      <c r="N12" s="53">
        <v>13.58</v>
      </c>
      <c r="O12" s="53">
        <v>16</v>
      </c>
      <c r="P12" s="53">
        <v>132.22</v>
      </c>
      <c r="Q12" s="53">
        <v>156.81</v>
      </c>
      <c r="R12" s="53">
        <v>67.45</v>
      </c>
      <c r="S12" s="53">
        <v>96</v>
      </c>
      <c r="T12" s="53">
        <v>157.44999999999999</v>
      </c>
      <c r="U12" s="53">
        <v>212.69</v>
      </c>
      <c r="V12" s="54" t="s">
        <v>92</v>
      </c>
      <c r="W12" s="54" t="s">
        <v>92</v>
      </c>
      <c r="X12" s="54">
        <v>210.01</v>
      </c>
      <c r="Y12" s="53">
        <v>174.74</v>
      </c>
    </row>
    <row r="13" spans="1:25" x14ac:dyDescent="0.25">
      <c r="A13" s="49" t="s">
        <v>24</v>
      </c>
      <c r="B13" s="50">
        <f>B14-SUM(B3:B12)</f>
        <v>782.83000000000357</v>
      </c>
      <c r="C13" s="50">
        <f t="shared" ref="C13:Y13" si="0">C14-SUM(C3:C12)</f>
        <v>686.57999999999993</v>
      </c>
      <c r="D13" s="50">
        <f t="shared" si="0"/>
        <v>729.35000000000218</v>
      </c>
      <c r="E13" s="50">
        <f t="shared" si="0"/>
        <v>642.7400000000016</v>
      </c>
      <c r="F13" s="50">
        <f t="shared" si="0"/>
        <v>1363.6400000000031</v>
      </c>
      <c r="G13" s="50">
        <f t="shared" si="0"/>
        <v>-3943.9799999999996</v>
      </c>
      <c r="H13" s="50">
        <f t="shared" si="0"/>
        <v>6521.2000000000025</v>
      </c>
      <c r="I13" s="50">
        <f t="shared" si="0"/>
        <v>1331.5399999999936</v>
      </c>
      <c r="J13" s="50">
        <f t="shared" si="0"/>
        <v>1300.7499999999982</v>
      </c>
      <c r="K13" s="50">
        <f t="shared" si="0"/>
        <v>1787.5999999999949</v>
      </c>
      <c r="L13" s="50">
        <f t="shared" si="0"/>
        <v>1123.3099999999995</v>
      </c>
      <c r="M13" s="50">
        <f t="shared" si="0"/>
        <v>1614.8600000000006</v>
      </c>
      <c r="N13" s="50">
        <f t="shared" si="0"/>
        <v>1947.3999999999978</v>
      </c>
      <c r="O13" s="50">
        <f t="shared" si="0"/>
        <v>2003.2699999999932</v>
      </c>
      <c r="P13" s="50">
        <f t="shared" si="0"/>
        <v>1123.7199999999939</v>
      </c>
      <c r="Q13" s="50">
        <f t="shared" si="0"/>
        <v>1028.1900000000023</v>
      </c>
      <c r="R13" s="50">
        <f t="shared" si="0"/>
        <v>498.30999999999767</v>
      </c>
      <c r="S13" s="50">
        <f t="shared" si="0"/>
        <v>466.47999999999593</v>
      </c>
      <c r="T13" s="50">
        <f t="shared" si="0"/>
        <v>1486.2099999999991</v>
      </c>
      <c r="U13" s="50">
        <f t="shared" si="0"/>
        <v>953.16999999999825</v>
      </c>
      <c r="V13" s="50">
        <f t="shared" si="0"/>
        <v>192.02999999999884</v>
      </c>
      <c r="W13" s="50">
        <f t="shared" si="0"/>
        <v>142.19999999999709</v>
      </c>
      <c r="X13" s="50">
        <f t="shared" si="0"/>
        <v>373.61999999999534</v>
      </c>
      <c r="Y13" s="50">
        <f t="shared" si="0"/>
        <v>313.97000000000116</v>
      </c>
    </row>
    <row r="14" spans="1:25" x14ac:dyDescent="0.25">
      <c r="A14" s="55" t="s">
        <v>13</v>
      </c>
      <c r="B14" s="56">
        <v>14571.030000000002</v>
      </c>
      <c r="C14" s="56">
        <v>12543.41</v>
      </c>
      <c r="D14" s="56">
        <v>17212.939999999999</v>
      </c>
      <c r="E14" s="56">
        <v>16407.800000000003</v>
      </c>
      <c r="F14" s="56">
        <v>19593.95</v>
      </c>
      <c r="G14" s="56">
        <v>16668.55</v>
      </c>
      <c r="H14" s="56">
        <v>22032.710000000003</v>
      </c>
      <c r="I14" s="56">
        <v>20841.869999999995</v>
      </c>
      <c r="J14" s="56">
        <v>16891.32</v>
      </c>
      <c r="K14" s="56">
        <v>24536.51</v>
      </c>
      <c r="L14" s="56">
        <v>17083.48</v>
      </c>
      <c r="M14" s="56">
        <v>25127.05</v>
      </c>
      <c r="N14" s="56">
        <v>27432.010000000002</v>
      </c>
      <c r="O14" s="56">
        <v>32779.369999999995</v>
      </c>
      <c r="P14" s="56">
        <v>39292.529999999992</v>
      </c>
      <c r="Q14" s="56">
        <v>41891.370000000003</v>
      </c>
      <c r="R14" s="56">
        <v>39307.159999999996</v>
      </c>
      <c r="S14" s="56">
        <v>49484.159999999996</v>
      </c>
      <c r="T14" s="56">
        <v>40719.299999999996</v>
      </c>
      <c r="U14" s="56">
        <v>50712.209999999992</v>
      </c>
      <c r="V14" s="56">
        <v>94043.62000000001</v>
      </c>
      <c r="W14" s="56">
        <v>63150.709999999992</v>
      </c>
      <c r="X14" s="56">
        <v>74690.709999999977</v>
      </c>
      <c r="Y14" s="56">
        <v>56115.270000000004</v>
      </c>
    </row>
    <row r="15" spans="1:25" x14ac:dyDescent="0.25">
      <c r="B15">
        <f>B14*10^5</f>
        <v>1457103000.0000002</v>
      </c>
      <c r="D15">
        <f>D14*10^5</f>
        <v>1721293999.9999998</v>
      </c>
      <c r="F15">
        <f>F14*10^5</f>
        <v>1959395000</v>
      </c>
      <c r="H15">
        <f>H14*10^5</f>
        <v>2203271000.0000005</v>
      </c>
      <c r="J15">
        <f>J14*10^5</f>
        <v>1689132000</v>
      </c>
      <c r="L15">
        <f>L14*10^5</f>
        <v>1708348000</v>
      </c>
      <c r="N15">
        <f>N14*10^5</f>
        <v>2743201000</v>
      </c>
      <c r="P15">
        <f>P14*10^5</f>
        <v>3929252999.999999</v>
      </c>
      <c r="R15">
        <f>R14*10^5</f>
        <v>3930715999.9999995</v>
      </c>
      <c r="T15">
        <f>T14*10^5</f>
        <v>4071929999.9999995</v>
      </c>
      <c r="V15">
        <f>V14*10^5</f>
        <v>9404362000.0000019</v>
      </c>
      <c r="X15">
        <f>X14*10^5</f>
        <v>7469070999.9999981</v>
      </c>
    </row>
    <row r="16" spans="1:25" x14ac:dyDescent="0.25">
      <c r="A16" s="168" t="s">
        <v>47</v>
      </c>
      <c r="B16" s="57" t="s">
        <v>80</v>
      </c>
      <c r="C16" s="57" t="s">
        <v>93</v>
      </c>
      <c r="D16">
        <f>D15/E14</f>
        <v>104907.05640000485</v>
      </c>
      <c r="F16">
        <f>F15/G14</f>
        <v>117550.41680290128</v>
      </c>
      <c r="H16">
        <f>H15/I14</f>
        <v>105713.69075807501</v>
      </c>
      <c r="J16">
        <f>J15/K14</f>
        <v>68841.57526885446</v>
      </c>
      <c r="L16">
        <f>L15/M14</f>
        <v>67988.402936277838</v>
      </c>
    </row>
    <row r="17" spans="1:8" x14ac:dyDescent="0.25">
      <c r="A17" s="169"/>
      <c r="B17" s="57" t="s">
        <v>81</v>
      </c>
      <c r="C17" s="57" t="s">
        <v>94</v>
      </c>
    </row>
    <row r="18" spans="1:8" x14ac:dyDescent="0.25">
      <c r="A18">
        <v>2012</v>
      </c>
      <c r="B18" s="43">
        <v>116164.82280336849</v>
      </c>
      <c r="D18">
        <v>153.06</v>
      </c>
      <c r="E18">
        <v>609.41</v>
      </c>
      <c r="F18">
        <f>E18*100000</f>
        <v>60941000</v>
      </c>
      <c r="G18">
        <f>F18/D18</f>
        <v>398151.05187508167</v>
      </c>
    </row>
    <row r="19" spans="1:8" x14ac:dyDescent="0.25">
      <c r="A19">
        <v>2013</v>
      </c>
      <c r="B19" s="43">
        <v>104907.05640000485</v>
      </c>
      <c r="C19" s="58">
        <f>(B19-B18)/B19</f>
        <v>-0.10731181285306866</v>
      </c>
      <c r="D19" s="59">
        <v>1216.1199999999999</v>
      </c>
      <c r="E19" s="59">
        <v>1667.36</v>
      </c>
      <c r="F19">
        <f t="shared" ref="F19:F29" si="1">E19*100000</f>
        <v>166736000</v>
      </c>
      <c r="G19">
        <f t="shared" ref="G19:G29" si="2">F19/D19</f>
        <v>137104.89096470745</v>
      </c>
      <c r="H19" s="44">
        <f>(G19-G18)/G19</f>
        <v>-1.9039886839454243</v>
      </c>
    </row>
    <row r="20" spans="1:8" x14ac:dyDescent="0.25">
      <c r="A20">
        <v>2014</v>
      </c>
      <c r="B20" s="43">
        <v>117550.41680290128</v>
      </c>
      <c r="C20" s="58">
        <f t="shared" ref="C20:C29" si="3">(B20-B19)/B20</f>
        <v>0.10755691682570351</v>
      </c>
      <c r="D20">
        <v>246.82</v>
      </c>
      <c r="E20" s="59">
        <v>1201.05</v>
      </c>
      <c r="F20">
        <f t="shared" si="1"/>
        <v>120105000</v>
      </c>
      <c r="G20">
        <f t="shared" si="2"/>
        <v>486609.67506685032</v>
      </c>
      <c r="H20" s="44">
        <f t="shared" ref="H20:H29" si="4">(G20-G19)/G20</f>
        <v>0.71824462605296124</v>
      </c>
    </row>
    <row r="21" spans="1:8" x14ac:dyDescent="0.25">
      <c r="A21">
        <v>2015</v>
      </c>
      <c r="B21" s="43">
        <v>105713.69075807501</v>
      </c>
      <c r="C21" s="58">
        <f t="shared" si="3"/>
        <v>-0.11196966031499672</v>
      </c>
      <c r="D21" s="59">
        <v>2127.15</v>
      </c>
      <c r="E21" s="59">
        <v>2690.76</v>
      </c>
      <c r="F21">
        <f t="shared" si="1"/>
        <v>269076000</v>
      </c>
      <c r="G21">
        <f t="shared" si="2"/>
        <v>126496.01579578308</v>
      </c>
      <c r="H21" s="44">
        <f t="shared" si="4"/>
        <v>-2.8468379577459557</v>
      </c>
    </row>
    <row r="22" spans="1:8" x14ac:dyDescent="0.25">
      <c r="A22">
        <v>2016</v>
      </c>
      <c r="B22" s="43">
        <v>68841.57526885446</v>
      </c>
      <c r="C22" s="44">
        <f t="shared" si="3"/>
        <v>-0.53560824756289915</v>
      </c>
      <c r="D22" s="59">
        <v>3353.9</v>
      </c>
      <c r="E22" s="59">
        <v>4718.4399999999996</v>
      </c>
      <c r="F22">
        <f t="shared" si="1"/>
        <v>471843999.99999994</v>
      </c>
      <c r="G22">
        <f t="shared" si="2"/>
        <v>140685.17248576283</v>
      </c>
      <c r="H22" s="44">
        <f t="shared" si="4"/>
        <v>0.10085751354795881</v>
      </c>
    </row>
    <row r="23" spans="1:8" x14ac:dyDescent="0.25">
      <c r="A23">
        <v>2017</v>
      </c>
      <c r="B23" s="43">
        <v>67988.402936277838</v>
      </c>
      <c r="C23" s="44">
        <f t="shared" si="3"/>
        <v>-1.2548792084089072E-2</v>
      </c>
      <c r="D23">
        <v>430.63</v>
      </c>
      <c r="E23" s="59">
        <v>1877.76</v>
      </c>
      <c r="F23">
        <f t="shared" si="1"/>
        <v>187776000</v>
      </c>
      <c r="G23">
        <f t="shared" si="2"/>
        <v>436049.50885911338</v>
      </c>
      <c r="H23" s="44">
        <f t="shared" si="4"/>
        <v>0.67736422211814062</v>
      </c>
    </row>
    <row r="24" spans="1:8" x14ac:dyDescent="0.25">
      <c r="A24">
        <v>2018</v>
      </c>
      <c r="B24" s="43">
        <v>83686.812772789723</v>
      </c>
      <c r="C24" s="44">
        <f t="shared" si="3"/>
        <v>0.18758522778413339</v>
      </c>
      <c r="D24" s="59">
        <v>8812.56</v>
      </c>
      <c r="E24" s="59">
        <v>7384.31</v>
      </c>
      <c r="F24">
        <f t="shared" si="1"/>
        <v>738431000</v>
      </c>
      <c r="G24">
        <f t="shared" si="2"/>
        <v>83793.018146826813</v>
      </c>
      <c r="H24" s="44">
        <f t="shared" si="4"/>
        <v>-4.2038883250993901</v>
      </c>
    </row>
    <row r="25" spans="1:8" x14ac:dyDescent="0.25">
      <c r="A25">
        <v>2019</v>
      </c>
      <c r="B25" s="43">
        <v>93796.24013251414</v>
      </c>
      <c r="C25" s="44">
        <f t="shared" si="3"/>
        <v>0.10778073135385753</v>
      </c>
      <c r="D25" s="59">
        <v>8069.08</v>
      </c>
      <c r="E25" s="59">
        <v>5878.66</v>
      </c>
      <c r="F25">
        <f t="shared" si="1"/>
        <v>587866000</v>
      </c>
      <c r="G25">
        <f t="shared" si="2"/>
        <v>72854.15437695499</v>
      </c>
      <c r="H25" s="44">
        <f t="shared" si="4"/>
        <v>-0.15014742623012273</v>
      </c>
    </row>
    <row r="26" spans="1:8" x14ac:dyDescent="0.25">
      <c r="A26">
        <v>2020</v>
      </c>
      <c r="B26" s="43">
        <v>79433.82286372043</v>
      </c>
      <c r="C26" s="44">
        <f t="shared" si="3"/>
        <v>-0.18080984586923882</v>
      </c>
      <c r="D26" s="59">
        <v>11027.18</v>
      </c>
      <c r="E26" s="59">
        <v>7646.09</v>
      </c>
      <c r="F26">
        <f t="shared" si="1"/>
        <v>764609000</v>
      </c>
      <c r="G26">
        <f t="shared" si="2"/>
        <v>69338.579763819944</v>
      </c>
      <c r="H26" s="44">
        <f t="shared" si="4"/>
        <v>-5.0701566503233049E-2</v>
      </c>
    </row>
    <row r="27" spans="1:8" x14ac:dyDescent="0.25">
      <c r="A27">
        <v>2021</v>
      </c>
      <c r="B27" s="43">
        <v>80294.863899640739</v>
      </c>
      <c r="C27" s="44">
        <f t="shared" si="3"/>
        <v>1.0723488329172711E-2</v>
      </c>
      <c r="D27" s="59">
        <v>3944.12</v>
      </c>
      <c r="E27" s="59">
        <v>5324.19</v>
      </c>
      <c r="F27">
        <f t="shared" si="1"/>
        <v>532418999.99999994</v>
      </c>
      <c r="G27">
        <f t="shared" si="2"/>
        <v>134990.56823828889</v>
      </c>
      <c r="H27" s="44">
        <f t="shared" si="4"/>
        <v>0.48634500418265025</v>
      </c>
    </row>
    <row r="28" spans="1:8" x14ac:dyDescent="0.25">
      <c r="A28">
        <v>2022</v>
      </c>
      <c r="B28" s="43">
        <v>148919.33914915609</v>
      </c>
      <c r="C28" s="44">
        <f t="shared" si="3"/>
        <v>0.46081641002168144</v>
      </c>
      <c r="D28" s="59">
        <v>29468.73</v>
      </c>
      <c r="E28" s="59">
        <v>26248.18</v>
      </c>
      <c r="F28">
        <f t="shared" si="1"/>
        <v>2624818000</v>
      </c>
      <c r="G28">
        <f t="shared" si="2"/>
        <v>89071.296930678727</v>
      </c>
      <c r="H28" s="44">
        <f t="shared" si="4"/>
        <v>-0.51553388004833511</v>
      </c>
    </row>
    <row r="29" spans="1:8" x14ac:dyDescent="0.25">
      <c r="A29">
        <v>2023</v>
      </c>
      <c r="B29" s="43">
        <v>133102.29105197208</v>
      </c>
      <c r="C29" s="44">
        <f t="shared" si="3"/>
        <v>-0.11883377793255247</v>
      </c>
      <c r="D29" s="59">
        <v>8737.81</v>
      </c>
      <c r="E29" s="59">
        <v>7719.99</v>
      </c>
      <c r="F29">
        <f t="shared" si="1"/>
        <v>771999000</v>
      </c>
      <c r="G29">
        <f t="shared" si="2"/>
        <v>88351.543464552335</v>
      </c>
      <c r="H29" s="44">
        <f t="shared" si="4"/>
        <v>-8.14647303151151E-3</v>
      </c>
    </row>
  </sheetData>
  <mergeCells count="13">
    <mergeCell ref="A16:A17"/>
    <mergeCell ref="N1:O1"/>
    <mergeCell ref="P1:Q1"/>
    <mergeCell ref="R1:S1"/>
    <mergeCell ref="T1:U1"/>
    <mergeCell ref="V1:W1"/>
    <mergeCell ref="X1:Y1"/>
    <mergeCell ref="B1:C1"/>
    <mergeCell ref="D1:E1"/>
    <mergeCell ref="F1:G1"/>
    <mergeCell ref="H1:I1"/>
    <mergeCell ref="J1:K1"/>
    <mergeCell ref="L1:M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95507-258E-40F5-8C5C-63C1267D5738}">
  <dimension ref="A1:R61"/>
  <sheetViews>
    <sheetView showGridLines="0" topLeftCell="A9" zoomScale="84" zoomScaleNormal="100" workbookViewId="0">
      <selection activeCell="K46" sqref="K46"/>
    </sheetView>
  </sheetViews>
  <sheetFormatPr defaultRowHeight="15" x14ac:dyDescent="0.25"/>
  <cols>
    <col min="1" max="1" width="12.140625" style="1" bestFit="1" customWidth="1"/>
    <col min="2" max="2" width="17.5703125" style="1" bestFit="1" customWidth="1"/>
    <col min="3" max="3" width="16.140625" style="1" bestFit="1" customWidth="1"/>
    <col min="4" max="4" width="14.85546875" style="1" bestFit="1" customWidth="1"/>
    <col min="5" max="5" width="18.140625" style="1" bestFit="1" customWidth="1"/>
    <col min="6" max="6" width="16.28515625" style="1" bestFit="1" customWidth="1"/>
    <col min="7" max="7" width="15.5703125" style="1" bestFit="1" customWidth="1"/>
    <col min="8" max="8" width="16.5703125" style="1" customWidth="1"/>
    <col min="9" max="9" width="14.7109375" style="1" bestFit="1" customWidth="1"/>
    <col min="10" max="10" width="17.140625" style="1" customWidth="1"/>
    <col min="11" max="11" width="15.140625" style="1" bestFit="1" customWidth="1"/>
    <col min="12" max="12" width="19" style="1" bestFit="1" customWidth="1"/>
    <col min="13" max="13" width="19.140625" style="1" customWidth="1"/>
    <col min="14" max="14" width="17" style="1" bestFit="1" customWidth="1"/>
    <col min="15" max="15" width="12.5703125" style="1" bestFit="1" customWidth="1"/>
    <col min="16" max="16" width="16.85546875" style="1" bestFit="1" customWidth="1"/>
    <col min="17" max="17" width="11.42578125" style="1" bestFit="1" customWidth="1"/>
    <col min="18" max="18" width="14.7109375" style="1" bestFit="1" customWidth="1"/>
    <col min="19" max="16384" width="9.140625" style="1"/>
  </cols>
  <sheetData>
    <row r="1" spans="1:12" x14ac:dyDescent="0.25">
      <c r="A1" s="147" t="s">
        <v>0</v>
      </c>
      <c r="B1" s="148"/>
      <c r="C1" s="148"/>
      <c r="D1" s="148"/>
      <c r="E1" s="148"/>
      <c r="F1" s="148"/>
      <c r="G1" s="148"/>
      <c r="H1" s="148"/>
      <c r="I1" s="148"/>
      <c r="J1" s="148"/>
    </row>
    <row r="2" spans="1:12" ht="15.75" thickBot="1" x14ac:dyDescent="0.3">
      <c r="A2" s="2"/>
      <c r="B2" s="3" t="s">
        <v>1</v>
      </c>
      <c r="C2" s="3" t="s">
        <v>2</v>
      </c>
      <c r="D2" s="3" t="s">
        <v>3</v>
      </c>
      <c r="E2" s="3" t="s">
        <v>4</v>
      </c>
      <c r="F2" s="3" t="s">
        <v>5</v>
      </c>
      <c r="G2" s="3" t="s">
        <v>6</v>
      </c>
      <c r="H2" s="3" t="s">
        <v>7</v>
      </c>
      <c r="I2" s="149" t="s">
        <v>8</v>
      </c>
      <c r="J2" s="150"/>
    </row>
    <row r="3" spans="1:12" x14ac:dyDescent="0.25">
      <c r="A3" s="4" t="s">
        <v>9</v>
      </c>
      <c r="B3" s="5">
        <v>58040561.446256839</v>
      </c>
      <c r="C3" s="5">
        <v>71165481.474571213</v>
      </c>
      <c r="D3" s="5">
        <v>36142484.909999996</v>
      </c>
      <c r="E3" s="6">
        <f>B3/D3</f>
        <v>1.6058818753272281</v>
      </c>
      <c r="F3" s="6">
        <f>C3/D3</f>
        <v>1.9690256951558127</v>
      </c>
      <c r="G3" s="6">
        <f>E3*B55</f>
        <v>132.0367463596543</v>
      </c>
      <c r="H3" s="6">
        <f>F3*B55</f>
        <v>161.89468869492879</v>
      </c>
      <c r="I3" s="151">
        <f>D3/D5</f>
        <v>0.64089181336825896</v>
      </c>
      <c r="J3" s="152"/>
      <c r="K3" s="7" t="s">
        <v>9</v>
      </c>
      <c r="L3" s="8" t="s">
        <v>10</v>
      </c>
    </row>
    <row r="4" spans="1:12" ht="15.75" thickBot="1" x14ac:dyDescent="0.3">
      <c r="A4" s="4" t="s">
        <v>11</v>
      </c>
      <c r="B4" s="5">
        <v>34129464.137621574</v>
      </c>
      <c r="C4" s="5">
        <v>42073175.811955988</v>
      </c>
      <c r="D4" s="5">
        <v>20251565</v>
      </c>
      <c r="E4" s="6">
        <f>B4/D4</f>
        <v>1.6852753916856091</v>
      </c>
      <c r="F4" s="6">
        <f>C4/D4</f>
        <v>2.0775271349130788</v>
      </c>
      <c r="G4" s="6">
        <f>E4*B55</f>
        <v>138.5645375646435</v>
      </c>
      <c r="H4" s="6">
        <f>B55*F4</f>
        <v>170.81575399929199</v>
      </c>
      <c r="I4" s="151">
        <f>D4/D5</f>
        <v>0.3591081866317411</v>
      </c>
      <c r="J4" s="152"/>
      <c r="K4" s="9" t="s">
        <v>11</v>
      </c>
      <c r="L4" s="10" t="s">
        <v>12</v>
      </c>
    </row>
    <row r="5" spans="1:12" x14ac:dyDescent="0.25">
      <c r="A5" s="4" t="s">
        <v>13</v>
      </c>
      <c r="B5" s="5">
        <f>SUM(B3:B4)</f>
        <v>92170025.583878413</v>
      </c>
      <c r="C5" s="5">
        <f t="shared" ref="C5:D5" si="0">SUM(C3:C4)</f>
        <v>113238657.2865272</v>
      </c>
      <c r="D5" s="5">
        <f t="shared" si="0"/>
        <v>56394049.909999996</v>
      </c>
      <c r="E5" s="6">
        <f>B5/D5</f>
        <v>1.6343927370170039</v>
      </c>
      <c r="F5" s="6">
        <f>C5/D5</f>
        <v>2.0079894504339775</v>
      </c>
      <c r="G5" s="6">
        <f>E5*B55</f>
        <v>134.3809296219886</v>
      </c>
      <c r="H5" s="6">
        <f>F5*B55</f>
        <v>165.09831627920198</v>
      </c>
      <c r="I5" s="11"/>
      <c r="J5" s="12"/>
    </row>
    <row r="6" spans="1:12" x14ac:dyDescent="0.25">
      <c r="A6" s="147" t="s">
        <v>14</v>
      </c>
      <c r="B6" s="148"/>
      <c r="C6" s="148"/>
      <c r="D6" s="148"/>
      <c r="E6" s="148"/>
      <c r="F6" s="148"/>
      <c r="G6" s="148"/>
      <c r="H6" s="148"/>
      <c r="I6" s="148"/>
      <c r="J6" s="148"/>
    </row>
    <row r="7" spans="1:12" x14ac:dyDescent="0.25">
      <c r="A7" s="2"/>
      <c r="B7" s="3" t="s">
        <v>1</v>
      </c>
      <c r="C7" s="3" t="s">
        <v>2</v>
      </c>
      <c r="D7" s="3" t="s">
        <v>3</v>
      </c>
      <c r="E7" s="3" t="s">
        <v>4</v>
      </c>
      <c r="F7" s="3" t="s">
        <v>5</v>
      </c>
      <c r="G7" s="3" t="s">
        <v>6</v>
      </c>
      <c r="H7" s="3" t="s">
        <v>7</v>
      </c>
      <c r="I7" s="149" t="s">
        <v>8</v>
      </c>
      <c r="J7" s="150"/>
    </row>
    <row r="8" spans="1:12" x14ac:dyDescent="0.25">
      <c r="A8" s="4" t="s">
        <v>9</v>
      </c>
      <c r="B8" s="5">
        <v>69824168.293379456</v>
      </c>
      <c r="C8" s="5">
        <v>86555601.963379636</v>
      </c>
      <c r="D8" s="5">
        <v>36871201.170000009</v>
      </c>
      <c r="E8" s="6">
        <f>B8/D8</f>
        <v>1.893731857865032</v>
      </c>
      <c r="F8" s="6">
        <f>C8/D8</f>
        <v>2.3475124003772621</v>
      </c>
      <c r="G8" s="6">
        <f>E8*B56</f>
        <v>148.89959670866415</v>
      </c>
      <c r="H8" s="6">
        <f>F8*B56</f>
        <v>184.57927305444039</v>
      </c>
      <c r="I8" s="151">
        <f>D8/D10</f>
        <v>0.59119726948297857</v>
      </c>
      <c r="J8" s="152"/>
    </row>
    <row r="9" spans="1:12" x14ac:dyDescent="0.25">
      <c r="A9" s="4" t="s">
        <v>11</v>
      </c>
      <c r="B9" s="5">
        <v>55013916.220357485</v>
      </c>
      <c r="C9" s="5">
        <v>68446351.41035755</v>
      </c>
      <c r="D9" s="5">
        <v>25518541.800000001</v>
      </c>
      <c r="E9" s="6">
        <f>B9/D9</f>
        <v>2.1558409039013933</v>
      </c>
      <c r="F9" s="6">
        <f>C9/D9</f>
        <v>2.6822203222582863</v>
      </c>
      <c r="G9" s="6">
        <f>E9*B56</f>
        <v>169.50860272311988</v>
      </c>
      <c r="H9" s="6">
        <f>F9*B56</f>
        <v>210.89655465705658</v>
      </c>
      <c r="I9" s="151">
        <f>D9/D10</f>
        <v>0.40916736516905966</v>
      </c>
      <c r="J9" s="152"/>
    </row>
    <row r="10" spans="1:12" x14ac:dyDescent="0.25">
      <c r="A10" s="4" t="s">
        <v>13</v>
      </c>
      <c r="B10" s="5">
        <v>124781873.89076445</v>
      </c>
      <c r="C10" s="5">
        <v>154930137.31076428</v>
      </c>
      <c r="D10" s="5">
        <v>62367001.799999997</v>
      </c>
      <c r="E10" s="6">
        <f>B10/D10</f>
        <v>2.000767557993536</v>
      </c>
      <c r="F10" s="6">
        <f>C10/D10</f>
        <v>2.4841684358596869</v>
      </c>
      <c r="G10" s="6">
        <f>E10*B56</f>
        <v>157.31555724519521</v>
      </c>
      <c r="H10" s="6">
        <f>F10*B56</f>
        <v>195.32420955990642</v>
      </c>
      <c r="I10" s="11"/>
      <c r="J10" s="13"/>
    </row>
    <row r="11" spans="1:12" x14ac:dyDescent="0.25">
      <c r="A11" s="147" t="s">
        <v>15</v>
      </c>
      <c r="B11" s="148"/>
      <c r="C11" s="148"/>
      <c r="D11" s="148"/>
      <c r="E11" s="148"/>
      <c r="F11" s="148"/>
      <c r="G11" s="148"/>
      <c r="H11" s="148"/>
      <c r="I11" s="148"/>
      <c r="J11" s="148"/>
    </row>
    <row r="12" spans="1:12" x14ac:dyDescent="0.25">
      <c r="A12" s="2"/>
      <c r="B12" s="3" t="s">
        <v>1</v>
      </c>
      <c r="C12" s="3" t="s">
        <v>2</v>
      </c>
      <c r="D12" s="3" t="s">
        <v>3</v>
      </c>
      <c r="E12" s="3" t="s">
        <v>4</v>
      </c>
      <c r="F12" s="3" t="s">
        <v>5</v>
      </c>
      <c r="G12" s="3" t="s">
        <v>6</v>
      </c>
      <c r="H12" s="3" t="s">
        <v>7</v>
      </c>
      <c r="I12" s="149" t="s">
        <v>8</v>
      </c>
      <c r="J12" s="150"/>
    </row>
    <row r="13" spans="1:12" x14ac:dyDescent="0.25">
      <c r="A13" s="4" t="s">
        <v>9</v>
      </c>
      <c r="B13" s="5">
        <v>34292715.008098081</v>
      </c>
      <c r="C13" s="5">
        <v>42585011.98334296</v>
      </c>
      <c r="D13" s="5">
        <v>31745284.200000003</v>
      </c>
      <c r="E13" s="6">
        <f>B13/D13</f>
        <v>1.0802459600628833</v>
      </c>
      <c r="F13" s="6">
        <f>C13/D13</f>
        <v>1.3414594657603651</v>
      </c>
      <c r="G13" s="6">
        <f>E13*B57</f>
        <v>79.878638442907416</v>
      </c>
      <c r="H13" s="6">
        <f>F13*B57</f>
        <v>99.194035074243928</v>
      </c>
      <c r="I13" s="151">
        <f>D13/D15</f>
        <v>0.62769370056255669</v>
      </c>
      <c r="J13" s="152"/>
    </row>
    <row r="14" spans="1:12" x14ac:dyDescent="0.25">
      <c r="A14" s="4" t="s">
        <v>11</v>
      </c>
      <c r="B14" s="5">
        <v>20606652.322103508</v>
      </c>
      <c r="C14" s="5">
        <v>25429246.014437556</v>
      </c>
      <c r="D14" s="5">
        <v>18829198.5</v>
      </c>
      <c r="E14" s="6">
        <f>B14/D14</f>
        <v>1.0943988041818937</v>
      </c>
      <c r="F14" s="6">
        <f>C14/D14</f>
        <v>1.3505219573970477</v>
      </c>
      <c r="G14" s="6">
        <f>E14*B57</f>
        <v>80.92516854819516</v>
      </c>
      <c r="H14" s="6">
        <f>F14*B57</f>
        <v>99.864159767694574</v>
      </c>
      <c r="I14" s="151">
        <f>D14/D15</f>
        <v>0.37230629943744337</v>
      </c>
      <c r="J14" s="152"/>
    </row>
    <row r="15" spans="1:12" x14ac:dyDescent="0.25">
      <c r="A15" s="4" t="s">
        <v>13</v>
      </c>
      <c r="B15" s="5">
        <f>SUM(B13:B14)</f>
        <v>54899367.330201589</v>
      </c>
      <c r="C15" s="5">
        <f t="shared" ref="C15:D15" si="1">SUM(C13:C14)</f>
        <v>68014257.997780517</v>
      </c>
      <c r="D15" s="5">
        <f t="shared" si="1"/>
        <v>50574482.700000003</v>
      </c>
      <c r="E15" s="6">
        <f>B15/D15</f>
        <v>1.0855151530833471</v>
      </c>
      <c r="F15" s="6">
        <f>C15/D15</f>
        <v>1.3448334884853013</v>
      </c>
      <c r="G15" s="6">
        <f>E15*B57</f>
        <v>80.268268193656979</v>
      </c>
      <c r="H15" s="6">
        <f>F15*B57</f>
        <v>99.443526719024192</v>
      </c>
      <c r="I15" s="11"/>
      <c r="J15" s="14"/>
    </row>
    <row r="16" spans="1:12" x14ac:dyDescent="0.25">
      <c r="A16" s="147" t="s">
        <v>16</v>
      </c>
      <c r="B16" s="148"/>
      <c r="C16" s="148"/>
      <c r="D16" s="148"/>
      <c r="E16" s="148"/>
      <c r="F16" s="148"/>
      <c r="G16" s="148"/>
      <c r="H16" s="148"/>
      <c r="I16" s="148"/>
      <c r="J16" s="148"/>
    </row>
    <row r="17" spans="1:18" x14ac:dyDescent="0.25">
      <c r="A17" s="2"/>
      <c r="B17" s="3" t="s">
        <v>1</v>
      </c>
      <c r="C17" s="3" t="s">
        <v>2</v>
      </c>
      <c r="D17" s="3" t="s">
        <v>3</v>
      </c>
      <c r="E17" s="3" t="s">
        <v>4</v>
      </c>
      <c r="F17" s="3" t="s">
        <v>5</v>
      </c>
      <c r="G17" s="3" t="s">
        <v>6</v>
      </c>
      <c r="H17" s="3" t="s">
        <v>7</v>
      </c>
      <c r="I17" s="149" t="s">
        <v>8</v>
      </c>
      <c r="J17" s="150"/>
    </row>
    <row r="18" spans="1:18" x14ac:dyDescent="0.25">
      <c r="A18" s="4" t="s">
        <v>9</v>
      </c>
      <c r="B18" s="5">
        <v>41087609.205811985</v>
      </c>
      <c r="C18" s="5">
        <v>50533479.697025709</v>
      </c>
      <c r="D18" s="5">
        <v>37947919.710000001</v>
      </c>
      <c r="E18" s="6">
        <f>B18/D18</f>
        <v>1.0827368013795131</v>
      </c>
      <c r="F18" s="6">
        <f>C18/D18</f>
        <v>1.3316534893929686</v>
      </c>
      <c r="G18" s="6">
        <f>E18*B58</f>
        <v>80.239816179777407</v>
      </c>
      <c r="H18" s="6">
        <f>F18*B58</f>
        <v>98.686616237585611</v>
      </c>
      <c r="I18" s="151">
        <f>D18/D20</f>
        <v>0.67231473723944046</v>
      </c>
      <c r="J18" s="152"/>
    </row>
    <row r="19" spans="1:18" x14ac:dyDescent="0.25">
      <c r="A19" s="4" t="s">
        <v>11</v>
      </c>
      <c r="B19" s="5">
        <v>21210722.197571371</v>
      </c>
      <c r="C19" s="5">
        <v>26036374.465818595</v>
      </c>
      <c r="D19" s="5">
        <v>18495763</v>
      </c>
      <c r="E19" s="6">
        <f>B19/D19</f>
        <v>1.1467881696781783</v>
      </c>
      <c r="F19" s="6">
        <f>C19/D19</f>
        <v>1.4076939927170669</v>
      </c>
      <c r="G19" s="6">
        <f>E19*B58</f>
        <v>84.98655611860643</v>
      </c>
      <c r="H19" s="6">
        <f>F19*B58</f>
        <v>104.32185095129398</v>
      </c>
      <c r="I19" s="151">
        <f>D19/D20</f>
        <v>0.32768526276055954</v>
      </c>
      <c r="J19" s="152"/>
    </row>
    <row r="20" spans="1:18" x14ac:dyDescent="0.25">
      <c r="A20" s="4" t="s">
        <v>13</v>
      </c>
      <c r="B20" s="5">
        <f>SUM(B18:B19)</f>
        <v>62298331.403383359</v>
      </c>
      <c r="C20" s="5">
        <f t="shared" ref="C20:D20" si="2">SUM(C18:C19)</f>
        <v>76569854.1628443</v>
      </c>
      <c r="D20" s="5">
        <f t="shared" si="2"/>
        <v>56443682.710000001</v>
      </c>
      <c r="E20" s="6">
        <f>B20/D20</f>
        <v>1.1037254908306346</v>
      </c>
      <c r="F20" s="6">
        <f>C20/D20</f>
        <v>1.3565708417051709</v>
      </c>
      <c r="G20" s="6">
        <f>E20*B58</f>
        <v>81.795252903888638</v>
      </c>
      <c r="H20" s="6">
        <f>F20*B58</f>
        <v>100.53319960546456</v>
      </c>
      <c r="I20" s="11"/>
      <c r="J20" s="14"/>
    </row>
    <row r="21" spans="1:18" x14ac:dyDescent="0.25">
      <c r="D21" s="15"/>
      <c r="E21" s="16"/>
      <c r="F21" s="15"/>
      <c r="G21" s="16" t="s">
        <v>137</v>
      </c>
      <c r="H21" s="16"/>
    </row>
    <row r="22" spans="1:18" x14ac:dyDescent="0.25">
      <c r="C22" s="16">
        <f>C29-B29</f>
        <v>1220080.9035031563</v>
      </c>
      <c r="D22" s="107">
        <f>C22/B29</f>
        <v>0.22211909443243119</v>
      </c>
      <c r="E22" s="15"/>
      <c r="G22" s="16"/>
    </row>
    <row r="23" spans="1:18" x14ac:dyDescent="0.25">
      <c r="A23" s="139" t="s">
        <v>15</v>
      </c>
      <c r="B23" s="139"/>
      <c r="C23" s="139"/>
      <c r="D23" s="139"/>
      <c r="E23" s="139"/>
      <c r="F23" s="139"/>
      <c r="G23" s="139"/>
      <c r="H23" s="139"/>
      <c r="I23" s="139"/>
      <c r="J23" s="139"/>
      <c r="K23" s="139"/>
      <c r="L23" s="139"/>
      <c r="M23" s="139"/>
      <c r="N23" s="139"/>
      <c r="O23" s="139"/>
      <c r="P23" s="139"/>
      <c r="Q23" s="139"/>
      <c r="R23" s="139"/>
    </row>
    <row r="24" spans="1:18" x14ac:dyDescent="0.25">
      <c r="A24" s="153" t="s">
        <v>9</v>
      </c>
      <c r="B24" s="154"/>
      <c r="C24" s="154"/>
      <c r="D24" s="154"/>
      <c r="E24" s="154"/>
      <c r="F24" s="154"/>
      <c r="G24" s="154"/>
      <c r="H24" s="154"/>
      <c r="I24" s="155"/>
      <c r="J24" s="143" t="s">
        <v>11</v>
      </c>
      <c r="K24" s="144"/>
      <c r="L24" s="144"/>
      <c r="M24" s="144"/>
      <c r="N24" s="144"/>
      <c r="O24" s="144"/>
      <c r="P24" s="144"/>
      <c r="Q24" s="144"/>
      <c r="R24" s="145"/>
    </row>
    <row r="25" spans="1:18" x14ac:dyDescent="0.25">
      <c r="A25" s="17"/>
      <c r="B25" s="18" t="s">
        <v>1</v>
      </c>
      <c r="C25" s="18" t="s">
        <v>2</v>
      </c>
      <c r="D25" s="18" t="s">
        <v>3</v>
      </c>
      <c r="E25" s="18" t="s">
        <v>17</v>
      </c>
      <c r="F25" s="18" t="s">
        <v>4</v>
      </c>
      <c r="G25" s="18" t="s">
        <v>5</v>
      </c>
      <c r="H25" s="18" t="s">
        <v>6</v>
      </c>
      <c r="I25" s="18" t="s">
        <v>7</v>
      </c>
      <c r="J25" s="18"/>
      <c r="K25" s="18" t="s">
        <v>1</v>
      </c>
      <c r="L25" s="18" t="s">
        <v>2</v>
      </c>
      <c r="M25" s="18" t="s">
        <v>3</v>
      </c>
      <c r="N25" s="18" t="s">
        <v>17</v>
      </c>
      <c r="O25" s="18" t="s">
        <v>4</v>
      </c>
      <c r="P25" s="18" t="s">
        <v>5</v>
      </c>
      <c r="Q25" s="18" t="s">
        <v>6</v>
      </c>
      <c r="R25" s="18" t="s">
        <v>7</v>
      </c>
    </row>
    <row r="26" spans="1:18" x14ac:dyDescent="0.25">
      <c r="A26" s="38" t="s">
        <v>18</v>
      </c>
      <c r="B26" s="39">
        <v>17251332.017846815</v>
      </c>
      <c r="C26" s="39">
        <v>21246130.606074791</v>
      </c>
      <c r="D26" s="39">
        <v>14418521.029999999</v>
      </c>
      <c r="E26" s="40"/>
      <c r="F26" s="41">
        <f t="shared" ref="F26:F31" si="3">B26/D26</f>
        <v>1.1964702885928944</v>
      </c>
      <c r="G26" s="41">
        <f t="shared" ref="G26:G31" si="4">C26/D26</f>
        <v>1.4735305071767677</v>
      </c>
      <c r="H26" s="41">
        <f t="shared" ref="H26:I31" si="5">F26*73</f>
        <v>87.342331067281293</v>
      </c>
      <c r="I26" s="41">
        <f t="shared" si="5"/>
        <v>107.56772702390404</v>
      </c>
      <c r="J26" s="42" t="s">
        <v>18</v>
      </c>
      <c r="K26" s="39">
        <v>12552249.093928894</v>
      </c>
      <c r="L26" s="39">
        <v>15257084.034380194</v>
      </c>
      <c r="M26" s="39">
        <v>11337138.5</v>
      </c>
      <c r="N26" s="40"/>
      <c r="O26" s="41">
        <f t="shared" ref="O26:O31" si="6">K26/M26</f>
        <v>1.1071796550715944</v>
      </c>
      <c r="P26" s="41">
        <f t="shared" ref="P26:P31" si="7">L26/M26</f>
        <v>1.3457614577417567</v>
      </c>
      <c r="Q26" s="41">
        <f t="shared" ref="Q26:R31" si="8">O26*73</f>
        <v>80.824114820226399</v>
      </c>
      <c r="R26" s="41">
        <f t="shared" si="8"/>
        <v>98.240586415148243</v>
      </c>
    </row>
    <row r="27" spans="1:18" x14ac:dyDescent="0.25">
      <c r="A27" s="19" t="s">
        <v>19</v>
      </c>
      <c r="B27" s="20">
        <v>7451181.0692016259</v>
      </c>
      <c r="C27" s="20">
        <v>9305326.239707794</v>
      </c>
      <c r="D27" s="20">
        <v>5880840</v>
      </c>
      <c r="E27" s="21">
        <f>D27/$D$26</f>
        <v>0.40786707511567849</v>
      </c>
      <c r="F27" s="6">
        <f t="shared" si="3"/>
        <v>1.2670266610214911</v>
      </c>
      <c r="G27" s="6">
        <f t="shared" si="4"/>
        <v>1.5823124315077088</v>
      </c>
      <c r="H27" s="6">
        <f t="shared" si="5"/>
        <v>92.492946254568849</v>
      </c>
      <c r="I27" s="6">
        <f t="shared" si="5"/>
        <v>115.50880750006274</v>
      </c>
      <c r="J27" s="22" t="s">
        <v>19</v>
      </c>
      <c r="K27" s="5">
        <v>1300747.0243470466</v>
      </c>
      <c r="L27" s="5">
        <v>1603973.2217096265</v>
      </c>
      <c r="M27" s="5">
        <v>948860</v>
      </c>
      <c r="N27" s="23">
        <f>M27/$M$26</f>
        <v>8.3694840633727813E-2</v>
      </c>
      <c r="O27" s="6">
        <f t="shared" si="6"/>
        <v>1.3708524169498626</v>
      </c>
      <c r="P27" s="6">
        <f t="shared" si="7"/>
        <v>1.6904213706022242</v>
      </c>
      <c r="Q27" s="6">
        <f t="shared" si="8"/>
        <v>100.07222643733996</v>
      </c>
      <c r="R27" s="6">
        <f t="shared" si="8"/>
        <v>123.40076005396237</v>
      </c>
    </row>
    <row r="28" spans="1:18" x14ac:dyDescent="0.25">
      <c r="A28" s="22" t="s">
        <v>20</v>
      </c>
      <c r="B28" s="5">
        <v>2004337.0637381899</v>
      </c>
      <c r="C28" s="5">
        <v>2442683.2225512112</v>
      </c>
      <c r="D28" s="5">
        <v>1816450</v>
      </c>
      <c r="E28" s="23">
        <f t="shared" ref="E28:E31" si="9">D28/$D$26</f>
        <v>0.12598032740116619</v>
      </c>
      <c r="F28" s="6">
        <f t="shared" si="3"/>
        <v>1.1034364082348482</v>
      </c>
      <c r="G28" s="6">
        <f t="shared" si="4"/>
        <v>1.3447566531152584</v>
      </c>
      <c r="H28" s="6">
        <f t="shared" si="5"/>
        <v>80.55085780114392</v>
      </c>
      <c r="I28" s="6">
        <f t="shared" si="5"/>
        <v>98.167235677413856</v>
      </c>
      <c r="J28" s="22" t="s">
        <v>20</v>
      </c>
      <c r="K28" s="5">
        <v>1227717.3751635386</v>
      </c>
      <c r="L28" s="5">
        <v>1493663.3631240469</v>
      </c>
      <c r="M28" s="5">
        <v>1108570</v>
      </c>
      <c r="N28" s="23">
        <f t="shared" ref="N28:N31" si="10">M28/$M$26</f>
        <v>9.7782169636544528E-2</v>
      </c>
      <c r="O28" s="6">
        <f t="shared" si="6"/>
        <v>1.1074784408413889</v>
      </c>
      <c r="P28" s="6">
        <f t="shared" si="7"/>
        <v>1.3473784813986009</v>
      </c>
      <c r="Q28" s="6">
        <f t="shared" si="8"/>
        <v>80.84592618142139</v>
      </c>
      <c r="R28" s="6">
        <f t="shared" si="8"/>
        <v>98.358629142097868</v>
      </c>
    </row>
    <row r="29" spans="1:18" x14ac:dyDescent="0.25">
      <c r="A29" s="19" t="s">
        <v>21</v>
      </c>
      <c r="B29" s="20">
        <v>5492913.1897496814</v>
      </c>
      <c r="C29" s="20">
        <v>6712994.0932528377</v>
      </c>
      <c r="D29" s="20">
        <v>5324700</v>
      </c>
      <c r="E29" s="21">
        <f t="shared" si="9"/>
        <v>0.36929585142062243</v>
      </c>
      <c r="F29" s="6">
        <f t="shared" si="3"/>
        <v>1.031591111189303</v>
      </c>
      <c r="G29" s="6">
        <f t="shared" si="4"/>
        <v>1.2607271946312164</v>
      </c>
      <c r="H29" s="6">
        <f t="shared" si="5"/>
        <v>75.306151116819123</v>
      </c>
      <c r="I29" s="6">
        <f t="shared" si="5"/>
        <v>92.033085208078802</v>
      </c>
      <c r="J29" s="19" t="s">
        <v>22</v>
      </c>
      <c r="K29" s="20">
        <v>6047288.804696437</v>
      </c>
      <c r="L29" s="20">
        <v>7350971.3040555669</v>
      </c>
      <c r="M29" s="20">
        <v>5211390</v>
      </c>
      <c r="N29" s="21">
        <f t="shared" si="10"/>
        <v>0.45967419380119595</v>
      </c>
      <c r="O29" s="6">
        <f t="shared" si="6"/>
        <v>1.1603984358676738</v>
      </c>
      <c r="P29" s="6">
        <f t="shared" si="7"/>
        <v>1.4105586617112837</v>
      </c>
      <c r="Q29" s="6">
        <f t="shared" si="8"/>
        <v>84.709085818340185</v>
      </c>
      <c r="R29" s="6">
        <f t="shared" si="8"/>
        <v>102.97078230492372</v>
      </c>
    </row>
    <row r="30" spans="1:18" x14ac:dyDescent="0.25">
      <c r="A30" s="22" t="s">
        <v>23</v>
      </c>
      <c r="B30" s="5">
        <v>970128.02878419147</v>
      </c>
      <c r="C30" s="5">
        <v>1192682.3737367799</v>
      </c>
      <c r="D30" s="5">
        <v>1094373</v>
      </c>
      <c r="E30" s="23">
        <f t="shared" si="9"/>
        <v>7.5900503090641891E-2</v>
      </c>
      <c r="F30" s="6">
        <f t="shared" si="3"/>
        <v>0.88646926485228661</v>
      </c>
      <c r="G30" s="6">
        <f t="shared" si="4"/>
        <v>1.0898316878585088</v>
      </c>
      <c r="H30" s="6">
        <f t="shared" si="5"/>
        <v>64.712256334216917</v>
      </c>
      <c r="I30" s="6">
        <f t="shared" si="5"/>
        <v>79.55771321367115</v>
      </c>
      <c r="J30" s="19" t="s">
        <v>23</v>
      </c>
      <c r="K30" s="20">
        <v>2646387.4825790632</v>
      </c>
      <c r="L30" s="20">
        <v>3157755.9799493621</v>
      </c>
      <c r="M30" s="20">
        <v>2963298.5</v>
      </c>
      <c r="N30" s="21">
        <f t="shared" si="10"/>
        <v>0.26137975645265338</v>
      </c>
      <c r="O30" s="6">
        <f t="shared" si="6"/>
        <v>0.89305464251376065</v>
      </c>
      <c r="P30" s="6">
        <f t="shared" si="7"/>
        <v>1.0656219682051478</v>
      </c>
      <c r="Q30" s="6">
        <f t="shared" si="8"/>
        <v>65.192988903504528</v>
      </c>
      <c r="R30" s="6">
        <f t="shared" si="8"/>
        <v>77.790403678975792</v>
      </c>
    </row>
    <row r="31" spans="1:18" x14ac:dyDescent="0.25">
      <c r="A31" s="22" t="s">
        <v>24</v>
      </c>
      <c r="B31" s="5">
        <f>B26-SUM(B27:B30)</f>
        <v>1332772.6663731281</v>
      </c>
      <c r="C31" s="5">
        <f t="shared" ref="C31:D31" si="11">C26-SUM(C27:C30)</f>
        <v>1592444.6768261679</v>
      </c>
      <c r="D31" s="5">
        <f t="shared" si="11"/>
        <v>302158.02999999933</v>
      </c>
      <c r="E31" s="23">
        <f t="shared" si="9"/>
        <v>2.095624297189095E-2</v>
      </c>
      <c r="F31" s="24">
        <f t="shared" si="3"/>
        <v>4.4108464248761852</v>
      </c>
      <c r="G31" s="24">
        <f t="shared" si="4"/>
        <v>5.2702378183567431</v>
      </c>
      <c r="H31" s="24">
        <f t="shared" si="5"/>
        <v>321.9917890159615</v>
      </c>
      <c r="I31" s="24">
        <f t="shared" si="5"/>
        <v>384.72736074004223</v>
      </c>
      <c r="J31" s="22" t="s">
        <v>24</v>
      </c>
      <c r="K31" s="5">
        <f>K26-SUM(K27:K30)</f>
        <v>1330108.4071428087</v>
      </c>
      <c r="L31" s="5">
        <f t="shared" ref="L31:M31" si="12">L26-SUM(L27:L30)</f>
        <v>1650720.1655415911</v>
      </c>
      <c r="M31" s="5">
        <f t="shared" si="12"/>
        <v>1105020</v>
      </c>
      <c r="N31" s="23">
        <f t="shared" si="10"/>
        <v>9.746903947587833E-2</v>
      </c>
      <c r="O31" s="6">
        <f t="shared" si="6"/>
        <v>1.2036962291567652</v>
      </c>
      <c r="P31" s="6">
        <f t="shared" si="7"/>
        <v>1.4938373654246901</v>
      </c>
      <c r="Q31" s="6">
        <f t="shared" si="8"/>
        <v>87.869824728443859</v>
      </c>
      <c r="R31" s="6">
        <f t="shared" si="8"/>
        <v>109.05012767600238</v>
      </c>
    </row>
    <row r="32" spans="1:18" x14ac:dyDescent="0.25">
      <c r="A32" s="22"/>
      <c r="B32" s="25"/>
      <c r="C32" s="25"/>
      <c r="D32" s="25"/>
      <c r="E32" s="25"/>
      <c r="F32" s="6"/>
      <c r="G32" s="6"/>
      <c r="H32" s="6"/>
      <c r="I32" s="6"/>
      <c r="J32" s="22"/>
    </row>
    <row r="33" spans="1:18" x14ac:dyDescent="0.25">
      <c r="A33" s="38" t="s">
        <v>25</v>
      </c>
      <c r="B33" s="39">
        <v>9632281.4612985365</v>
      </c>
      <c r="C33" s="39">
        <v>12030610.663543465</v>
      </c>
      <c r="D33" s="39">
        <v>10290010</v>
      </c>
      <c r="E33" s="40"/>
      <c r="F33" s="41">
        <f>B33/D33</f>
        <v>0.93608086496500353</v>
      </c>
      <c r="G33" s="41">
        <f>C33/D33</f>
        <v>1.1691544190475485</v>
      </c>
      <c r="H33" s="41">
        <f>F33*73</f>
        <v>68.333903142445251</v>
      </c>
      <c r="I33" s="41">
        <f>G33*73</f>
        <v>85.348272590471041</v>
      </c>
      <c r="J33" s="38" t="s">
        <v>25</v>
      </c>
      <c r="K33" s="39">
        <v>2469291.6952319462</v>
      </c>
      <c r="L33" s="39">
        <v>3153443.2489653178</v>
      </c>
      <c r="M33" s="39">
        <v>2413450</v>
      </c>
      <c r="N33" s="40"/>
      <c r="O33" s="41">
        <f>K33/M33</f>
        <v>1.0231377054556532</v>
      </c>
      <c r="P33" s="41">
        <f>L33/M33</f>
        <v>1.3066122144504</v>
      </c>
      <c r="Q33" s="41">
        <f t="shared" ref="Q33:R36" si="13">O33*73</f>
        <v>74.689052498262683</v>
      </c>
      <c r="R33" s="41">
        <f t="shared" si="13"/>
        <v>95.382691654879196</v>
      </c>
    </row>
    <row r="34" spans="1:18" x14ac:dyDescent="0.25">
      <c r="A34" s="19" t="s">
        <v>20</v>
      </c>
      <c r="B34" s="20">
        <v>8125765.8782489402</v>
      </c>
      <c r="C34" s="20">
        <v>10121224.620897345</v>
      </c>
      <c r="D34" s="20">
        <v>8781710</v>
      </c>
      <c r="E34" s="21">
        <f>D34/$D$33</f>
        <v>0.85342093933825136</v>
      </c>
      <c r="F34" s="6">
        <f>B34/D34</f>
        <v>0.92530564983914754</v>
      </c>
      <c r="G34" s="6">
        <f>C34/D34</f>
        <v>1.1525345998555345</v>
      </c>
      <c r="H34" s="6">
        <f t="shared" ref="H34:I36" si="14">F34*73</f>
        <v>67.547312438257777</v>
      </c>
      <c r="I34" s="6">
        <f t="shared" si="14"/>
        <v>84.135025789454019</v>
      </c>
      <c r="J34" s="26" t="s">
        <v>19</v>
      </c>
      <c r="K34" s="20">
        <v>2447519.9452649495</v>
      </c>
      <c r="L34" s="20">
        <v>3126339.5966880899</v>
      </c>
      <c r="M34" s="20">
        <v>2392000</v>
      </c>
      <c r="N34" s="21">
        <f>M34/$M$33</f>
        <v>0.9911123081066523</v>
      </c>
      <c r="O34" s="6">
        <f>K34/M34</f>
        <v>1.0232106794585909</v>
      </c>
      <c r="P34" s="6">
        <f>L34/M34</f>
        <v>1.3069981591505393</v>
      </c>
      <c r="Q34" s="6">
        <f t="shared" si="13"/>
        <v>74.694379600477134</v>
      </c>
      <c r="R34" s="6">
        <f t="shared" si="13"/>
        <v>95.410865617989373</v>
      </c>
    </row>
    <row r="35" spans="1:18" x14ac:dyDescent="0.25">
      <c r="A35" s="22" t="s">
        <v>26</v>
      </c>
      <c r="B35" s="5">
        <v>584380.58304959396</v>
      </c>
      <c r="C35" s="5">
        <v>746458.53936672839</v>
      </c>
      <c r="D35" s="5">
        <v>562300</v>
      </c>
      <c r="E35" s="23">
        <f t="shared" ref="E35:E36" si="15">D35/$D$33</f>
        <v>5.4645233580919744E-2</v>
      </c>
      <c r="F35" s="6">
        <f>B35/D35</f>
        <v>1.0392683319395233</v>
      </c>
      <c r="G35" s="6">
        <f>C35/D35</f>
        <v>1.3275094066632196</v>
      </c>
      <c r="H35" s="6">
        <f t="shared" si="14"/>
        <v>75.866588231585197</v>
      </c>
      <c r="I35" s="6">
        <f t="shared" si="14"/>
        <v>96.908186686415036</v>
      </c>
      <c r="J35" s="27" t="s">
        <v>22</v>
      </c>
      <c r="K35" s="5">
        <v>21771.7499669967</v>
      </c>
      <c r="L35" s="5">
        <v>27103.65227722772</v>
      </c>
      <c r="M35" s="5">
        <v>21450</v>
      </c>
      <c r="N35" s="23">
        <f t="shared" ref="N35:N36" si="16">M35/$D$33</f>
        <v>2.0845460791583293E-3</v>
      </c>
      <c r="O35" s="6">
        <f>K35/M35</f>
        <v>1.0149999984613847</v>
      </c>
      <c r="P35" s="6">
        <f>L35/M35</f>
        <v>1.263573532737889</v>
      </c>
      <c r="Q35" s="6">
        <f t="shared" si="13"/>
        <v>74.094999887681084</v>
      </c>
      <c r="R35" s="6">
        <f t="shared" si="13"/>
        <v>92.240867889865896</v>
      </c>
    </row>
    <row r="36" spans="1:18" x14ac:dyDescent="0.25">
      <c r="A36" s="22" t="s">
        <v>21</v>
      </c>
      <c r="B36" s="5">
        <f>B33-SUM(B34:B35)</f>
        <v>922135.00000000186</v>
      </c>
      <c r="C36" s="5">
        <f t="shared" ref="C36:D36" si="17">C33-SUM(C34:C35)</f>
        <v>1162927.5032793917</v>
      </c>
      <c r="D36" s="5">
        <f t="shared" si="17"/>
        <v>946000</v>
      </c>
      <c r="E36" s="23">
        <f t="shared" si="15"/>
        <v>9.1933827080828881E-2</v>
      </c>
      <c r="F36" s="6">
        <f>B36/D36</f>
        <v>0.97477272727272923</v>
      </c>
      <c r="G36" s="6">
        <f>C36/D36</f>
        <v>1.2293102571663759</v>
      </c>
      <c r="H36" s="6">
        <f t="shared" si="14"/>
        <v>71.158409090909231</v>
      </c>
      <c r="I36" s="6">
        <f t="shared" si="14"/>
        <v>89.739648773145433</v>
      </c>
      <c r="J36" s="27" t="s">
        <v>24</v>
      </c>
      <c r="K36" s="5">
        <f>K33-SUM(K34:K35)</f>
        <v>0</v>
      </c>
      <c r="L36" s="5">
        <f t="shared" ref="L36:M36" si="18">L33-SUM(L34:L35)</f>
        <v>0</v>
      </c>
      <c r="M36" s="5">
        <f t="shared" si="18"/>
        <v>0</v>
      </c>
      <c r="N36" s="23">
        <f t="shared" si="16"/>
        <v>0</v>
      </c>
      <c r="O36" s="6">
        <v>0</v>
      </c>
      <c r="P36" s="6">
        <v>0</v>
      </c>
      <c r="Q36" s="6">
        <f t="shared" si="13"/>
        <v>0</v>
      </c>
      <c r="R36" s="6">
        <f t="shared" si="13"/>
        <v>0</v>
      </c>
    </row>
    <row r="37" spans="1:18" x14ac:dyDescent="0.25">
      <c r="B37" s="15"/>
      <c r="L37" s="15"/>
    </row>
    <row r="38" spans="1:18" x14ac:dyDescent="0.25">
      <c r="A38" s="139" t="s">
        <v>16</v>
      </c>
      <c r="B38" s="139"/>
      <c r="C38" s="139"/>
      <c r="D38" s="139"/>
      <c r="E38" s="139"/>
      <c r="F38" s="139"/>
      <c r="G38" s="139"/>
      <c r="H38" s="139"/>
      <c r="I38" s="139"/>
      <c r="J38" s="139"/>
      <c r="K38" s="139"/>
      <c r="L38" s="139"/>
      <c r="M38" s="139"/>
      <c r="N38" s="139"/>
      <c r="O38" s="139"/>
      <c r="P38" s="139"/>
      <c r="Q38" s="139"/>
      <c r="R38" s="139"/>
    </row>
    <row r="39" spans="1:18" x14ac:dyDescent="0.25">
      <c r="A39" s="140" t="s">
        <v>9</v>
      </c>
      <c r="B39" s="141"/>
      <c r="C39" s="141"/>
      <c r="D39" s="141"/>
      <c r="E39" s="141"/>
      <c r="F39" s="141"/>
      <c r="G39" s="141"/>
      <c r="H39" s="141"/>
      <c r="I39" s="142"/>
      <c r="J39" s="143" t="s">
        <v>11</v>
      </c>
      <c r="K39" s="144"/>
      <c r="L39" s="144"/>
      <c r="M39" s="144"/>
      <c r="N39" s="144"/>
      <c r="O39" s="144"/>
      <c r="P39" s="144"/>
      <c r="Q39" s="144"/>
      <c r="R39" s="145"/>
    </row>
    <row r="40" spans="1:18" x14ac:dyDescent="0.25">
      <c r="A40" s="28"/>
      <c r="B40" s="18" t="s">
        <v>1</v>
      </c>
      <c r="C40" s="18" t="s">
        <v>2</v>
      </c>
      <c r="D40" s="18" t="s">
        <v>3</v>
      </c>
      <c r="E40" s="18" t="s">
        <v>17</v>
      </c>
      <c r="F40" s="18" t="s">
        <v>4</v>
      </c>
      <c r="G40" s="18" t="s">
        <v>5</v>
      </c>
      <c r="H40" s="18" t="s">
        <v>6</v>
      </c>
      <c r="I40" s="18" t="s">
        <v>7</v>
      </c>
      <c r="J40" s="29"/>
      <c r="K40" s="18" t="s">
        <v>1</v>
      </c>
      <c r="L40" s="18" t="s">
        <v>2</v>
      </c>
      <c r="M40" s="18" t="s">
        <v>3</v>
      </c>
      <c r="N40" s="18" t="s">
        <v>17</v>
      </c>
      <c r="O40" s="18" t="s">
        <v>4</v>
      </c>
      <c r="P40" s="18" t="s">
        <v>5</v>
      </c>
      <c r="Q40" s="18" t="s">
        <v>6</v>
      </c>
      <c r="R40" s="18" t="s">
        <v>7</v>
      </c>
    </row>
    <row r="41" spans="1:18" x14ac:dyDescent="0.25">
      <c r="A41" s="38" t="s">
        <v>18</v>
      </c>
      <c r="B41" s="39">
        <v>20718600.447428312</v>
      </c>
      <c r="C41" s="39">
        <v>25225855.462497093</v>
      </c>
      <c r="D41" s="39">
        <v>18734631.310000002</v>
      </c>
      <c r="E41" s="40"/>
      <c r="F41" s="41">
        <f t="shared" ref="F41:F46" si="19">B41/D41</f>
        <v>1.1058984884516689</v>
      </c>
      <c r="G41" s="41">
        <f t="shared" ref="G41:G46" si="20">C41/D41</f>
        <v>1.3464826206124625</v>
      </c>
      <c r="H41" s="41">
        <f>F41*74</f>
        <v>81.836488145423502</v>
      </c>
      <c r="I41" s="41">
        <f>G41*74</f>
        <v>99.639713925322226</v>
      </c>
      <c r="J41" s="42" t="s">
        <v>18</v>
      </c>
      <c r="K41" s="39">
        <v>11125320.615694162</v>
      </c>
      <c r="L41" s="39">
        <v>13341361.494327262</v>
      </c>
      <c r="M41" s="39">
        <v>9504263</v>
      </c>
      <c r="N41" s="40"/>
      <c r="O41" s="41">
        <f t="shared" ref="O41:O49" si="21">K41/M41</f>
        <v>1.1705611067048713</v>
      </c>
      <c r="P41" s="41">
        <f t="shared" ref="P41:P49" si="22">L41/M41</f>
        <v>1.4037239388606211</v>
      </c>
      <c r="Q41" s="41">
        <f t="shared" ref="Q41:Q49" si="23">O41*74</f>
        <v>86.621521896160473</v>
      </c>
      <c r="R41" s="41">
        <f t="shared" ref="R41:R49" si="24">P41*74</f>
        <v>103.87557147568596</v>
      </c>
    </row>
    <row r="42" spans="1:18" x14ac:dyDescent="0.25">
      <c r="A42" s="19" t="s">
        <v>19</v>
      </c>
      <c r="B42" s="20">
        <v>9647726.2442355603</v>
      </c>
      <c r="C42" s="20">
        <v>11870719.9195622</v>
      </c>
      <c r="D42" s="20">
        <v>8477090.0800000001</v>
      </c>
      <c r="E42" s="21">
        <f>D42/$D$41</f>
        <v>0.45248235418837279</v>
      </c>
      <c r="F42" s="6">
        <f t="shared" si="19"/>
        <v>1.1380941046028805</v>
      </c>
      <c r="G42" s="6">
        <f t="shared" si="20"/>
        <v>1.4003295715317208</v>
      </c>
      <c r="H42" s="6">
        <f t="shared" ref="H42:I46" si="25">F42*74</f>
        <v>84.218963740613162</v>
      </c>
      <c r="I42" s="6">
        <f t="shared" si="25"/>
        <v>103.62438829334734</v>
      </c>
      <c r="J42" s="22" t="s">
        <v>19</v>
      </c>
      <c r="K42" s="5">
        <v>805232.53328317986</v>
      </c>
      <c r="L42" s="5">
        <v>1003687.0394522222</v>
      </c>
      <c r="M42" s="5">
        <v>689920</v>
      </c>
      <c r="N42" s="23">
        <f t="shared" ref="N42:N47" si="26">M42/$M$41</f>
        <v>7.2590583825384455E-2</v>
      </c>
      <c r="O42" s="6">
        <f t="shared" si="21"/>
        <v>1.167138991887726</v>
      </c>
      <c r="P42" s="6">
        <f t="shared" si="22"/>
        <v>1.4547875687793108</v>
      </c>
      <c r="Q42" s="6">
        <f t="shared" si="23"/>
        <v>86.368285399691715</v>
      </c>
      <c r="R42" s="6">
        <f t="shared" si="24"/>
        <v>107.654280089669</v>
      </c>
    </row>
    <row r="43" spans="1:18" x14ac:dyDescent="0.25">
      <c r="A43" s="19" t="s">
        <v>21</v>
      </c>
      <c r="B43" s="20">
        <v>10070234.645427195</v>
      </c>
      <c r="C43" s="20">
        <v>12178917.639706673</v>
      </c>
      <c r="D43" s="20">
        <v>9330100</v>
      </c>
      <c r="E43" s="21">
        <f t="shared" ref="E43:E46" si="27">D43/$D$41</f>
        <v>0.49801353683538269</v>
      </c>
      <c r="F43" s="6">
        <f t="shared" si="19"/>
        <v>1.0793276219362273</v>
      </c>
      <c r="G43" s="6">
        <f t="shared" si="20"/>
        <v>1.305336238594085</v>
      </c>
      <c r="H43" s="6">
        <f t="shared" si="25"/>
        <v>79.870244023280819</v>
      </c>
      <c r="I43" s="6">
        <f t="shared" si="25"/>
        <v>96.594881655962283</v>
      </c>
      <c r="J43" s="22" t="s">
        <v>20</v>
      </c>
      <c r="K43" s="5">
        <v>337516.88734397048</v>
      </c>
      <c r="L43" s="5">
        <v>411973.86072741321</v>
      </c>
      <c r="M43" s="5">
        <v>275300</v>
      </c>
      <c r="N43" s="23">
        <f t="shared" si="26"/>
        <v>2.896594927981265E-2</v>
      </c>
      <c r="O43" s="6">
        <f t="shared" si="21"/>
        <v>1.2259966848673101</v>
      </c>
      <c r="P43" s="6">
        <f t="shared" si="22"/>
        <v>1.4964542707134516</v>
      </c>
      <c r="Q43" s="6">
        <f t="shared" si="23"/>
        <v>90.723754680180946</v>
      </c>
      <c r="R43" s="6">
        <f t="shared" si="24"/>
        <v>110.73761603279542</v>
      </c>
    </row>
    <row r="44" spans="1:18" x14ac:dyDescent="0.25">
      <c r="A44" s="22" t="s">
        <v>20</v>
      </c>
      <c r="B44" s="5">
        <v>356385.21958762885</v>
      </c>
      <c r="C44" s="5">
        <v>412253.74835144158</v>
      </c>
      <c r="D44" s="5">
        <v>304530</v>
      </c>
      <c r="E44" s="23">
        <f t="shared" si="27"/>
        <v>1.6254923567001329E-2</v>
      </c>
      <c r="F44" s="6">
        <f t="shared" si="19"/>
        <v>1.1702795113375655</v>
      </c>
      <c r="G44" s="6">
        <f t="shared" si="20"/>
        <v>1.3537377215756792</v>
      </c>
      <c r="H44" s="6">
        <f t="shared" si="25"/>
        <v>86.600683838979847</v>
      </c>
      <c r="I44" s="6">
        <f t="shared" si="25"/>
        <v>100.17659139660026</v>
      </c>
      <c r="J44" s="19" t="s">
        <v>22</v>
      </c>
      <c r="K44" s="20">
        <v>4070373.6087524113</v>
      </c>
      <c r="L44" s="20">
        <v>4867193.2837702418</v>
      </c>
      <c r="M44" s="20">
        <v>3548290</v>
      </c>
      <c r="N44" s="21">
        <f t="shared" si="26"/>
        <v>0.37333668060321984</v>
      </c>
      <c r="O44" s="6">
        <f t="shared" si="21"/>
        <v>1.1471366795702751</v>
      </c>
      <c r="P44" s="6">
        <f t="shared" si="22"/>
        <v>1.3717010965198002</v>
      </c>
      <c r="Q44" s="6">
        <f t="shared" si="23"/>
        <v>84.888114288200356</v>
      </c>
      <c r="R44" s="6">
        <f t="shared" si="24"/>
        <v>101.50588114246521</v>
      </c>
    </row>
    <row r="45" spans="1:18" x14ac:dyDescent="0.25">
      <c r="A45" s="22" t="s">
        <v>23</v>
      </c>
      <c r="B45" s="5">
        <v>318653.73487645213</v>
      </c>
      <c r="C45" s="5">
        <v>382159.73840346257</v>
      </c>
      <c r="D45" s="5">
        <v>363894</v>
      </c>
      <c r="E45" s="23">
        <f t="shared" si="27"/>
        <v>1.9423600815979974E-2</v>
      </c>
      <c r="F45" s="6">
        <f t="shared" si="19"/>
        <v>0.87567735350528486</v>
      </c>
      <c r="G45" s="6">
        <f t="shared" si="20"/>
        <v>1.0501952172980664</v>
      </c>
      <c r="H45" s="6">
        <f t="shared" si="25"/>
        <v>64.800124159391075</v>
      </c>
      <c r="I45" s="6">
        <f t="shared" si="25"/>
        <v>77.714446080056916</v>
      </c>
      <c r="J45" s="22" t="s">
        <v>23</v>
      </c>
      <c r="K45" s="5">
        <v>608097.58645437006</v>
      </c>
      <c r="L45" s="5">
        <v>754253.97663379507</v>
      </c>
      <c r="M45" s="5">
        <v>648513</v>
      </c>
      <c r="N45" s="23">
        <f t="shared" si="26"/>
        <v>6.8233907247726627E-2</v>
      </c>
      <c r="O45" s="6">
        <f t="shared" si="21"/>
        <v>0.93767987142026465</v>
      </c>
      <c r="P45" s="6">
        <f t="shared" si="22"/>
        <v>1.163051437108886</v>
      </c>
      <c r="Q45" s="6">
        <f t="shared" si="23"/>
        <v>69.388310485099581</v>
      </c>
      <c r="R45" s="6">
        <f t="shared" si="24"/>
        <v>86.06580634605757</v>
      </c>
    </row>
    <row r="46" spans="1:18" x14ac:dyDescent="0.25">
      <c r="A46" s="22" t="s">
        <v>24</v>
      </c>
      <c r="B46" s="5">
        <f>B41-SUM(B42:B45)</f>
        <v>325600.60330147296</v>
      </c>
      <c r="C46" s="5">
        <f t="shared" ref="C46:D46" si="28">C41-SUM(C42:C45)</f>
        <v>381804.41647331789</v>
      </c>
      <c r="D46" s="5">
        <f t="shared" si="28"/>
        <v>259017.23000000417</v>
      </c>
      <c r="E46" s="23">
        <f t="shared" si="27"/>
        <v>1.3825584593263295E-2</v>
      </c>
      <c r="F46" s="6">
        <f t="shared" si="19"/>
        <v>1.2570615603505131</v>
      </c>
      <c r="G46" s="6">
        <f t="shared" si="20"/>
        <v>1.4740502648156331</v>
      </c>
      <c r="H46" s="6">
        <f t="shared" si="25"/>
        <v>93.02255546593797</v>
      </c>
      <c r="I46" s="6">
        <f t="shared" si="25"/>
        <v>109.07971959635685</v>
      </c>
      <c r="J46" s="19" t="s">
        <v>27</v>
      </c>
      <c r="K46" s="20">
        <v>3799089.8472987218</v>
      </c>
      <c r="L46" s="20">
        <v>4576924.0470149126</v>
      </c>
      <c r="M46" s="20">
        <v>3108800</v>
      </c>
      <c r="N46" s="21">
        <f t="shared" si="26"/>
        <v>0.32709532553970783</v>
      </c>
      <c r="O46" s="6">
        <f t="shared" si="21"/>
        <v>1.2220438263312925</v>
      </c>
      <c r="P46" s="6">
        <f t="shared" si="22"/>
        <v>1.4722478277840043</v>
      </c>
      <c r="Q46" s="6">
        <f t="shared" si="23"/>
        <v>90.431243148515648</v>
      </c>
      <c r="R46" s="6">
        <f t="shared" si="24"/>
        <v>108.94633925601632</v>
      </c>
    </row>
    <row r="47" spans="1:18" x14ac:dyDescent="0.25">
      <c r="J47" s="22" t="s">
        <v>24</v>
      </c>
      <c r="K47" s="5">
        <f>K41-SUM(K42:K46)</f>
        <v>1505010.1525615081</v>
      </c>
      <c r="L47" s="5">
        <f t="shared" ref="L47:M47" si="29">L41-SUM(L42:L46)</f>
        <v>1727329.2867286783</v>
      </c>
      <c r="M47" s="5">
        <f t="shared" si="29"/>
        <v>1233440</v>
      </c>
      <c r="N47" s="23">
        <f t="shared" si="26"/>
        <v>0.1297775535041486</v>
      </c>
      <c r="O47" s="6">
        <f t="shared" si="21"/>
        <v>1.2201729736035056</v>
      </c>
      <c r="P47" s="6">
        <f t="shared" si="22"/>
        <v>1.4004161424379606</v>
      </c>
      <c r="Q47" s="6">
        <f t="shared" si="23"/>
        <v>90.292800046659423</v>
      </c>
      <c r="R47" s="6">
        <f t="shared" si="24"/>
        <v>103.63079454040908</v>
      </c>
    </row>
    <row r="48" spans="1:18" x14ac:dyDescent="0.25">
      <c r="A48" s="38" t="s">
        <v>25</v>
      </c>
      <c r="B48" s="39">
        <v>9828828.2400927301</v>
      </c>
      <c r="C48" s="39">
        <v>12256903.299689222</v>
      </c>
      <c r="D48" s="39">
        <v>9517910</v>
      </c>
      <c r="E48" s="40"/>
      <c r="F48" s="41">
        <f>B48/D48</f>
        <v>1.0326666505664301</v>
      </c>
      <c r="G48" s="41">
        <f>C48/D48</f>
        <v>1.2877725571779122</v>
      </c>
      <c r="H48" s="41">
        <f>F48*74</f>
        <v>76.417332141915836</v>
      </c>
      <c r="I48" s="41">
        <f>G48*74</f>
        <v>95.295169231165502</v>
      </c>
      <c r="J48" s="42" t="s">
        <v>25</v>
      </c>
      <c r="K48" s="39">
        <v>4546408.2626472618</v>
      </c>
      <c r="L48" s="39">
        <v>5807354.5956189362</v>
      </c>
      <c r="M48" s="39">
        <v>4301000</v>
      </c>
      <c r="N48" s="40"/>
      <c r="O48" s="41">
        <f t="shared" si="21"/>
        <v>1.0570584195878312</v>
      </c>
      <c r="P48" s="41">
        <f t="shared" si="22"/>
        <v>1.3502335725689227</v>
      </c>
      <c r="Q48" s="41">
        <f t="shared" si="23"/>
        <v>78.222323049499508</v>
      </c>
      <c r="R48" s="41">
        <f t="shared" si="24"/>
        <v>99.917284370100276</v>
      </c>
    </row>
    <row r="49" spans="1:18" x14ac:dyDescent="0.25">
      <c r="A49" s="19" t="s">
        <v>20</v>
      </c>
      <c r="B49" s="20">
        <v>8836199.282516975</v>
      </c>
      <c r="C49" s="20">
        <v>11000184.525218213</v>
      </c>
      <c r="D49" s="20">
        <v>8492450</v>
      </c>
      <c r="E49" s="21">
        <f>D49/$D$48</f>
        <v>0.8922599604324899</v>
      </c>
      <c r="F49" s="6">
        <f>B49/D49</f>
        <v>1.0404770452009697</v>
      </c>
      <c r="G49" s="6">
        <f>C49/D49</f>
        <v>1.2952898780938613</v>
      </c>
      <c r="H49" s="6">
        <f t="shared" ref="H49:I51" si="30">F49*74</f>
        <v>76.995301344871763</v>
      </c>
      <c r="I49" s="6">
        <f t="shared" si="30"/>
        <v>95.851450978945735</v>
      </c>
      <c r="J49" s="19" t="s">
        <v>19</v>
      </c>
      <c r="K49" s="20">
        <v>4546408.2626472618</v>
      </c>
      <c r="L49" s="20">
        <v>5807354.5956189362</v>
      </c>
      <c r="M49" s="20">
        <v>4301000</v>
      </c>
      <c r="N49" s="21">
        <f>M49/$M$48</f>
        <v>1</v>
      </c>
      <c r="O49" s="6">
        <f t="shared" si="21"/>
        <v>1.0570584195878312</v>
      </c>
      <c r="P49" s="6">
        <f t="shared" si="22"/>
        <v>1.3502335725689227</v>
      </c>
      <c r="Q49" s="6">
        <f t="shared" si="23"/>
        <v>78.222323049499508</v>
      </c>
      <c r="R49" s="6">
        <f t="shared" si="24"/>
        <v>99.917284370100276</v>
      </c>
    </row>
    <row r="50" spans="1:18" x14ac:dyDescent="0.25">
      <c r="A50" s="22" t="s">
        <v>26</v>
      </c>
      <c r="B50" s="5">
        <v>301360.95757575752</v>
      </c>
      <c r="C50" s="5">
        <v>384943.4180484715</v>
      </c>
      <c r="D50" s="5">
        <v>294460</v>
      </c>
      <c r="E50" s="23">
        <f>D50/$D$48</f>
        <v>3.093746421220625E-2</v>
      </c>
      <c r="F50" s="6">
        <f t="shared" ref="F50:F51" si="31">B50/D50</f>
        <v>1.0234359762811842</v>
      </c>
      <c r="G50" s="6">
        <f t="shared" ref="G50:G51" si="32">C50/D50</f>
        <v>1.3072859405300261</v>
      </c>
      <c r="H50" s="6">
        <f t="shared" si="30"/>
        <v>75.734262244807638</v>
      </c>
      <c r="I50" s="6">
        <f t="shared" si="30"/>
        <v>96.739159599221935</v>
      </c>
    </row>
    <row r="51" spans="1:18" x14ac:dyDescent="0.25">
      <c r="A51" s="22" t="s">
        <v>21</v>
      </c>
      <c r="B51" s="5">
        <f>B48-SUM(B49:B50)</f>
        <v>691267.99999999814</v>
      </c>
      <c r="C51" s="5">
        <f t="shared" ref="C51:D51" si="33">C48-SUM(C49:C50)</f>
        <v>871775.35642253794</v>
      </c>
      <c r="D51" s="5">
        <f t="shared" si="33"/>
        <v>731000</v>
      </c>
      <c r="E51" s="23">
        <f>D51/$D$48</f>
        <v>7.680257535530384E-2</v>
      </c>
      <c r="F51" s="6">
        <f t="shared" si="31"/>
        <v>0.94564705882352684</v>
      </c>
      <c r="G51" s="6">
        <f t="shared" si="32"/>
        <v>1.1925791469528564</v>
      </c>
      <c r="H51" s="6">
        <f t="shared" si="30"/>
        <v>69.977882352940981</v>
      </c>
      <c r="I51" s="6">
        <f t="shared" si="30"/>
        <v>88.250856874511371</v>
      </c>
    </row>
    <row r="53" spans="1:18" x14ac:dyDescent="0.25">
      <c r="A53" s="146" t="s">
        <v>28</v>
      </c>
      <c r="B53" s="146"/>
      <c r="C53" s="146"/>
      <c r="D53" s="146"/>
      <c r="E53" s="146"/>
    </row>
    <row r="54" spans="1:18" x14ac:dyDescent="0.25">
      <c r="A54" s="30" t="s">
        <v>29</v>
      </c>
      <c r="B54" s="30" t="s">
        <v>30</v>
      </c>
      <c r="C54" s="30" t="s">
        <v>31</v>
      </c>
      <c r="D54" s="30" t="s">
        <v>32</v>
      </c>
      <c r="E54" s="30" t="s">
        <v>33</v>
      </c>
    </row>
    <row r="55" spans="1:18" x14ac:dyDescent="0.25">
      <c r="A55" s="31">
        <v>2023</v>
      </c>
      <c r="B55" s="32">
        <v>82.220708999999999</v>
      </c>
      <c r="C55" s="32">
        <v>81.116755999999995</v>
      </c>
      <c r="D55" s="32">
        <v>82.899286000000004</v>
      </c>
      <c r="E55" s="31">
        <v>122</v>
      </c>
    </row>
    <row r="56" spans="1:18" x14ac:dyDescent="0.25">
      <c r="A56" s="31">
        <v>2022</v>
      </c>
      <c r="B56" s="32">
        <v>78.627602999999993</v>
      </c>
      <c r="C56" s="32">
        <v>73.877999000000003</v>
      </c>
      <c r="D56" s="32">
        <v>83.038965000000005</v>
      </c>
      <c r="E56" s="31">
        <v>257</v>
      </c>
    </row>
    <row r="57" spans="1:18" x14ac:dyDescent="0.25">
      <c r="A57" s="31">
        <v>2021</v>
      </c>
      <c r="B57" s="32">
        <v>73.944862000000001</v>
      </c>
      <c r="C57" s="32">
        <v>72.349744999999999</v>
      </c>
      <c r="D57" s="32">
        <v>76.393625</v>
      </c>
      <c r="E57" s="31">
        <v>258</v>
      </c>
    </row>
    <row r="58" spans="1:18" x14ac:dyDescent="0.25">
      <c r="A58" s="31">
        <v>2020</v>
      </c>
      <c r="B58" s="32">
        <v>74.108329999999995</v>
      </c>
      <c r="C58" s="32">
        <v>70.797432999999998</v>
      </c>
      <c r="D58" s="32">
        <v>76.936421999999993</v>
      </c>
      <c r="E58" s="31">
        <v>257</v>
      </c>
    </row>
    <row r="59" spans="1:18" x14ac:dyDescent="0.25">
      <c r="A59" s="31">
        <v>2019</v>
      </c>
      <c r="B59" s="32">
        <v>70.427300000000002</v>
      </c>
      <c r="C59" s="32">
        <v>68.364643000000001</v>
      </c>
      <c r="D59" s="32">
        <v>72.411996000000002</v>
      </c>
      <c r="E59" s="31">
        <v>255</v>
      </c>
    </row>
    <row r="60" spans="1:18" x14ac:dyDescent="0.25">
      <c r="A60" s="31">
        <v>2018</v>
      </c>
      <c r="B60" s="32">
        <v>68.448351000000002</v>
      </c>
      <c r="C60" s="32">
        <v>63.369863000000002</v>
      </c>
      <c r="D60" s="32">
        <v>74.406645999999995</v>
      </c>
      <c r="E60" s="31">
        <v>255</v>
      </c>
    </row>
    <row r="61" spans="1:18" x14ac:dyDescent="0.25">
      <c r="A61" s="31">
        <v>2017</v>
      </c>
      <c r="B61" s="32">
        <v>65.128967000000003</v>
      </c>
      <c r="C61" s="32">
        <v>63.619396999999999</v>
      </c>
      <c r="D61" s="32">
        <v>68.391412000000003</v>
      </c>
      <c r="E61" s="31">
        <v>255</v>
      </c>
    </row>
  </sheetData>
  <mergeCells count="23">
    <mergeCell ref="I14:J14"/>
    <mergeCell ref="A1:J1"/>
    <mergeCell ref="I2:J2"/>
    <mergeCell ref="I3:J3"/>
    <mergeCell ref="I4:J4"/>
    <mergeCell ref="A6:J6"/>
    <mergeCell ref="I7:J7"/>
    <mergeCell ref="I8:J8"/>
    <mergeCell ref="I9:J9"/>
    <mergeCell ref="A11:J11"/>
    <mergeCell ref="I12:J12"/>
    <mergeCell ref="I13:J13"/>
    <mergeCell ref="A38:R38"/>
    <mergeCell ref="A39:I39"/>
    <mergeCell ref="J39:R39"/>
    <mergeCell ref="A53:E53"/>
    <mergeCell ref="A16:J16"/>
    <mergeCell ref="I17:J17"/>
    <mergeCell ref="I18:J18"/>
    <mergeCell ref="I19:J19"/>
    <mergeCell ref="A23:R23"/>
    <mergeCell ref="A24:I24"/>
    <mergeCell ref="J24:R2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5D4D7-236D-465F-B845-821E70392957}">
  <dimension ref="A1:O78"/>
  <sheetViews>
    <sheetView showGridLines="0" topLeftCell="A56" zoomScale="90" zoomScaleNormal="90" workbookViewId="0">
      <selection activeCell="C71" sqref="C71"/>
    </sheetView>
  </sheetViews>
  <sheetFormatPr defaultRowHeight="15" x14ac:dyDescent="0.25"/>
  <cols>
    <col min="1" max="1" width="15.7109375" style="1" bestFit="1" customWidth="1"/>
    <col min="2" max="2" width="19.85546875" style="1" customWidth="1"/>
    <col min="3" max="3" width="30.140625" style="1" customWidth="1"/>
    <col min="4" max="4" width="29.28515625" style="1" customWidth="1"/>
    <col min="5" max="5" width="33" style="1" bestFit="1" customWidth="1"/>
    <col min="6" max="6" width="41.7109375" style="1" bestFit="1" customWidth="1"/>
    <col min="7" max="7" width="45.28515625" style="1" bestFit="1" customWidth="1"/>
    <col min="8" max="8" width="40.140625" style="1" bestFit="1" customWidth="1"/>
    <col min="9" max="9" width="30.140625" style="1" bestFit="1" customWidth="1"/>
    <col min="10" max="10" width="30.140625" style="1" customWidth="1"/>
    <col min="11" max="11" width="43.28515625" style="1" bestFit="1" customWidth="1"/>
    <col min="12" max="12" width="34.42578125" style="1" bestFit="1" customWidth="1"/>
    <col min="13" max="13" width="41.5703125" style="1" bestFit="1" customWidth="1"/>
    <col min="14" max="14" width="41" style="1" bestFit="1" customWidth="1"/>
    <col min="15" max="15" width="41.5703125" style="1" bestFit="1" customWidth="1"/>
    <col min="16" max="16384" width="9.140625" style="1"/>
  </cols>
  <sheetData>
    <row r="1" spans="1:15" x14ac:dyDescent="0.25">
      <c r="A1" s="2"/>
      <c r="B1" s="3" t="s">
        <v>34</v>
      </c>
      <c r="C1" s="3" t="s">
        <v>35</v>
      </c>
      <c r="D1" s="3" t="s">
        <v>59</v>
      </c>
      <c r="E1" s="3" t="s">
        <v>214</v>
      </c>
      <c r="F1" s="3" t="s">
        <v>189</v>
      </c>
      <c r="G1" s="3" t="s">
        <v>227</v>
      </c>
      <c r="H1" s="3" t="s">
        <v>190</v>
      </c>
      <c r="I1" s="3" t="s">
        <v>37</v>
      </c>
      <c r="J1" s="3" t="s">
        <v>38</v>
      </c>
      <c r="K1" s="3" t="s">
        <v>59</v>
      </c>
      <c r="L1" s="3" t="s">
        <v>215</v>
      </c>
      <c r="M1" s="3" t="s">
        <v>191</v>
      </c>
      <c r="N1" s="3" t="s">
        <v>228</v>
      </c>
      <c r="O1" s="3" t="s">
        <v>192</v>
      </c>
    </row>
    <row r="2" spans="1:15" x14ac:dyDescent="0.25">
      <c r="A2" s="74" t="s">
        <v>58</v>
      </c>
      <c r="B2" s="45">
        <v>106602.92</v>
      </c>
      <c r="C2" s="45">
        <v>126529.46</v>
      </c>
      <c r="D2" s="45">
        <f>AVERAGE('Price (f)-Regionwise'!D2,'Price (f)-Regionwise'!I2,'Price (f)-Regionwise'!M2,'Price (f)-Regionwise'!Q2)</f>
        <v>3205.26</v>
      </c>
      <c r="E2" s="46"/>
      <c r="F2" s="156"/>
      <c r="G2" s="45">
        <f>AVERAGE('Price (f)-Regionwise'!G2,'Price (f)-Regionwise'!K2,'Price (f)-Regionwise'!O2,'Price (f)-Regionwise'!S2)</f>
        <v>129734.72</v>
      </c>
      <c r="H2" s="159"/>
      <c r="I2" s="45">
        <v>111800.26</v>
      </c>
      <c r="J2" s="45">
        <v>132698.29999999999</v>
      </c>
      <c r="K2" s="45">
        <f>AVERAGE('Price (f)-Regionwise'!D20,'Price (f)-Regionwise'!I20,'Price (f)-Regionwise'!M20,'Price (f)-Regionwise'!Q20)</f>
        <v>3205.26</v>
      </c>
      <c r="L2" s="46"/>
      <c r="M2" s="156"/>
      <c r="N2" s="45">
        <f>AVERAGE('Price (f)-Regionwise'!G20,'Price (f)-Regionwise'!K20,'Price (f)-Regionwise'!O20,'Price (f)-Regionwise'!S20)</f>
        <v>135903.56</v>
      </c>
      <c r="O2" s="159"/>
    </row>
    <row r="3" spans="1:15" x14ac:dyDescent="0.25">
      <c r="A3" s="74" t="s">
        <v>55</v>
      </c>
      <c r="B3" s="45">
        <v>119056.19</v>
      </c>
      <c r="C3" s="45">
        <v>141310.54</v>
      </c>
      <c r="D3" s="45">
        <f>AVERAGE('Price (f)-Regionwise'!D3,'Price (f)-Regionwise'!I3,'Price (f)-Regionwise'!M3,'Price (f)-Regionwise'!Q3)</f>
        <v>3642.9875000000002</v>
      </c>
      <c r="E3" s="104"/>
      <c r="F3" s="157"/>
      <c r="G3" s="45">
        <f>AVERAGE('Price (f)-Regionwise'!G3,'Price (f)-Regionwise'!K3,'Price (f)-Regionwise'!O3,'Price (f)-Regionwise'!S3)</f>
        <v>144953.52750000003</v>
      </c>
      <c r="H3" s="160"/>
      <c r="I3" s="45">
        <v>125533.64</v>
      </c>
      <c r="J3" s="45">
        <v>148998.76999999999</v>
      </c>
      <c r="K3" s="45">
        <f>AVERAGE('Price (f)-Regionwise'!D21,'Price (f)-Regionwise'!I21,'Price (f)-Regionwise'!M21,'Price (f)-Regionwise'!Q21)</f>
        <v>3642.9875000000002</v>
      </c>
      <c r="L3" s="104"/>
      <c r="M3" s="157"/>
      <c r="N3" s="45">
        <f>AVERAGE('Price (f)-Regionwise'!G21,'Price (f)-Regionwise'!K21,'Price (f)-Regionwise'!O21,'Price (f)-Regionwise'!S21)</f>
        <v>152641.75750000001</v>
      </c>
      <c r="O3" s="160"/>
    </row>
    <row r="4" spans="1:15" x14ac:dyDescent="0.25">
      <c r="A4" s="74" t="s">
        <v>56</v>
      </c>
      <c r="B4" s="45">
        <v>107383.6</v>
      </c>
      <c r="C4" s="45">
        <v>127456.07</v>
      </c>
      <c r="D4" s="45">
        <f>AVERAGE('Price (f)-Regionwise'!D4,'Price (f)-Regionwise'!I4,'Price (f)-Regionwise'!M4,'Price (f)-Regionwise'!Q4)</f>
        <v>3290.6849999999999</v>
      </c>
      <c r="E4" s="104"/>
      <c r="F4" s="157"/>
      <c r="G4" s="45">
        <f>AVERAGE('Price (f)-Regionwise'!G4,'Price (f)-Regionwise'!K4,'Price (f)-Regionwise'!O4,'Price (f)-Regionwise'!S4)</f>
        <v>130746.755</v>
      </c>
      <c r="H4" s="160"/>
      <c r="I4" s="45">
        <v>112748.02</v>
      </c>
      <c r="J4" s="45">
        <v>133823.22</v>
      </c>
      <c r="K4" s="45">
        <f>AVERAGE('Price (f)-Regionwise'!D22,'Price (f)-Regionwise'!I22,'Price (f)-Regionwise'!M22,'Price (f)-Regionwise'!Q22)</f>
        <v>3290.6849999999999</v>
      </c>
      <c r="L4" s="104"/>
      <c r="M4" s="157"/>
      <c r="N4" s="45">
        <f>AVERAGE('Price (f)-Regionwise'!G22,'Price (f)-Regionwise'!K22,'Price (f)-Regionwise'!O22,'Price (f)-Regionwise'!S22)</f>
        <v>137113.905</v>
      </c>
      <c r="O4" s="160"/>
    </row>
    <row r="5" spans="1:15" x14ac:dyDescent="0.25">
      <c r="A5" s="74" t="s">
        <v>57</v>
      </c>
      <c r="B5" s="45">
        <v>70249.64</v>
      </c>
      <c r="C5" s="45">
        <v>83380.92</v>
      </c>
      <c r="D5" s="45">
        <f>AVERAGE('Price (f)-Regionwise'!D5,'Price (f)-Regionwise'!I5,'Price (f)-Regionwise'!M5,'Price (f)-Regionwise'!Q5)</f>
        <v>3402.8874999999998</v>
      </c>
      <c r="E5" s="104"/>
      <c r="F5" s="157"/>
      <c r="G5" s="45">
        <f>AVERAGE('Price (f)-Regionwise'!G5,'Price (f)-Regionwise'!K5,'Price (f)-Regionwise'!O5,'Price (f)-Regionwise'!S5)</f>
        <v>86783.80750000001</v>
      </c>
      <c r="H5" s="160"/>
      <c r="I5" s="45">
        <v>73113.3</v>
      </c>
      <c r="J5" s="45">
        <v>86779.86</v>
      </c>
      <c r="K5" s="45">
        <f>AVERAGE('Price (f)-Regionwise'!D23,'Price (f)-Regionwise'!I23,'Price (f)-Regionwise'!M23,'Price (f)-Regionwise'!Q23)</f>
        <v>3402.8874999999998</v>
      </c>
      <c r="L5" s="104"/>
      <c r="M5" s="157"/>
      <c r="N5" s="45">
        <f>AVERAGE('Price (f)-Regionwise'!G23,'Price (f)-Regionwise'!K23,'Price (f)-Regionwise'!O23,'Price (f)-Regionwise'!S23)</f>
        <v>90182.747499999998</v>
      </c>
      <c r="O5" s="160"/>
    </row>
    <row r="6" spans="1:15" x14ac:dyDescent="0.25">
      <c r="A6" s="74" t="s">
        <v>40</v>
      </c>
      <c r="B6" s="32">
        <v>69409.78</v>
      </c>
      <c r="C6" s="32">
        <v>82384.070000000007</v>
      </c>
      <c r="D6" s="45">
        <f>AVERAGE('Price (f)-Regionwise'!D6,'Price (f)-Regionwise'!I6,'Price (f)-Regionwise'!M6,'Price (f)-Regionwise'!Q6)</f>
        <v>3541.7975000000001</v>
      </c>
      <c r="E6" s="104"/>
      <c r="F6" s="157"/>
      <c r="G6" s="45">
        <f>AVERAGE('Price (f)-Regionwise'!G6,'Price (f)-Regionwise'!K6,'Price (f)-Regionwise'!O6,'Price (f)-Regionwise'!S6)</f>
        <v>85925.867499999993</v>
      </c>
      <c r="H6" s="160"/>
      <c r="I6" s="32">
        <v>72439.61</v>
      </c>
      <c r="J6" s="32">
        <v>85980.24</v>
      </c>
      <c r="K6" s="45">
        <f>AVERAGE('Price (f)-Regionwise'!D24,'Price (f)-Regionwise'!I24,'Price (f)-Regionwise'!M24,'Price (f)-Regionwise'!Q24)</f>
        <v>3541.7975000000001</v>
      </c>
      <c r="L6" s="104"/>
      <c r="M6" s="157"/>
      <c r="N6" s="45">
        <f>AVERAGE('Price (f)-Regionwise'!G24,'Price (f)-Regionwise'!K24,'Price (f)-Regionwise'!O24,'Price (f)-Regionwise'!S24)</f>
        <v>89522.037499999991</v>
      </c>
      <c r="O6" s="160"/>
    </row>
    <row r="7" spans="1:15" x14ac:dyDescent="0.25">
      <c r="A7" s="74" t="s">
        <v>41</v>
      </c>
      <c r="B7" s="32">
        <v>84890.4</v>
      </c>
      <c r="C7" s="32">
        <v>100758.36</v>
      </c>
      <c r="D7" s="45">
        <f>AVERAGE('Price (f)-Regionwise'!D7,'Price (f)-Regionwise'!I7,'Price (f)-Regionwise'!M7,'Price (f)-Regionwise'!Q7)</f>
        <v>4162.46</v>
      </c>
      <c r="E7" s="104"/>
      <c r="F7" s="157"/>
      <c r="G7" s="45">
        <f>AVERAGE('Price (f)-Regionwise'!G7,'Price (f)-Regionwise'!K7,'Price (f)-Regionwise'!O7,'Price (f)-Regionwise'!S7)</f>
        <v>104920.82</v>
      </c>
      <c r="H7" s="160"/>
      <c r="I7" s="32">
        <v>89464.76</v>
      </c>
      <c r="J7" s="32">
        <v>106187.78</v>
      </c>
      <c r="K7" s="45">
        <f>AVERAGE('Price (f)-Regionwise'!D25,'Price (f)-Regionwise'!I25,'Price (f)-Regionwise'!M25,'Price (f)-Regionwise'!Q25)</f>
        <v>4162.46</v>
      </c>
      <c r="L7" s="104"/>
      <c r="M7" s="157"/>
      <c r="N7" s="45">
        <f>AVERAGE('Price (f)-Regionwise'!G25,'Price (f)-Regionwise'!K25,'Price (f)-Regionwise'!O25,'Price (f)-Regionwise'!S25)</f>
        <v>110350.24</v>
      </c>
      <c r="O7" s="160"/>
    </row>
    <row r="8" spans="1:15" x14ac:dyDescent="0.25">
      <c r="A8" s="74" t="s">
        <v>42</v>
      </c>
      <c r="B8" s="32">
        <v>94570.65</v>
      </c>
      <c r="C8" s="32">
        <v>112248.08</v>
      </c>
      <c r="D8" s="45">
        <f>AVERAGE('Price (f)-Regionwise'!D8,'Price (f)-Regionwise'!I8,'Price (f)-Regionwise'!M8,'Price (f)-Regionwise'!Q8)</f>
        <v>4118.9624999999996</v>
      </c>
      <c r="E8" s="104"/>
      <c r="F8" s="157"/>
      <c r="G8" s="45">
        <f>AVERAGE('Price (f)-Regionwise'!G8,'Price (f)-Regionwise'!K8,'Price (f)-Regionwise'!O8,'Price (f)-Regionwise'!S8)</f>
        <v>116367.0425</v>
      </c>
      <c r="H8" s="160"/>
      <c r="I8" s="32">
        <v>100556.09</v>
      </c>
      <c r="J8" s="32">
        <v>119352.34</v>
      </c>
      <c r="K8" s="45">
        <f>AVERAGE('Price (f)-Regionwise'!D26,'Price (f)-Regionwise'!I26,'Price (f)-Regionwise'!M26,'Price (f)-Regionwise'!Q26)</f>
        <v>4118.9624999999996</v>
      </c>
      <c r="L8" s="104"/>
      <c r="M8" s="157"/>
      <c r="N8" s="45">
        <f>AVERAGE('Price (f)-Regionwise'!G26,'Price (f)-Regionwise'!K26,'Price (f)-Regionwise'!O26,'Price (f)-Regionwise'!S26)</f>
        <v>123471.30250000001</v>
      </c>
      <c r="O8" s="160"/>
    </row>
    <row r="9" spans="1:15" x14ac:dyDescent="0.25">
      <c r="A9" s="74" t="s">
        <v>43</v>
      </c>
      <c r="B9" s="32">
        <v>80239.820000000007</v>
      </c>
      <c r="C9" s="32">
        <v>98686.62</v>
      </c>
      <c r="D9" s="45">
        <f>AVERAGE('Price (f)-Regionwise'!D9,'Price (f)-Regionwise'!I9,'Price (f)-Regionwise'!M9,'Price (f)-Regionwise'!Q9)</f>
        <v>4905.6750000000002</v>
      </c>
      <c r="E9" s="104"/>
      <c r="F9" s="157"/>
      <c r="G9" s="45">
        <f>AVERAGE('Price (f)-Regionwise'!G9,'Price (f)-Regionwise'!K9,'Price (f)-Regionwise'!O9,'Price (f)-Regionwise'!S9)</f>
        <v>103592.295</v>
      </c>
      <c r="H9" s="160"/>
      <c r="I9" s="32">
        <v>84986.559999999998</v>
      </c>
      <c r="J9" s="32">
        <v>104321.85</v>
      </c>
      <c r="K9" s="45">
        <f>AVERAGE('Price (f)-Regionwise'!D27,'Price (f)-Regionwise'!I27,'Price (f)-Regionwise'!M27,'Price (f)-Regionwise'!Q27)</f>
        <v>4905.6750000000002</v>
      </c>
      <c r="L9" s="104"/>
      <c r="M9" s="157"/>
      <c r="N9" s="45">
        <f>AVERAGE('Price (f)-Regionwise'!G27,'Price (f)-Regionwise'!K27,'Price (f)-Regionwise'!O27,'Price (f)-Regionwise'!S27)</f>
        <v>109227.52500000001</v>
      </c>
      <c r="O9" s="160"/>
    </row>
    <row r="10" spans="1:15" x14ac:dyDescent="0.25">
      <c r="A10" s="74" t="s">
        <v>44</v>
      </c>
      <c r="B10" s="32">
        <v>79878.64</v>
      </c>
      <c r="C10" s="32">
        <v>99194.04</v>
      </c>
      <c r="D10" s="45">
        <f>AVERAGE('Price (f)-Regionwise'!D10,'Price (f)-Regionwise'!I10,'Price (f)-Regionwise'!M10,'Price (f)-Regionwise'!Q10)</f>
        <v>5452.47</v>
      </c>
      <c r="E10" s="104"/>
      <c r="F10" s="157"/>
      <c r="G10" s="45">
        <f>AVERAGE('Price (f)-Regionwise'!G10,'Price (f)-Regionwise'!K10,'Price (f)-Regionwise'!O10,'Price (f)-Regionwise'!S10)</f>
        <v>104646.51</v>
      </c>
      <c r="H10" s="160"/>
      <c r="I10" s="32">
        <v>80925.17</v>
      </c>
      <c r="J10" s="32">
        <v>99864.16</v>
      </c>
      <c r="K10" s="45">
        <f>AVERAGE('Price (f)-Regionwise'!D28,'Price (f)-Regionwise'!I28,'Price (f)-Regionwise'!M28,'Price (f)-Regionwise'!Q28)</f>
        <v>5452.47</v>
      </c>
      <c r="L10" s="104"/>
      <c r="M10" s="157"/>
      <c r="N10" s="45">
        <f>AVERAGE('Price (f)-Regionwise'!G28,'Price (f)-Regionwise'!K28,'Price (f)-Regionwise'!O28,'Price (f)-Regionwise'!S28)</f>
        <v>105316.62999999999</v>
      </c>
      <c r="O10" s="160"/>
    </row>
    <row r="11" spans="1:15" x14ac:dyDescent="0.25">
      <c r="A11" s="74" t="s">
        <v>45</v>
      </c>
      <c r="B11" s="32">
        <v>148899.6</v>
      </c>
      <c r="C11" s="32">
        <v>184579.27</v>
      </c>
      <c r="D11" s="45">
        <f>AVERAGE('Price (f)-Regionwise'!D11,'Price (f)-Regionwise'!I11,'Price (f)-Regionwise'!M11,'Price (f)-Regionwise'!Q11)</f>
        <v>5673.5775000000003</v>
      </c>
      <c r="E11" s="104"/>
      <c r="F11" s="157"/>
      <c r="G11" s="45">
        <f>AVERAGE('Price (f)-Regionwise'!G11,'Price (f)-Regionwise'!K11,'Price (f)-Regionwise'!O11,'Price (f)-Regionwise'!S11)</f>
        <v>190252.8475</v>
      </c>
      <c r="H11" s="160"/>
      <c r="I11" s="32">
        <v>169508.6</v>
      </c>
      <c r="J11" s="32">
        <v>210896.55</v>
      </c>
      <c r="K11" s="45">
        <f>AVERAGE('Price (f)-Regionwise'!D29,'Price (f)-Regionwise'!I29,'Price (f)-Regionwise'!M29,'Price (f)-Regionwise'!Q29)</f>
        <v>5673.5775000000003</v>
      </c>
      <c r="L11" s="104"/>
      <c r="M11" s="157"/>
      <c r="N11" s="45">
        <f>AVERAGE('Price (f)-Regionwise'!G29,'Price (f)-Regionwise'!K29,'Price (f)-Regionwise'!O29,'Price (f)-Regionwise'!S29)</f>
        <v>216570.1275</v>
      </c>
      <c r="O11" s="160"/>
    </row>
    <row r="12" spans="1:15" x14ac:dyDescent="0.25">
      <c r="A12" s="74" t="s">
        <v>46</v>
      </c>
      <c r="B12" s="32">
        <v>132036.75</v>
      </c>
      <c r="C12" s="32">
        <v>161894.69</v>
      </c>
      <c r="D12" s="45">
        <f>AVERAGE('Price (f)-Regionwise'!D12,'Price (f)-Regionwise'!I12,'Price (f)-Regionwise'!M12,'Price (f)-Regionwise'!Q12)</f>
        <v>5499.75</v>
      </c>
      <c r="E12" s="105"/>
      <c r="F12" s="158"/>
      <c r="G12" s="45">
        <f>AVERAGE('Price (f)-Regionwise'!G12,'Price (f)-Regionwise'!K12,'Price (f)-Regionwise'!O12,'Price (f)-Regionwise'!S12)</f>
        <v>167394.44</v>
      </c>
      <c r="H12" s="161"/>
      <c r="I12" s="32">
        <v>138564.54</v>
      </c>
      <c r="J12" s="32">
        <v>170815.75</v>
      </c>
      <c r="K12" s="45">
        <f>AVERAGE('Price (f)-Regionwise'!D30,'Price (f)-Regionwise'!I30,'Price (f)-Regionwise'!M30,'Price (f)-Regionwise'!Q30)</f>
        <v>5499.75</v>
      </c>
      <c r="L12" s="105"/>
      <c r="M12" s="158"/>
      <c r="N12" s="45">
        <f>AVERAGE('Price (f)-Regionwise'!G30,'Price (f)-Regionwise'!K30,'Price (f)-Regionwise'!O30,'Price (f)-Regionwise'!S30)</f>
        <v>176315.5</v>
      </c>
      <c r="O12" s="161"/>
    </row>
    <row r="13" spans="1:15" x14ac:dyDescent="0.25">
      <c r="A13" s="74" t="s">
        <v>132</v>
      </c>
      <c r="B13" s="32">
        <v>163756.04</v>
      </c>
      <c r="C13" s="32">
        <v>200786.77</v>
      </c>
      <c r="D13" s="45">
        <f>AVERAGE('Price (f)-Regionwise'!D13,'Price (f)-Regionwise'!I13,'Price (f)-Regionwise'!M13,'Price (f)-Regionwise'!Q13)</f>
        <v>6323.5925000000007</v>
      </c>
      <c r="E13" s="45">
        <v>191703.77</v>
      </c>
      <c r="F13" s="89">
        <f>AVERAGE('Price (f)-Regionwise'!F13,'Price (f)-Regionwise'!J13,'Price (f)-Regionwise'!N13,'Price (f)-Regionwise'!R13)</f>
        <v>197023.4</v>
      </c>
      <c r="G13" s="45">
        <f>AVERAGE('Price (f)-Regionwise'!G13,'Price (f)-Regionwise'!K13,'Price (f)-Regionwise'!O13,'Price (f)-Regionwise'!S13)</f>
        <v>207110.36499999999</v>
      </c>
      <c r="H13" s="88">
        <f>AVERAGE('Price (f)-Regionwise'!H13,'Price (f)-Regionwise'!L13,'Price (f)-Regionwise'!P13,'Price (f)-Regionwise'!T13)</f>
        <v>217621.21249999999</v>
      </c>
      <c r="I13" s="32">
        <v>169397.01</v>
      </c>
      <c r="J13" s="32">
        <v>208824.55</v>
      </c>
      <c r="K13" s="45">
        <f>AVERAGE('Price (f)-Regionwise'!D31,'Price (f)-Regionwise'!I31,'Price (f)-Regionwise'!M31,'Price (f)-Regionwise'!Q31)</f>
        <v>6323.5925000000007</v>
      </c>
      <c r="L13" s="45">
        <v>199143.66</v>
      </c>
      <c r="M13" s="89">
        <f>AVERAGE('Price (f)-Regionwise'!F31,'Price (f)-Regionwise'!J31,'Price (f)-Regionwise'!N31,'Price (f)-Regionwise'!R31)</f>
        <v>204669.74000000002</v>
      </c>
      <c r="N13" s="45">
        <f>AVERAGE('Price (f)-Regionwise'!G31,'Price (f)-Regionwise'!K31,'Price (f)-Regionwise'!O31,'Price (f)-Regionwise'!S31)</f>
        <v>215148.14500000002</v>
      </c>
      <c r="O13" s="88">
        <f>AVERAGE('Price (f)-Regionwise'!H31,'Price (f)-Regionwise'!L31,'Price (f)-Regionwise'!P31,'Price (f)-Regionwise'!T31)</f>
        <v>226066.91250000001</v>
      </c>
    </row>
    <row r="14" spans="1:15" x14ac:dyDescent="0.25">
      <c r="A14" s="74" t="s">
        <v>133</v>
      </c>
      <c r="B14" s="32">
        <v>196377.22</v>
      </c>
      <c r="C14" s="32">
        <v>240784.7</v>
      </c>
      <c r="D14" s="45">
        <f>AVERAGE('Price (f)-Regionwise'!D14,'Price (f)-Regionwise'!I14,'Price (f)-Regionwise'!M14,'Price (f)-Regionwise'!Q14)</f>
        <v>7235.1975000000002</v>
      </c>
      <c r="E14" s="45">
        <v>229582.33</v>
      </c>
      <c r="F14" s="89">
        <f>AVERAGE('Price (f)-Regionwise'!F14,'Price (f)-Regionwise'!J14,'Price (f)-Regionwise'!N14,'Price (f)-Regionwise'!R14)</f>
        <v>235227.8</v>
      </c>
      <c r="G14" s="45">
        <f>AVERAGE('Price (f)-Regionwise'!G14,'Price (f)-Regionwise'!K14,'Price (f)-Regionwise'!O14,'Price (f)-Regionwise'!S14)</f>
        <v>248019.89499999999</v>
      </c>
      <c r="H14" s="88">
        <f>AVERAGE('Price (f)-Regionwise'!H14,'Price (f)-Regionwise'!L14,'Price (f)-Regionwise'!P14,'Price (f)-Regionwise'!T14)</f>
        <v>261319.12</v>
      </c>
      <c r="I14" s="32">
        <v>219304.53</v>
      </c>
      <c r="J14" s="32">
        <v>270348.15999999997</v>
      </c>
      <c r="K14" s="45">
        <f>AVERAGE('Price (f)-Regionwise'!D32,'Price (f)-Regionwise'!I32,'Price (f)-Regionwise'!M32,'Price (f)-Regionwise'!Q32)</f>
        <v>7235.1975000000002</v>
      </c>
      <c r="L14" s="45">
        <v>256948.13</v>
      </c>
      <c r="M14" s="89">
        <f>AVERAGE('Price (f)-Regionwise'!F32,'Price (f)-Regionwise'!J32,'Price (f)-Regionwise'!N32,'Price (f)-Regionwise'!R32)</f>
        <v>263266.52749999997</v>
      </c>
      <c r="N14" s="45">
        <f>AVERAGE('Price (f)-Regionwise'!G32,'Price (f)-Regionwise'!K32,'Price (f)-Regionwise'!O32,'Price (f)-Regionwise'!S32)</f>
        <v>277583.35750000004</v>
      </c>
      <c r="O14" s="88">
        <f>AVERAGE('Price (f)-Regionwise'!H32,'Price (f)-Regionwise'!L32,'Price (f)-Regionwise'!P32,'Price (f)-Regionwise'!T32)</f>
        <v>292467.92749999999</v>
      </c>
    </row>
    <row r="15" spans="1:15" x14ac:dyDescent="0.25">
      <c r="A15" s="74" t="s">
        <v>134</v>
      </c>
      <c r="B15" s="32">
        <v>227655.02</v>
      </c>
      <c r="C15" s="32">
        <v>279135.46000000002</v>
      </c>
      <c r="D15" s="45">
        <f>AVERAGE('Price (f)-Regionwise'!D15,'Price (f)-Regionwise'!I15,'Price (f)-Regionwise'!M15,'Price (f)-Regionwise'!Q15)</f>
        <v>8179.0949999999993</v>
      </c>
      <c r="E15" s="45">
        <v>264606.09999999998</v>
      </c>
      <c r="F15" s="89">
        <f>AVERAGE('Price (f)-Regionwise'!F15,'Price (f)-Regionwise'!J15,'Price (f)-Regionwise'!N15,'Price (f)-Regionwise'!R15)</f>
        <v>271669.50750000001</v>
      </c>
      <c r="G15" s="45">
        <f>AVERAGE('Price (f)-Regionwise'!G15,'Price (f)-Regionwise'!K15,'Price (f)-Regionwise'!O15,'Price (f)-Regionwise'!S15)</f>
        <v>287314.55000000005</v>
      </c>
      <c r="H15" s="88">
        <f>AVERAGE('Price (f)-Regionwise'!H15,'Price (f)-Regionwise'!L15,'Price (f)-Regionwise'!P15,'Price (f)-Regionwise'!T15)</f>
        <v>303331.45750000002</v>
      </c>
      <c r="I15" s="32">
        <v>261725.71</v>
      </c>
      <c r="J15" s="32">
        <v>322642.96000000002</v>
      </c>
      <c r="K15" s="45">
        <f>AVERAGE('Price (f)-Regionwise'!D33,'Price (f)-Regionwise'!I33,'Price (f)-Regionwise'!M33,'Price (f)-Regionwise'!Q33)</f>
        <v>8179.0949999999993</v>
      </c>
      <c r="L15" s="45">
        <v>304675.02</v>
      </c>
      <c r="M15" s="89">
        <f>AVERAGE('Price (f)-Regionwise'!F33,'Price (f)-Regionwise'!J33,'Price (f)-Regionwise'!N33,'Price (f)-Regionwise'!R33)</f>
        <v>312808.03000000003</v>
      </c>
      <c r="N15" s="45">
        <f>AVERAGE('Price (f)-Regionwise'!G33,'Price (f)-Regionwise'!K33,'Price (f)-Regionwise'!O33,'Price (f)-Regionwise'!S33)</f>
        <v>330822.05500000005</v>
      </c>
      <c r="O15" s="88">
        <f>AVERAGE('Price (f)-Regionwise'!H33,'Price (f)-Regionwise'!L33,'Price (f)-Regionwise'!P33,'Price (f)-Regionwise'!T33)</f>
        <v>349264.505</v>
      </c>
    </row>
    <row r="16" spans="1:15" x14ac:dyDescent="0.25">
      <c r="A16" s="74" t="s">
        <v>135</v>
      </c>
      <c r="B16" s="32">
        <v>257570.76</v>
      </c>
      <c r="C16" s="32">
        <v>315816.15000000002</v>
      </c>
      <c r="D16" s="45">
        <f>AVERAGE('Price (f)-Regionwise'!D16,'Price (f)-Regionwise'!I16,'Price (f)-Regionwise'!M16,'Price (f)-Regionwise'!Q16)</f>
        <v>9151.6774999999998</v>
      </c>
      <c r="E16" s="45">
        <v>299879.74</v>
      </c>
      <c r="F16" s="89">
        <f>AVERAGE('Price (f)-Regionwise'!F16,'Price (f)-Regionwise'!J16,'Price (f)-Regionwise'!N16,'Price (f)-Regionwise'!R16)</f>
        <v>306939.34250000003</v>
      </c>
      <c r="G16" s="45">
        <f>AVERAGE('Price (f)-Regionwise'!G16,'Price (f)-Regionwise'!K16,'Price (f)-Regionwise'!O16,'Price (f)-Regionwise'!S16)</f>
        <v>324967.82250000001</v>
      </c>
      <c r="H16" s="88">
        <f>AVERAGE('Price (f)-Regionwise'!H16,'Price (f)-Regionwise'!L16,'Price (f)-Regionwise'!P16,'Price (f)-Regionwise'!T16)</f>
        <v>343993.75750000001</v>
      </c>
      <c r="I16" s="32">
        <v>304887.56</v>
      </c>
      <c r="J16" s="32">
        <v>375850.83</v>
      </c>
      <c r="K16" s="45">
        <f>AVERAGE('Price (f)-Regionwise'!D34,'Price (f)-Regionwise'!I34,'Price (f)-Regionwise'!M34,'Price (f)-Regionwise'!Q34)</f>
        <v>9151.6774999999998</v>
      </c>
      <c r="L16" s="45">
        <v>355279.8</v>
      </c>
      <c r="M16" s="89">
        <f>AVERAGE('Price (f)-Regionwise'!F34,'Price (f)-Regionwise'!J34,'Price (f)-Regionwise'!N34,'Price (f)-Regionwise'!R34)</f>
        <v>363643.60500000004</v>
      </c>
      <c r="N16" s="45">
        <f>AVERAGE('Price (f)-Regionwise'!G34,'Price (f)-Regionwise'!K34,'Price (f)-Regionwise'!O34,'Price (f)-Regionwise'!S34)</f>
        <v>385002.51</v>
      </c>
      <c r="O16" s="88">
        <f>AVERAGE('Price (f)-Regionwise'!H34,'Price (f)-Regionwise'!L34,'Price (f)-Regionwise'!P34,'Price (f)-Regionwise'!T34)</f>
        <v>407543.48</v>
      </c>
    </row>
    <row r="17" spans="1:15" ht="15.75" thickBot="1" x14ac:dyDescent="0.3">
      <c r="A17" s="74" t="s">
        <v>170</v>
      </c>
      <c r="B17" s="32">
        <v>281601.81</v>
      </c>
      <c r="C17" s="32">
        <v>345281.43</v>
      </c>
      <c r="D17" s="45">
        <f>AVERAGE('Price (f)-Regionwise'!D17,'Price (f)-Regionwise'!I17,'Price (f)-Regionwise'!M17,'Price (f)-Regionwise'!Q17)</f>
        <v>10080.959999999999</v>
      </c>
      <c r="E17" s="45">
        <v>327351.40000000002</v>
      </c>
      <c r="F17" s="89">
        <f>AVERAGE('Price (f)-Regionwise'!F17,'Price (f)-Regionwise'!J17,'Price (f)-Regionwise'!N17,'Price (f)-Regionwise'!R17)</f>
        <v>334715.13500000001</v>
      </c>
      <c r="G17" s="45">
        <f>AVERAGE('Price (f)-Regionwise'!G17,'Price (f)-Regionwise'!K17,'Price (f)-Regionwise'!O17,'Price (f)-Regionwise'!S17)</f>
        <v>355362.38749999995</v>
      </c>
      <c r="H17" s="88">
        <f>AVERAGE('Price (f)-Regionwise'!H17,'Price (f)-Regionwise'!L17,'Price (f)-Regionwise'!P17,'Price (f)-Regionwise'!T17)</f>
        <v>376807.38749999995</v>
      </c>
      <c r="I17" s="45">
        <v>334973.64</v>
      </c>
      <c r="J17" s="45">
        <v>412939.51</v>
      </c>
      <c r="K17" s="45">
        <f>AVERAGE('Price (f)-Regionwise'!D35,'Price (f)-Regionwise'!I35,'Price (f)-Regionwise'!M35,'Price (f)-Regionwise'!Q35)</f>
        <v>10080.959999999999</v>
      </c>
      <c r="L17" s="45">
        <v>389676.55</v>
      </c>
      <c r="M17" s="89">
        <f>AVERAGE('Price (f)-Regionwise'!F35,'Price (f)-Regionwise'!J35,'Price (f)-Regionwise'!N35,'Price (f)-Regionwise'!R35)</f>
        <v>398442.28249999997</v>
      </c>
      <c r="N17" s="45">
        <f>AVERAGE('Price (f)-Regionwise'!G35,'Price (f)-Regionwise'!K35,'Price (f)-Regionwise'!O35,'Price (f)-Regionwise'!S35)</f>
        <v>423020.47</v>
      </c>
      <c r="O17" s="88">
        <f>AVERAGE('Price (f)-Regionwise'!H35,'Price (f)-Regionwise'!L35,'Price (f)-Regionwise'!P35,'Price (f)-Regionwise'!T35)</f>
        <v>448548.63500000001</v>
      </c>
    </row>
    <row r="18" spans="1:15" ht="15.75" thickBot="1" x14ac:dyDescent="0.3">
      <c r="A18" s="34" t="s">
        <v>47</v>
      </c>
      <c r="B18" s="35" t="s">
        <v>48</v>
      </c>
      <c r="C18" s="116"/>
      <c r="D18" s="60"/>
      <c r="E18" s="110"/>
      <c r="F18" s="115"/>
      <c r="G18" s="116"/>
      <c r="H18" s="116"/>
      <c r="I18" s="76"/>
      <c r="L18" s="110"/>
      <c r="O18" s="116"/>
    </row>
    <row r="19" spans="1:15" x14ac:dyDescent="0.25">
      <c r="B19" s="33"/>
      <c r="C19" s="116"/>
      <c r="D19" s="60"/>
      <c r="E19" s="110"/>
      <c r="F19" s="76"/>
      <c r="G19" s="76"/>
      <c r="H19" s="116"/>
      <c r="I19" s="76"/>
      <c r="L19" s="110"/>
      <c r="O19" s="116"/>
    </row>
    <row r="20" spans="1:15" x14ac:dyDescent="0.25">
      <c r="A20" s="36" t="s">
        <v>49</v>
      </c>
      <c r="B20" s="37" t="s">
        <v>50</v>
      </c>
      <c r="C20" s="33"/>
      <c r="D20" s="60"/>
      <c r="E20" s="110"/>
      <c r="F20" s="33"/>
      <c r="G20" s="33"/>
      <c r="H20" s="33"/>
      <c r="L20" s="110"/>
    </row>
    <row r="21" spans="1:15" x14ac:dyDescent="0.25">
      <c r="A21" s="36" t="s">
        <v>51</v>
      </c>
      <c r="B21" s="37" t="s">
        <v>52</v>
      </c>
      <c r="C21" s="33"/>
      <c r="D21" s="60"/>
      <c r="E21" s="110"/>
      <c r="F21" s="33"/>
      <c r="G21" s="33"/>
      <c r="H21" s="33"/>
      <c r="L21" s="110"/>
    </row>
    <row r="22" spans="1:15" x14ac:dyDescent="0.25">
      <c r="A22" s="36" t="s">
        <v>53</v>
      </c>
      <c r="B22" s="37" t="s">
        <v>54</v>
      </c>
      <c r="C22" s="33"/>
      <c r="D22" s="60"/>
      <c r="E22" s="110"/>
      <c r="F22" s="33"/>
      <c r="G22" s="33"/>
      <c r="H22" s="33"/>
      <c r="L22" s="110"/>
    </row>
    <row r="23" spans="1:15" x14ac:dyDescent="0.25">
      <c r="A23" s="36" t="s">
        <v>59</v>
      </c>
      <c r="B23" s="37" t="s">
        <v>95</v>
      </c>
      <c r="C23" s="33"/>
      <c r="D23" s="33"/>
      <c r="E23" s="33"/>
      <c r="F23" s="33"/>
      <c r="G23" s="33"/>
      <c r="H23" s="33"/>
    </row>
    <row r="24" spans="1:15" x14ac:dyDescent="0.25">
      <c r="B24" s="33"/>
      <c r="C24" s="33"/>
      <c r="D24" s="33"/>
      <c r="E24" s="33"/>
      <c r="F24" s="33"/>
      <c r="G24" s="33"/>
      <c r="H24" s="33"/>
    </row>
    <row r="25" spans="1:15" x14ac:dyDescent="0.25">
      <c r="B25" s="33"/>
      <c r="C25" s="33"/>
      <c r="D25" s="33"/>
      <c r="E25" s="33"/>
      <c r="F25" s="33"/>
      <c r="G25" s="33"/>
      <c r="H25" s="33"/>
    </row>
    <row r="26" spans="1:15" x14ac:dyDescent="0.25">
      <c r="B26" s="33"/>
      <c r="C26" s="33"/>
      <c r="D26" s="33"/>
      <c r="E26" s="33"/>
      <c r="F26" s="33"/>
      <c r="G26" s="33"/>
      <c r="H26" s="33"/>
    </row>
    <row r="27" spans="1:15" x14ac:dyDescent="0.25">
      <c r="B27" s="33"/>
      <c r="C27" s="33"/>
      <c r="D27" s="33"/>
      <c r="E27" s="33"/>
      <c r="F27" s="33"/>
      <c r="G27" s="33"/>
      <c r="H27" s="33"/>
    </row>
    <row r="28" spans="1:15" x14ac:dyDescent="0.25">
      <c r="B28" s="33"/>
      <c r="C28" s="33"/>
      <c r="D28" s="33"/>
      <c r="E28" s="33"/>
      <c r="F28" s="33"/>
      <c r="G28" s="33"/>
      <c r="H28" s="33"/>
    </row>
    <row r="29" spans="1:15" x14ac:dyDescent="0.25">
      <c r="B29" s="33"/>
      <c r="C29" s="33"/>
      <c r="D29" s="33"/>
      <c r="E29" s="33"/>
      <c r="F29" s="33"/>
      <c r="G29" s="33"/>
      <c r="H29" s="33"/>
    </row>
    <row r="41" spans="1:1" x14ac:dyDescent="0.25">
      <c r="A41" s="112" t="s">
        <v>236</v>
      </c>
    </row>
    <row r="42" spans="1:1" x14ac:dyDescent="0.25">
      <c r="A42" s="111" t="s">
        <v>237</v>
      </c>
    </row>
    <row r="43" spans="1:1" x14ac:dyDescent="0.25">
      <c r="A43" s="111" t="s">
        <v>242</v>
      </c>
    </row>
    <row r="44" spans="1:1" x14ac:dyDescent="0.25">
      <c r="A44" s="111" t="s">
        <v>243</v>
      </c>
    </row>
    <row r="45" spans="1:1" x14ac:dyDescent="0.25">
      <c r="A45" s="112" t="s">
        <v>238</v>
      </c>
    </row>
    <row r="46" spans="1:1" x14ac:dyDescent="0.25">
      <c r="A46" s="111" t="s">
        <v>244</v>
      </c>
    </row>
    <row r="47" spans="1:1" x14ac:dyDescent="0.25">
      <c r="A47" s="111" t="s">
        <v>245</v>
      </c>
    </row>
    <row r="48" spans="1:1" x14ac:dyDescent="0.25">
      <c r="A48" s="111" t="s">
        <v>246</v>
      </c>
    </row>
    <row r="49" spans="1:1" x14ac:dyDescent="0.25">
      <c r="A49" s="111" t="s">
        <v>247</v>
      </c>
    </row>
    <row r="50" spans="1:1" x14ac:dyDescent="0.25">
      <c r="A50" s="111" t="s">
        <v>248</v>
      </c>
    </row>
    <row r="51" spans="1:1" x14ac:dyDescent="0.25">
      <c r="A51" s="111" t="s">
        <v>249</v>
      </c>
    </row>
    <row r="52" spans="1:1" x14ac:dyDescent="0.25">
      <c r="A52" s="111" t="s">
        <v>250</v>
      </c>
    </row>
    <row r="53" spans="1:1" x14ac:dyDescent="0.25">
      <c r="A53" s="111" t="s">
        <v>251</v>
      </c>
    </row>
    <row r="54" spans="1:1" x14ac:dyDescent="0.25">
      <c r="A54" s="112" t="s">
        <v>239</v>
      </c>
    </row>
    <row r="55" spans="1:1" x14ac:dyDescent="0.25">
      <c r="A55" s="111" t="s">
        <v>240</v>
      </c>
    </row>
    <row r="56" spans="1:1" x14ac:dyDescent="0.25">
      <c r="A56" s="111" t="s">
        <v>241</v>
      </c>
    </row>
    <row r="57" spans="1:1" x14ac:dyDescent="0.25">
      <c r="A57" s="111" t="s">
        <v>256</v>
      </c>
    </row>
    <row r="58" spans="1:1" x14ac:dyDescent="0.25">
      <c r="A58" s="112" t="s">
        <v>257</v>
      </c>
    </row>
    <row r="59" spans="1:1" x14ac:dyDescent="0.25">
      <c r="A59" s="111" t="s">
        <v>252</v>
      </c>
    </row>
    <row r="60" spans="1:1" x14ac:dyDescent="0.25">
      <c r="A60" s="111" t="s">
        <v>253</v>
      </c>
    </row>
    <row r="61" spans="1:1" x14ac:dyDescent="0.25">
      <c r="A61" s="111" t="s">
        <v>254</v>
      </c>
    </row>
    <row r="62" spans="1:1" x14ac:dyDescent="0.25">
      <c r="A62" s="111" t="s">
        <v>255</v>
      </c>
    </row>
    <row r="63" spans="1:1" x14ac:dyDescent="0.25">
      <c r="A63" s="111"/>
    </row>
    <row r="65" spans="1:5" x14ac:dyDescent="0.25">
      <c r="A65" s="146" t="s">
        <v>28</v>
      </c>
      <c r="B65" s="146"/>
      <c r="C65" s="146"/>
      <c r="D65" s="146"/>
      <c r="E65" s="146"/>
    </row>
    <row r="66" spans="1:5" x14ac:dyDescent="0.25">
      <c r="A66" s="30" t="s">
        <v>29</v>
      </c>
      <c r="B66" s="30" t="s">
        <v>30</v>
      </c>
      <c r="C66" s="30" t="s">
        <v>31</v>
      </c>
      <c r="D66" s="30" t="s">
        <v>32</v>
      </c>
      <c r="E66" s="30" t="s">
        <v>33</v>
      </c>
    </row>
    <row r="67" spans="1:5" x14ac:dyDescent="0.25">
      <c r="A67" s="31">
        <v>2023</v>
      </c>
      <c r="B67" s="32">
        <v>82.220708999999999</v>
      </c>
      <c r="C67" s="32">
        <v>81.116755999999995</v>
      </c>
      <c r="D67" s="32">
        <v>82.899286000000004</v>
      </c>
      <c r="E67" s="31">
        <v>122</v>
      </c>
    </row>
    <row r="68" spans="1:5" x14ac:dyDescent="0.25">
      <c r="A68" s="31">
        <v>2022</v>
      </c>
      <c r="B68" s="32">
        <v>78.627602999999993</v>
      </c>
      <c r="C68" s="32">
        <v>73.877999000000003</v>
      </c>
      <c r="D68" s="32">
        <v>83.038965000000005</v>
      </c>
      <c r="E68" s="31">
        <v>257</v>
      </c>
    </row>
    <row r="69" spans="1:5" x14ac:dyDescent="0.25">
      <c r="A69" s="31">
        <v>2021</v>
      </c>
      <c r="B69" s="32">
        <v>73.944862000000001</v>
      </c>
      <c r="C69" s="32">
        <v>72.349744999999999</v>
      </c>
      <c r="D69" s="32">
        <v>76.393625</v>
      </c>
      <c r="E69" s="31">
        <v>258</v>
      </c>
    </row>
    <row r="70" spans="1:5" x14ac:dyDescent="0.25">
      <c r="A70" s="31">
        <v>2020</v>
      </c>
      <c r="B70" s="32">
        <v>74.108329999999995</v>
      </c>
      <c r="C70" s="32">
        <v>70.797432999999998</v>
      </c>
      <c r="D70" s="32">
        <v>76.936421999999993</v>
      </c>
      <c r="E70" s="31">
        <v>257</v>
      </c>
    </row>
    <row r="71" spans="1:5" x14ac:dyDescent="0.25">
      <c r="A71" s="31">
        <v>2019</v>
      </c>
      <c r="B71" s="32">
        <v>70.427300000000002</v>
      </c>
      <c r="C71" s="32">
        <v>68.364643000000001</v>
      </c>
      <c r="D71" s="32">
        <v>72.411996000000002</v>
      </c>
      <c r="E71" s="31">
        <v>255</v>
      </c>
    </row>
    <row r="72" spans="1:5" x14ac:dyDescent="0.25">
      <c r="A72" s="31">
        <v>2018</v>
      </c>
      <c r="B72" s="32">
        <v>68.448351000000002</v>
      </c>
      <c r="C72" s="32">
        <v>63.369863000000002</v>
      </c>
      <c r="D72" s="32">
        <v>74.406645999999995</v>
      </c>
      <c r="E72" s="31">
        <v>255</v>
      </c>
    </row>
    <row r="73" spans="1:5" x14ac:dyDescent="0.25">
      <c r="A73" s="31">
        <v>2017</v>
      </c>
      <c r="B73" s="32">
        <v>65.128967000000003</v>
      </c>
      <c r="C73" s="32">
        <v>63.619396999999999</v>
      </c>
      <c r="D73" s="32">
        <v>68.391412000000003</v>
      </c>
      <c r="E73" s="31">
        <v>255</v>
      </c>
    </row>
    <row r="74" spans="1:5" x14ac:dyDescent="0.25">
      <c r="A74" s="31">
        <v>2016</v>
      </c>
      <c r="B74" s="32">
        <v>67.197564999999997</v>
      </c>
      <c r="C74" s="32">
        <v>66.105008999999995</v>
      </c>
      <c r="D74" s="32">
        <v>68.875033999999999</v>
      </c>
      <c r="E74" s="31">
        <v>257</v>
      </c>
    </row>
    <row r="75" spans="1:5" x14ac:dyDescent="0.25">
      <c r="A75" s="31">
        <v>2015</v>
      </c>
      <c r="B75" s="32">
        <v>64.178068999999994</v>
      </c>
      <c r="C75" s="32">
        <v>61.384220999999997</v>
      </c>
      <c r="D75" s="32">
        <v>67.145042000000004</v>
      </c>
      <c r="E75" s="31">
        <v>256</v>
      </c>
    </row>
    <row r="76" spans="1:5" x14ac:dyDescent="0.25">
      <c r="A76" s="31">
        <v>2014</v>
      </c>
      <c r="B76" s="32">
        <v>61.022620000000003</v>
      </c>
      <c r="C76" s="32">
        <v>58.459980000000002</v>
      </c>
      <c r="D76" s="32">
        <v>63.988035000000004</v>
      </c>
      <c r="E76" s="31">
        <v>255</v>
      </c>
    </row>
    <row r="77" spans="1:5" x14ac:dyDescent="0.25">
      <c r="A77" s="31">
        <v>2013</v>
      </c>
      <c r="B77" s="32">
        <v>58.638576</v>
      </c>
      <c r="C77" s="32">
        <v>53.135111000000002</v>
      </c>
      <c r="D77" s="32">
        <v>68.978048000000001</v>
      </c>
      <c r="E77" s="31">
        <v>255</v>
      </c>
    </row>
    <row r="78" spans="1:5" x14ac:dyDescent="0.25">
      <c r="A78" s="31">
        <v>2012</v>
      </c>
      <c r="B78" s="32">
        <v>53.434263999999999</v>
      </c>
      <c r="C78" s="32">
        <v>48.804710999999998</v>
      </c>
      <c r="D78" s="32">
        <v>57.152085</v>
      </c>
      <c r="E78" s="31">
        <v>256</v>
      </c>
    </row>
  </sheetData>
  <mergeCells count="5">
    <mergeCell ref="F2:F12"/>
    <mergeCell ref="H2:H12"/>
    <mergeCell ref="M2:M12"/>
    <mergeCell ref="O2:O12"/>
    <mergeCell ref="A65:E65"/>
  </mergeCells>
  <phoneticPr fontId="10"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0C308-26AF-4F62-A69E-0063B033E034}">
  <dimension ref="A1:Q16"/>
  <sheetViews>
    <sheetView showGridLines="0" workbookViewId="0">
      <selection activeCell="E4" sqref="E4"/>
    </sheetView>
  </sheetViews>
  <sheetFormatPr defaultRowHeight="15" x14ac:dyDescent="0.25"/>
  <cols>
    <col min="2" max="2" width="20.28515625" bestFit="1" customWidth="1"/>
    <col min="3" max="3" width="29.140625" bestFit="1" customWidth="1"/>
    <col min="4" max="7" width="17" bestFit="1" customWidth="1"/>
    <col min="8" max="8" width="11.85546875" bestFit="1" customWidth="1"/>
    <col min="9" max="9" width="30.140625" bestFit="1" customWidth="1"/>
    <col min="10" max="10" width="21.7109375" bestFit="1" customWidth="1"/>
    <col min="11" max="11" width="30.5703125" bestFit="1" customWidth="1"/>
    <col min="12" max="15" width="17" bestFit="1" customWidth="1"/>
    <col min="16" max="16" width="11.85546875" bestFit="1" customWidth="1"/>
    <col min="17" max="17" width="31.42578125" bestFit="1" customWidth="1"/>
  </cols>
  <sheetData>
    <row r="1" spans="1:17" x14ac:dyDescent="0.25">
      <c r="A1" s="2"/>
      <c r="B1" s="3" t="s">
        <v>34</v>
      </c>
      <c r="C1" s="3" t="s">
        <v>35</v>
      </c>
      <c r="D1" s="3" t="s">
        <v>166</v>
      </c>
      <c r="E1" s="3" t="s">
        <v>167</v>
      </c>
      <c r="F1" s="3" t="s">
        <v>168</v>
      </c>
      <c r="G1" s="3" t="s">
        <v>169</v>
      </c>
      <c r="H1" s="3" t="s">
        <v>59</v>
      </c>
      <c r="I1" s="3" t="s">
        <v>36</v>
      </c>
      <c r="J1" s="3" t="s">
        <v>37</v>
      </c>
      <c r="K1" s="3" t="s">
        <v>38</v>
      </c>
      <c r="L1" s="3" t="s">
        <v>166</v>
      </c>
      <c r="M1" s="3" t="s">
        <v>167</v>
      </c>
      <c r="N1" s="3" t="s">
        <v>168</v>
      </c>
      <c r="O1" s="3" t="s">
        <v>169</v>
      </c>
      <c r="P1" s="3" t="s">
        <v>59</v>
      </c>
      <c r="Q1" s="3" t="s">
        <v>39</v>
      </c>
    </row>
    <row r="2" spans="1:17" x14ac:dyDescent="0.25">
      <c r="A2" s="74" t="s">
        <v>58</v>
      </c>
      <c r="B2" s="45">
        <v>106602.92</v>
      </c>
      <c r="C2" s="45">
        <v>126529.46</v>
      </c>
      <c r="D2" s="84">
        <v>2978.6552000000001</v>
      </c>
      <c r="E2" s="84">
        <v>2989.7058000000002</v>
      </c>
      <c r="F2" s="84">
        <v>3357.2624000000001</v>
      </c>
      <c r="G2" s="84">
        <v>3495.4142000000002</v>
      </c>
      <c r="H2" s="45">
        <v>3205.06</v>
      </c>
      <c r="I2" s="46">
        <v>129734.52</v>
      </c>
      <c r="J2" s="45">
        <v>111800.26</v>
      </c>
      <c r="K2" s="45">
        <v>132698.29999999999</v>
      </c>
      <c r="L2" s="84">
        <v>2978.6552000000001</v>
      </c>
      <c r="M2" s="84">
        <v>2989.7058000000002</v>
      </c>
      <c r="N2" s="84">
        <v>3357.2624000000001</v>
      </c>
      <c r="O2" s="84">
        <v>3495.4142000000002</v>
      </c>
      <c r="P2" s="45">
        <v>3205.06</v>
      </c>
      <c r="Q2" s="46">
        <v>135903.35999999999</v>
      </c>
    </row>
    <row r="3" spans="1:17" x14ac:dyDescent="0.25">
      <c r="A3" s="74" t="s">
        <v>55</v>
      </c>
      <c r="B3" s="45">
        <v>119056.19</v>
      </c>
      <c r="C3" s="45">
        <v>141310.54</v>
      </c>
      <c r="D3" s="84">
        <v>3375.9463999999998</v>
      </c>
      <c r="E3" s="84">
        <v>3394.3806</v>
      </c>
      <c r="F3" s="84">
        <v>3818.1568000000002</v>
      </c>
      <c r="G3" s="84">
        <v>3983.4594000000002</v>
      </c>
      <c r="H3" s="45">
        <v>3643.42</v>
      </c>
      <c r="I3" s="46">
        <v>144953.96000000002</v>
      </c>
      <c r="J3" s="45">
        <v>125533.64</v>
      </c>
      <c r="K3" s="45">
        <v>148998.76999999999</v>
      </c>
      <c r="L3" s="84">
        <v>3375.9463999999998</v>
      </c>
      <c r="M3" s="84">
        <v>3394.3806</v>
      </c>
      <c r="N3" s="84">
        <v>3818.1568000000002</v>
      </c>
      <c r="O3" s="84">
        <v>3983.4594000000002</v>
      </c>
      <c r="P3" s="45">
        <v>3643.42</v>
      </c>
      <c r="Q3" s="46">
        <v>152642.19</v>
      </c>
    </row>
    <row r="4" spans="1:17" x14ac:dyDescent="0.25">
      <c r="A4" s="74" t="s">
        <v>56</v>
      </c>
      <c r="B4" s="45">
        <v>107383.6</v>
      </c>
      <c r="C4" s="45">
        <v>127456.07</v>
      </c>
      <c r="D4" s="84">
        <v>3086.0419999999999</v>
      </c>
      <c r="E4" s="84">
        <v>3095.9555</v>
      </c>
      <c r="F4" s="84">
        <v>3445.0039999999999</v>
      </c>
      <c r="G4" s="84">
        <v>3535.7444999999998</v>
      </c>
      <c r="H4" s="45">
        <v>3291.35</v>
      </c>
      <c r="I4" s="46">
        <v>130747.42000000001</v>
      </c>
      <c r="J4" s="45">
        <v>112748.02</v>
      </c>
      <c r="K4" s="45">
        <v>133823.22</v>
      </c>
      <c r="L4" s="84">
        <v>3086.0419999999999</v>
      </c>
      <c r="M4" s="84">
        <v>3095.9555</v>
      </c>
      <c r="N4" s="84">
        <v>3445.0039999999999</v>
      </c>
      <c r="O4" s="84">
        <v>3535.7444999999998</v>
      </c>
      <c r="P4" s="45">
        <v>3291.35</v>
      </c>
      <c r="Q4" s="46">
        <v>137114.57</v>
      </c>
    </row>
    <row r="5" spans="1:17" x14ac:dyDescent="0.25">
      <c r="A5" s="74" t="s">
        <v>57</v>
      </c>
      <c r="B5" s="45">
        <v>70249.64</v>
      </c>
      <c r="C5" s="45">
        <v>83380.92</v>
      </c>
      <c r="D5" s="84">
        <v>3183.1464000000001</v>
      </c>
      <c r="E5" s="84">
        <v>3197.1806000000001</v>
      </c>
      <c r="F5" s="84">
        <v>3556.5567999999998</v>
      </c>
      <c r="G5" s="84">
        <v>3674.6594</v>
      </c>
      <c r="H5" s="45">
        <v>3403.42</v>
      </c>
      <c r="I5" s="46">
        <v>86784.34</v>
      </c>
      <c r="J5" s="45">
        <v>73113.3</v>
      </c>
      <c r="K5" s="45">
        <v>86779.86</v>
      </c>
      <c r="L5" s="84">
        <v>3183.1464000000001</v>
      </c>
      <c r="M5" s="84">
        <v>3197.1806000000001</v>
      </c>
      <c r="N5" s="84">
        <v>3556.5567999999998</v>
      </c>
      <c r="O5" s="84">
        <v>3674.6594</v>
      </c>
      <c r="P5" s="45">
        <v>3403.42</v>
      </c>
      <c r="Q5" s="46">
        <v>90183.28</v>
      </c>
    </row>
    <row r="6" spans="1:17" x14ac:dyDescent="0.25">
      <c r="A6" s="74" t="s">
        <v>40</v>
      </c>
      <c r="B6" s="32">
        <v>69409.78</v>
      </c>
      <c r="C6" s="32">
        <v>82384.070000000007</v>
      </c>
      <c r="D6" s="84">
        <v>3272.8424</v>
      </c>
      <c r="E6" s="84">
        <v>3347.2646</v>
      </c>
      <c r="F6" s="84">
        <v>3714.9088000000002</v>
      </c>
      <c r="G6" s="84">
        <v>3832.1754000000001</v>
      </c>
      <c r="H6" s="45">
        <v>3542.22</v>
      </c>
      <c r="I6" s="46">
        <v>85926.290000000008</v>
      </c>
      <c r="J6" s="32">
        <v>72439.61</v>
      </c>
      <c r="K6" s="32">
        <v>85980.24</v>
      </c>
      <c r="L6" s="84">
        <v>3272.8424</v>
      </c>
      <c r="M6" s="84">
        <v>3347.2646</v>
      </c>
      <c r="N6" s="84">
        <v>3714.9088000000002</v>
      </c>
      <c r="O6" s="84">
        <v>3832.1754000000001</v>
      </c>
      <c r="P6" s="45">
        <v>3542.22</v>
      </c>
      <c r="Q6" s="46">
        <v>89522.46</v>
      </c>
    </row>
    <row r="7" spans="1:17" x14ac:dyDescent="0.25">
      <c r="A7" s="74" t="s">
        <v>41</v>
      </c>
      <c r="B7" s="32">
        <v>84890.4</v>
      </c>
      <c r="C7" s="32">
        <v>100758.36</v>
      </c>
      <c r="D7" s="84">
        <v>3855.8836000000001</v>
      </c>
      <c r="E7" s="84">
        <v>3896.5019000000002</v>
      </c>
      <c r="F7" s="84">
        <v>4403.3032000000003</v>
      </c>
      <c r="G7" s="84">
        <v>4494.1580999999996</v>
      </c>
      <c r="H7" s="45">
        <v>4161.83</v>
      </c>
      <c r="I7" s="46">
        <v>104920.19</v>
      </c>
      <c r="J7" s="32">
        <v>89464.76</v>
      </c>
      <c r="K7" s="32">
        <v>106187.78</v>
      </c>
      <c r="L7" s="84">
        <v>3855.8836000000001</v>
      </c>
      <c r="M7" s="84">
        <v>3896.5019000000002</v>
      </c>
      <c r="N7" s="84">
        <v>4403.3032000000003</v>
      </c>
      <c r="O7" s="84">
        <v>4494.1580999999996</v>
      </c>
      <c r="P7" s="45">
        <v>4161.83</v>
      </c>
      <c r="Q7" s="46">
        <v>110349.61</v>
      </c>
    </row>
    <row r="8" spans="1:17" x14ac:dyDescent="0.25">
      <c r="A8" s="74" t="s">
        <v>42</v>
      </c>
      <c r="B8" s="32">
        <v>94570.65</v>
      </c>
      <c r="C8" s="32">
        <v>112248.08</v>
      </c>
      <c r="D8" s="84">
        <v>3795.3879999999999</v>
      </c>
      <c r="E8" s="84">
        <v>3885.5770000000002</v>
      </c>
      <c r="F8" s="84">
        <v>4337.6559999999999</v>
      </c>
      <c r="G8" s="84">
        <v>4457.223</v>
      </c>
      <c r="H8" s="45">
        <v>4118.8999999999996</v>
      </c>
      <c r="I8" s="46">
        <v>116366.98</v>
      </c>
      <c r="J8" s="32">
        <v>100556.09</v>
      </c>
      <c r="K8" s="32">
        <v>119352.34</v>
      </c>
      <c r="L8" s="84">
        <v>3795.3879999999999</v>
      </c>
      <c r="M8" s="84">
        <v>3885.5770000000002</v>
      </c>
      <c r="N8" s="84">
        <v>4337.6559999999999</v>
      </c>
      <c r="O8" s="84">
        <v>4457.223</v>
      </c>
      <c r="P8" s="45">
        <v>4118.8999999999996</v>
      </c>
      <c r="Q8" s="46">
        <v>123471.23999999999</v>
      </c>
    </row>
    <row r="9" spans="1:17" x14ac:dyDescent="0.25">
      <c r="A9" s="74" t="s">
        <v>43</v>
      </c>
      <c r="B9" s="32">
        <v>80239.820000000007</v>
      </c>
      <c r="C9" s="32">
        <v>98686.62</v>
      </c>
      <c r="D9" s="84">
        <v>4532.9708000000001</v>
      </c>
      <c r="E9" s="84">
        <v>4583.0357000000004</v>
      </c>
      <c r="F9" s="84">
        <v>5170.7496000000001</v>
      </c>
      <c r="G9" s="84">
        <v>5335.9443000000001</v>
      </c>
      <c r="H9" s="45">
        <v>4906.49</v>
      </c>
      <c r="I9" s="46">
        <v>103593.11</v>
      </c>
      <c r="J9" s="32">
        <v>84986.559999999998</v>
      </c>
      <c r="K9" s="32">
        <v>104321.85</v>
      </c>
      <c r="L9" s="84">
        <v>4532.9708000000001</v>
      </c>
      <c r="M9" s="84">
        <v>4583.0357000000004</v>
      </c>
      <c r="N9" s="84">
        <v>5170.7496000000001</v>
      </c>
      <c r="O9" s="84">
        <v>5335.9443000000001</v>
      </c>
      <c r="P9" s="45">
        <v>4906.49</v>
      </c>
      <c r="Q9" s="46">
        <v>109228.34000000001</v>
      </c>
    </row>
    <row r="10" spans="1:17" x14ac:dyDescent="0.25">
      <c r="A10" s="74" t="s">
        <v>44</v>
      </c>
      <c r="B10" s="32">
        <v>79878.64</v>
      </c>
      <c r="C10" s="32">
        <v>99194.04</v>
      </c>
      <c r="D10" s="84">
        <v>5055.8307999999997</v>
      </c>
      <c r="E10" s="84">
        <v>5150.3507</v>
      </c>
      <c r="F10" s="84">
        <v>5746.0695999999998</v>
      </c>
      <c r="G10" s="84">
        <v>5857.6292999999996</v>
      </c>
      <c r="H10" s="45">
        <v>5451.99</v>
      </c>
      <c r="I10" s="46">
        <v>104646.03</v>
      </c>
      <c r="J10" s="32">
        <v>80925.17</v>
      </c>
      <c r="K10" s="32">
        <v>99864.16</v>
      </c>
      <c r="L10" s="84">
        <v>5055.8307999999997</v>
      </c>
      <c r="M10" s="84">
        <v>5150.3507</v>
      </c>
      <c r="N10" s="84">
        <v>5746.0695999999998</v>
      </c>
      <c r="O10" s="84">
        <v>5857.6292999999996</v>
      </c>
      <c r="P10" s="45">
        <v>5451.99</v>
      </c>
      <c r="Q10" s="46">
        <v>105316.15000000001</v>
      </c>
    </row>
    <row r="11" spans="1:17" x14ac:dyDescent="0.25">
      <c r="A11" s="74" t="s">
        <v>45</v>
      </c>
      <c r="B11" s="32">
        <v>148899.6</v>
      </c>
      <c r="C11" s="32">
        <v>184579.27</v>
      </c>
      <c r="D11" s="84">
        <v>5260.1444000000001</v>
      </c>
      <c r="E11" s="84">
        <v>5306.8851000000004</v>
      </c>
      <c r="F11" s="84">
        <v>5955.0328</v>
      </c>
      <c r="G11" s="84">
        <v>6172.2548999999999</v>
      </c>
      <c r="H11" s="45">
        <v>5674.07</v>
      </c>
      <c r="I11" s="46">
        <v>190253.34</v>
      </c>
      <c r="J11" s="32">
        <v>169508.6</v>
      </c>
      <c r="K11" s="32">
        <v>210896.55</v>
      </c>
      <c r="L11" s="84">
        <v>5260.1444000000001</v>
      </c>
      <c r="M11" s="84">
        <v>5306.8851000000004</v>
      </c>
      <c r="N11" s="84">
        <v>5955.0328</v>
      </c>
      <c r="O11" s="84">
        <v>6172.2548999999999</v>
      </c>
      <c r="P11" s="45">
        <v>5674.07</v>
      </c>
      <c r="Q11" s="46">
        <v>216570.62</v>
      </c>
    </row>
    <row r="12" spans="1:17" x14ac:dyDescent="0.25">
      <c r="A12" s="74" t="s">
        <v>46</v>
      </c>
      <c r="B12" s="32">
        <v>132036.75</v>
      </c>
      <c r="C12" s="32">
        <v>161894.69</v>
      </c>
      <c r="D12" s="84">
        <v>5100</v>
      </c>
      <c r="E12" s="84">
        <v>5174</v>
      </c>
      <c r="F12" s="84">
        <v>5790</v>
      </c>
      <c r="G12" s="84">
        <v>5935</v>
      </c>
      <c r="H12" s="45">
        <v>5500</v>
      </c>
      <c r="I12" s="45">
        <v>167394.69</v>
      </c>
      <c r="J12" s="32">
        <v>138564.54</v>
      </c>
      <c r="K12" s="32">
        <v>170815.75</v>
      </c>
      <c r="L12" s="84">
        <v>5100</v>
      </c>
      <c r="M12" s="84">
        <v>5174</v>
      </c>
      <c r="N12" s="84">
        <v>5790</v>
      </c>
      <c r="O12" s="84">
        <v>5935</v>
      </c>
      <c r="P12" s="45">
        <v>5500</v>
      </c>
      <c r="Q12" s="45">
        <v>176315.75</v>
      </c>
    </row>
    <row r="13" spans="1:17" x14ac:dyDescent="0.25">
      <c r="A13" s="74" t="s">
        <v>132</v>
      </c>
    </row>
    <row r="14" spans="1:17" x14ac:dyDescent="0.25">
      <c r="A14" s="74" t="s">
        <v>133</v>
      </c>
    </row>
    <row r="15" spans="1:17" x14ac:dyDescent="0.25">
      <c r="A15" s="74" t="s">
        <v>134</v>
      </c>
    </row>
    <row r="16" spans="1:17" x14ac:dyDescent="0.25">
      <c r="A16" s="74"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C6A48-34FA-43BF-B38A-44818D86D099}">
  <dimension ref="A1:T51"/>
  <sheetViews>
    <sheetView showGridLines="0" topLeftCell="A23" zoomScale="90" workbookViewId="0">
      <selection activeCell="C42" sqref="C42"/>
    </sheetView>
  </sheetViews>
  <sheetFormatPr defaultRowHeight="12.75" x14ac:dyDescent="0.2"/>
  <cols>
    <col min="1" max="1" width="9.140625" style="61"/>
    <col min="2" max="2" width="20.28515625" style="61" bestFit="1" customWidth="1"/>
    <col min="3" max="3" width="29.28515625" style="61" customWidth="1"/>
    <col min="4" max="4" width="17.5703125" style="61" bestFit="1" customWidth="1"/>
    <col min="5" max="5" width="17.5703125" style="61" customWidth="1"/>
    <col min="6" max="6" width="47.140625" style="61" bestFit="1" customWidth="1"/>
    <col min="7" max="7" width="46" style="61" bestFit="1" customWidth="1"/>
    <col min="8" max="8" width="45.7109375" style="61" bestFit="1" customWidth="1"/>
    <col min="9" max="9" width="17.5703125" style="61" bestFit="1" customWidth="1"/>
    <col min="10" max="10" width="49" style="61" bestFit="1" customWidth="1"/>
    <col min="11" max="11" width="46.85546875" style="61" bestFit="1" customWidth="1"/>
    <col min="12" max="12" width="45.7109375" style="61" bestFit="1" customWidth="1"/>
    <col min="13" max="13" width="17" style="61" bestFit="1" customWidth="1"/>
    <col min="14" max="15" width="46.28515625" style="61" bestFit="1" customWidth="1"/>
    <col min="16" max="16" width="44.85546875" style="61" bestFit="1" customWidth="1"/>
    <col min="17" max="17" width="16.42578125" style="61" bestFit="1" customWidth="1"/>
    <col min="18" max="18" width="45.7109375" style="61" bestFit="1" customWidth="1"/>
    <col min="19" max="19" width="45.5703125" style="61" bestFit="1" customWidth="1"/>
    <col min="20" max="20" width="45.140625" style="61" bestFit="1" customWidth="1"/>
    <col min="21" max="16384" width="9.140625" style="61"/>
  </cols>
  <sheetData>
    <row r="1" spans="1:20" x14ac:dyDescent="0.2">
      <c r="A1" s="2"/>
      <c r="B1" s="3" t="s">
        <v>34</v>
      </c>
      <c r="C1" s="3" t="s">
        <v>35</v>
      </c>
      <c r="D1" s="3" t="s">
        <v>166</v>
      </c>
      <c r="E1" s="3"/>
      <c r="F1" s="3" t="s">
        <v>171</v>
      </c>
      <c r="G1" s="3" t="s">
        <v>172</v>
      </c>
      <c r="H1" s="3" t="s">
        <v>173</v>
      </c>
      <c r="I1" s="3" t="s">
        <v>167</v>
      </c>
      <c r="J1" s="3" t="s">
        <v>175</v>
      </c>
      <c r="K1" s="3" t="s">
        <v>174</v>
      </c>
      <c r="L1" s="3" t="s">
        <v>176</v>
      </c>
      <c r="M1" s="3" t="s">
        <v>168</v>
      </c>
      <c r="N1" s="3" t="s">
        <v>177</v>
      </c>
      <c r="O1" s="3" t="s">
        <v>234</v>
      </c>
      <c r="P1" s="3" t="s">
        <v>178</v>
      </c>
      <c r="Q1" s="3" t="s">
        <v>169</v>
      </c>
      <c r="R1" s="3" t="s">
        <v>179</v>
      </c>
      <c r="S1" s="3" t="s">
        <v>233</v>
      </c>
      <c r="T1" s="3" t="s">
        <v>180</v>
      </c>
    </row>
    <row r="2" spans="1:20" x14ac:dyDescent="0.2">
      <c r="A2" s="74" t="s">
        <v>58</v>
      </c>
      <c r="B2" s="45">
        <v>106602.92</v>
      </c>
      <c r="C2" s="45">
        <v>126529.46</v>
      </c>
      <c r="D2" s="45">
        <v>2978.66</v>
      </c>
      <c r="E2" s="46"/>
      <c r="F2" s="156"/>
      <c r="G2" s="45">
        <v>129508.12</v>
      </c>
      <c r="H2" s="159"/>
      <c r="I2" s="45">
        <v>2989.71</v>
      </c>
      <c r="J2" s="156"/>
      <c r="K2" s="45">
        <v>129519.17</v>
      </c>
      <c r="L2" s="159"/>
      <c r="M2" s="45">
        <v>3357.26</v>
      </c>
      <c r="N2" s="156"/>
      <c r="O2" s="45">
        <v>129886.72</v>
      </c>
      <c r="P2" s="159"/>
      <c r="Q2" s="45">
        <v>3495.41</v>
      </c>
      <c r="R2" s="156"/>
      <c r="S2" s="45">
        <v>130024.87</v>
      </c>
      <c r="T2" s="159"/>
    </row>
    <row r="3" spans="1:20" x14ac:dyDescent="0.2">
      <c r="A3" s="74" t="s">
        <v>55</v>
      </c>
      <c r="B3" s="45">
        <v>119056.19</v>
      </c>
      <c r="C3" s="45">
        <v>141310.54</v>
      </c>
      <c r="D3" s="45">
        <v>3375.95</v>
      </c>
      <c r="E3" s="104"/>
      <c r="F3" s="157"/>
      <c r="G3" s="45">
        <v>144686.49</v>
      </c>
      <c r="H3" s="160"/>
      <c r="I3" s="45">
        <v>3394.38</v>
      </c>
      <c r="J3" s="157"/>
      <c r="K3" s="45">
        <v>144704.92000000001</v>
      </c>
      <c r="L3" s="160"/>
      <c r="M3" s="45">
        <v>3818.16</v>
      </c>
      <c r="N3" s="157"/>
      <c r="O3" s="45">
        <v>145128.70000000001</v>
      </c>
      <c r="P3" s="160"/>
      <c r="Q3" s="45">
        <v>3983.46</v>
      </c>
      <c r="R3" s="157"/>
      <c r="S3" s="45">
        <v>145294</v>
      </c>
      <c r="T3" s="160"/>
    </row>
    <row r="4" spans="1:20" x14ac:dyDescent="0.2">
      <c r="A4" s="74" t="s">
        <v>56</v>
      </c>
      <c r="B4" s="45">
        <v>107383.6</v>
      </c>
      <c r="C4" s="45">
        <v>127456.07</v>
      </c>
      <c r="D4" s="45">
        <v>3086.04</v>
      </c>
      <c r="E4" s="104"/>
      <c r="F4" s="157"/>
      <c r="G4" s="45">
        <v>130542.11</v>
      </c>
      <c r="H4" s="160"/>
      <c r="I4" s="45">
        <v>3095.96</v>
      </c>
      <c r="J4" s="157"/>
      <c r="K4" s="45">
        <v>130552.03</v>
      </c>
      <c r="L4" s="160"/>
      <c r="M4" s="45">
        <v>3445</v>
      </c>
      <c r="N4" s="157"/>
      <c r="O4" s="45">
        <v>130901.07</v>
      </c>
      <c r="P4" s="160"/>
      <c r="Q4" s="45">
        <v>3535.74</v>
      </c>
      <c r="R4" s="157"/>
      <c r="S4" s="45">
        <v>130991.81</v>
      </c>
      <c r="T4" s="160"/>
    </row>
    <row r="5" spans="1:20" x14ac:dyDescent="0.2">
      <c r="A5" s="74" t="s">
        <v>57</v>
      </c>
      <c r="B5" s="45">
        <v>70249.64</v>
      </c>
      <c r="C5" s="45">
        <v>83380.92</v>
      </c>
      <c r="D5" s="45">
        <v>3183.15</v>
      </c>
      <c r="E5" s="104"/>
      <c r="F5" s="157"/>
      <c r="G5" s="45">
        <v>86564.07</v>
      </c>
      <c r="H5" s="160"/>
      <c r="I5" s="45">
        <v>3197.18</v>
      </c>
      <c r="J5" s="157"/>
      <c r="K5" s="45">
        <v>86578.1</v>
      </c>
      <c r="L5" s="160"/>
      <c r="M5" s="45">
        <v>3556.56</v>
      </c>
      <c r="N5" s="157"/>
      <c r="O5" s="45">
        <v>86937.48</v>
      </c>
      <c r="P5" s="160"/>
      <c r="Q5" s="45">
        <v>3674.66</v>
      </c>
      <c r="R5" s="157"/>
      <c r="S5" s="45">
        <v>87055.58</v>
      </c>
      <c r="T5" s="160"/>
    </row>
    <row r="6" spans="1:20" x14ac:dyDescent="0.2">
      <c r="A6" s="74" t="s">
        <v>40</v>
      </c>
      <c r="B6" s="32">
        <v>69409.78</v>
      </c>
      <c r="C6" s="32">
        <v>82384.070000000007</v>
      </c>
      <c r="D6" s="32">
        <v>3272.84</v>
      </c>
      <c r="E6" s="133"/>
      <c r="F6" s="157"/>
      <c r="G6" s="32">
        <v>85656.91</v>
      </c>
      <c r="H6" s="160"/>
      <c r="I6" s="32">
        <v>3347.26</v>
      </c>
      <c r="J6" s="157"/>
      <c r="K6" s="32">
        <v>85731.33</v>
      </c>
      <c r="L6" s="160"/>
      <c r="M6" s="32">
        <v>3714.91</v>
      </c>
      <c r="N6" s="157"/>
      <c r="O6" s="32">
        <v>86098.98</v>
      </c>
      <c r="P6" s="160"/>
      <c r="Q6" s="32">
        <v>3832.18</v>
      </c>
      <c r="R6" s="157"/>
      <c r="S6" s="32">
        <v>86216.25</v>
      </c>
      <c r="T6" s="160"/>
    </row>
    <row r="7" spans="1:20" x14ac:dyDescent="0.2">
      <c r="A7" s="74" t="s">
        <v>41</v>
      </c>
      <c r="B7" s="32">
        <v>84890.4</v>
      </c>
      <c r="C7" s="32">
        <v>100758.36</v>
      </c>
      <c r="D7" s="32">
        <v>3855.88</v>
      </c>
      <c r="E7" s="133"/>
      <c r="F7" s="157"/>
      <c r="G7" s="32">
        <v>104614.24</v>
      </c>
      <c r="H7" s="160"/>
      <c r="I7" s="32">
        <v>3896.5</v>
      </c>
      <c r="J7" s="157"/>
      <c r="K7" s="32">
        <v>104654.86</v>
      </c>
      <c r="L7" s="160"/>
      <c r="M7" s="32">
        <v>4403.3</v>
      </c>
      <c r="N7" s="157"/>
      <c r="O7" s="32">
        <v>105161.66</v>
      </c>
      <c r="P7" s="160"/>
      <c r="Q7" s="32">
        <v>4494.16</v>
      </c>
      <c r="R7" s="157"/>
      <c r="S7" s="32">
        <v>105252.52</v>
      </c>
      <c r="T7" s="160"/>
    </row>
    <row r="8" spans="1:20" x14ac:dyDescent="0.2">
      <c r="A8" s="74" t="s">
        <v>42</v>
      </c>
      <c r="B8" s="32">
        <v>94570.65</v>
      </c>
      <c r="C8" s="32">
        <v>112248.08</v>
      </c>
      <c r="D8" s="32">
        <v>3795.39</v>
      </c>
      <c r="E8" s="133"/>
      <c r="F8" s="157"/>
      <c r="G8" s="32">
        <v>116043.47</v>
      </c>
      <c r="H8" s="160"/>
      <c r="I8" s="32">
        <v>3885.58</v>
      </c>
      <c r="J8" s="157"/>
      <c r="K8" s="32">
        <v>116133.66</v>
      </c>
      <c r="L8" s="160"/>
      <c r="M8" s="32">
        <v>4337.66</v>
      </c>
      <c r="N8" s="157"/>
      <c r="O8" s="32">
        <v>116585.74</v>
      </c>
      <c r="P8" s="160"/>
      <c r="Q8" s="32">
        <v>4457.22</v>
      </c>
      <c r="R8" s="157"/>
      <c r="S8" s="32">
        <v>116705.3</v>
      </c>
      <c r="T8" s="160"/>
    </row>
    <row r="9" spans="1:20" x14ac:dyDescent="0.2">
      <c r="A9" s="74" t="s">
        <v>43</v>
      </c>
      <c r="B9" s="32">
        <v>80239.820000000007</v>
      </c>
      <c r="C9" s="32">
        <v>98686.62</v>
      </c>
      <c r="D9" s="32">
        <v>4532.97</v>
      </c>
      <c r="E9" s="133"/>
      <c r="F9" s="157"/>
      <c r="G9" s="32">
        <v>103219.59</v>
      </c>
      <c r="H9" s="160"/>
      <c r="I9" s="32">
        <v>4583.04</v>
      </c>
      <c r="J9" s="157"/>
      <c r="K9" s="32">
        <v>103269.66</v>
      </c>
      <c r="L9" s="160"/>
      <c r="M9" s="32">
        <v>5170.75</v>
      </c>
      <c r="N9" s="157"/>
      <c r="O9" s="32">
        <v>103857.37</v>
      </c>
      <c r="P9" s="160"/>
      <c r="Q9" s="32">
        <v>5335.94</v>
      </c>
      <c r="R9" s="157"/>
      <c r="S9" s="32">
        <v>104022.56</v>
      </c>
      <c r="T9" s="160"/>
    </row>
    <row r="10" spans="1:20" x14ac:dyDescent="0.2">
      <c r="A10" s="74" t="s">
        <v>44</v>
      </c>
      <c r="B10" s="32">
        <v>79878.64</v>
      </c>
      <c r="C10" s="32">
        <v>99194.04</v>
      </c>
      <c r="D10" s="32">
        <v>5055.83</v>
      </c>
      <c r="E10" s="133"/>
      <c r="F10" s="157"/>
      <c r="G10" s="32">
        <v>104249.87</v>
      </c>
      <c r="H10" s="160"/>
      <c r="I10" s="32">
        <v>5150.3500000000004</v>
      </c>
      <c r="J10" s="157"/>
      <c r="K10" s="32">
        <v>104344.39</v>
      </c>
      <c r="L10" s="160"/>
      <c r="M10" s="32">
        <v>5746.07</v>
      </c>
      <c r="N10" s="157"/>
      <c r="O10" s="32">
        <v>104940.11</v>
      </c>
      <c r="P10" s="160"/>
      <c r="Q10" s="32">
        <v>5857.63</v>
      </c>
      <c r="R10" s="157"/>
      <c r="S10" s="32">
        <v>105051.67</v>
      </c>
      <c r="T10" s="160"/>
    </row>
    <row r="11" spans="1:20" x14ac:dyDescent="0.2">
      <c r="A11" s="74" t="s">
        <v>45</v>
      </c>
      <c r="B11" s="32">
        <v>148899.6</v>
      </c>
      <c r="C11" s="32">
        <v>184579.27</v>
      </c>
      <c r="D11" s="32">
        <v>5260.14</v>
      </c>
      <c r="E11" s="133"/>
      <c r="F11" s="157"/>
      <c r="G11" s="32">
        <v>189839.41</v>
      </c>
      <c r="H11" s="160"/>
      <c r="I11" s="32">
        <v>5306.89</v>
      </c>
      <c r="J11" s="157"/>
      <c r="K11" s="32">
        <v>189886.16</v>
      </c>
      <c r="L11" s="160"/>
      <c r="M11" s="32">
        <v>5955.03</v>
      </c>
      <c r="N11" s="157"/>
      <c r="O11" s="32">
        <v>190534.3</v>
      </c>
      <c r="P11" s="160"/>
      <c r="Q11" s="32">
        <v>6172.25</v>
      </c>
      <c r="R11" s="157"/>
      <c r="S11" s="32">
        <v>190751.52</v>
      </c>
      <c r="T11" s="160"/>
    </row>
    <row r="12" spans="1:20" x14ac:dyDescent="0.2">
      <c r="A12" s="74" t="s">
        <v>46</v>
      </c>
      <c r="B12" s="32">
        <v>132036.75</v>
      </c>
      <c r="C12" s="32">
        <v>161894.69</v>
      </c>
      <c r="D12" s="32">
        <v>5100</v>
      </c>
      <c r="E12" s="134"/>
      <c r="F12" s="158"/>
      <c r="G12" s="32">
        <v>166994.69</v>
      </c>
      <c r="H12" s="161"/>
      <c r="I12" s="32">
        <v>5174</v>
      </c>
      <c r="J12" s="158"/>
      <c r="K12" s="32">
        <v>167068.69</v>
      </c>
      <c r="L12" s="161"/>
      <c r="M12" s="32">
        <v>5790</v>
      </c>
      <c r="N12" s="158"/>
      <c r="O12" s="32">
        <v>167684.69</v>
      </c>
      <c r="P12" s="161"/>
      <c r="Q12" s="32">
        <v>5935</v>
      </c>
      <c r="R12" s="158"/>
      <c r="S12" s="32">
        <v>167829.69</v>
      </c>
      <c r="T12" s="161"/>
    </row>
    <row r="13" spans="1:20" x14ac:dyDescent="0.2">
      <c r="A13" s="74" t="s">
        <v>132</v>
      </c>
      <c r="B13" s="32">
        <v>163756.04</v>
      </c>
      <c r="C13" s="32">
        <v>200786.77</v>
      </c>
      <c r="D13" s="32">
        <v>5886.93</v>
      </c>
      <c r="E13" s="32"/>
      <c r="F13" s="89">
        <v>197745.4</v>
      </c>
      <c r="G13" s="32">
        <v>206673.7</v>
      </c>
      <c r="H13" s="88">
        <v>217276.06</v>
      </c>
      <c r="I13" s="32">
        <v>6024.09</v>
      </c>
      <c r="J13" s="89">
        <v>196222.14</v>
      </c>
      <c r="K13" s="32">
        <v>206810.86</v>
      </c>
      <c r="L13" s="88">
        <v>217172.08</v>
      </c>
      <c r="M13" s="32">
        <v>6567.6</v>
      </c>
      <c r="N13" s="89">
        <v>196945.18</v>
      </c>
      <c r="O13" s="32">
        <v>207354.37</v>
      </c>
      <c r="P13" s="88">
        <v>217887.97</v>
      </c>
      <c r="Q13" s="32">
        <v>6815.75</v>
      </c>
      <c r="R13" s="89">
        <v>197180.88</v>
      </c>
      <c r="S13" s="32">
        <v>207602.53</v>
      </c>
      <c r="T13" s="88">
        <v>218148.74</v>
      </c>
    </row>
    <row r="14" spans="1:20" x14ac:dyDescent="0.2">
      <c r="A14" s="74" t="s">
        <v>133</v>
      </c>
      <c r="B14" s="32">
        <v>196377.22</v>
      </c>
      <c r="C14" s="32">
        <v>240784.7</v>
      </c>
      <c r="D14" s="32">
        <v>6670.48</v>
      </c>
      <c r="E14" s="32"/>
      <c r="F14" s="89">
        <v>235527.84</v>
      </c>
      <c r="G14" s="32">
        <v>247455.18</v>
      </c>
      <c r="H14" s="88">
        <v>261758.09</v>
      </c>
      <c r="I14" s="32">
        <v>6869.27</v>
      </c>
      <c r="J14" s="89">
        <v>234404.47</v>
      </c>
      <c r="K14" s="32">
        <v>247653.96</v>
      </c>
      <c r="L14" s="88">
        <v>260655.79</v>
      </c>
      <c r="M14" s="32">
        <v>7535.66</v>
      </c>
      <c r="N14" s="89">
        <v>235333.21</v>
      </c>
      <c r="O14" s="32">
        <v>248320.36</v>
      </c>
      <c r="P14" s="88">
        <v>261257.85</v>
      </c>
      <c r="Q14" s="32">
        <v>7865.38</v>
      </c>
      <c r="R14" s="89">
        <v>235645.68</v>
      </c>
      <c r="S14" s="32">
        <v>248650.08</v>
      </c>
      <c r="T14" s="88">
        <v>261604.75</v>
      </c>
    </row>
    <row r="15" spans="1:20" x14ac:dyDescent="0.2">
      <c r="A15" s="74" t="s">
        <v>134</v>
      </c>
      <c r="B15" s="32">
        <v>227655.02</v>
      </c>
      <c r="C15" s="32">
        <v>279135.46000000002</v>
      </c>
      <c r="D15" s="32">
        <v>7472.94</v>
      </c>
      <c r="E15" s="32"/>
      <c r="F15" s="89">
        <v>272220.65000000002</v>
      </c>
      <c r="G15" s="32">
        <v>286608.39</v>
      </c>
      <c r="H15" s="88">
        <v>303862.21999999997</v>
      </c>
      <c r="I15" s="32">
        <v>7743.73</v>
      </c>
      <c r="J15" s="89">
        <v>270584.44</v>
      </c>
      <c r="K15" s="32">
        <v>286879.18</v>
      </c>
      <c r="L15" s="88">
        <v>302255.90000000002</v>
      </c>
      <c r="M15" s="32">
        <v>8537.9</v>
      </c>
      <c r="N15" s="89">
        <v>271736.26</v>
      </c>
      <c r="O15" s="32">
        <v>287673.36</v>
      </c>
      <c r="P15" s="88">
        <v>303380.33</v>
      </c>
      <c r="Q15" s="32">
        <v>8961.81</v>
      </c>
      <c r="R15" s="89">
        <v>272136.68</v>
      </c>
      <c r="S15" s="32">
        <v>288097.27</v>
      </c>
      <c r="T15" s="88">
        <v>303827.38</v>
      </c>
    </row>
    <row r="16" spans="1:20" x14ac:dyDescent="0.2">
      <c r="A16" s="74" t="s">
        <v>135</v>
      </c>
      <c r="B16" s="32">
        <v>257570.76</v>
      </c>
      <c r="C16" s="32">
        <v>315816.15000000002</v>
      </c>
      <c r="D16" s="32">
        <v>8351.76</v>
      </c>
      <c r="E16" s="32"/>
      <c r="F16" s="89">
        <v>307505.67</v>
      </c>
      <c r="G16" s="32">
        <v>324167.90000000002</v>
      </c>
      <c r="H16" s="88">
        <v>344039.39</v>
      </c>
      <c r="I16" s="32">
        <v>8631.93</v>
      </c>
      <c r="J16" s="89">
        <v>305792.32</v>
      </c>
      <c r="K16" s="32">
        <v>324448.08</v>
      </c>
      <c r="L16" s="88">
        <v>343363.4</v>
      </c>
      <c r="M16" s="32">
        <v>9525.74</v>
      </c>
      <c r="N16" s="89">
        <v>306960.07</v>
      </c>
      <c r="O16" s="32">
        <v>325341.89</v>
      </c>
      <c r="P16" s="88">
        <v>343983.98</v>
      </c>
      <c r="Q16" s="32">
        <v>10097.280000000001</v>
      </c>
      <c r="R16" s="89">
        <v>307499.31</v>
      </c>
      <c r="S16" s="32">
        <v>325913.42</v>
      </c>
      <c r="T16" s="88">
        <v>344588.26</v>
      </c>
    </row>
    <row r="17" spans="1:20" x14ac:dyDescent="0.2">
      <c r="A17" s="74" t="s">
        <v>170</v>
      </c>
      <c r="B17" s="32">
        <v>281601.81</v>
      </c>
      <c r="C17" s="32">
        <v>345281.43</v>
      </c>
      <c r="D17" s="32">
        <v>9232.0300000000007</v>
      </c>
      <c r="E17" s="32"/>
      <c r="F17" s="89">
        <v>334873.40999999997</v>
      </c>
      <c r="G17" s="32">
        <v>354513.46</v>
      </c>
      <c r="H17" s="88">
        <v>377202.32</v>
      </c>
      <c r="I17" s="32">
        <v>9496.85</v>
      </c>
      <c r="J17" s="89">
        <v>333775.40999999997</v>
      </c>
      <c r="K17" s="32">
        <v>354778.28</v>
      </c>
      <c r="L17" s="88">
        <v>375852.11</v>
      </c>
      <c r="M17" s="32">
        <v>10384.959999999999</v>
      </c>
      <c r="N17" s="89">
        <v>334717.64</v>
      </c>
      <c r="O17" s="32">
        <v>355666.39</v>
      </c>
      <c r="P17" s="88">
        <v>376650.71</v>
      </c>
      <c r="Q17" s="32">
        <v>11210</v>
      </c>
      <c r="R17" s="89">
        <v>335494.08</v>
      </c>
      <c r="S17" s="32">
        <v>356491.42</v>
      </c>
      <c r="T17" s="88">
        <v>377524.41</v>
      </c>
    </row>
    <row r="18" spans="1:20" x14ac:dyDescent="0.2">
      <c r="B18" s="86"/>
      <c r="F18" s="87"/>
      <c r="G18" s="87"/>
      <c r="H18" s="87"/>
    </row>
    <row r="19" spans="1:20" x14ac:dyDescent="0.2">
      <c r="A19" s="2"/>
      <c r="B19" s="3" t="s">
        <v>37</v>
      </c>
      <c r="C19" s="3" t="s">
        <v>38</v>
      </c>
      <c r="D19" s="3" t="s">
        <v>166</v>
      </c>
      <c r="E19" s="3"/>
      <c r="F19" s="3" t="s">
        <v>181</v>
      </c>
      <c r="G19" s="3" t="s">
        <v>229</v>
      </c>
      <c r="H19" s="3" t="s">
        <v>182</v>
      </c>
      <c r="I19" s="3" t="s">
        <v>167</v>
      </c>
      <c r="J19" s="3" t="s">
        <v>183</v>
      </c>
      <c r="K19" s="3" t="s">
        <v>230</v>
      </c>
      <c r="L19" s="3" t="s">
        <v>184</v>
      </c>
      <c r="M19" s="3" t="s">
        <v>168</v>
      </c>
      <c r="N19" s="3" t="s">
        <v>185</v>
      </c>
      <c r="O19" s="3" t="s">
        <v>231</v>
      </c>
      <c r="P19" s="3" t="s">
        <v>186</v>
      </c>
      <c r="Q19" s="3" t="s">
        <v>169</v>
      </c>
      <c r="R19" s="3" t="s">
        <v>187</v>
      </c>
      <c r="S19" s="3" t="s">
        <v>232</v>
      </c>
      <c r="T19" s="3" t="s">
        <v>188</v>
      </c>
    </row>
    <row r="20" spans="1:20" x14ac:dyDescent="0.2">
      <c r="A20" s="74" t="s">
        <v>58</v>
      </c>
      <c r="B20" s="45">
        <v>111800.26</v>
      </c>
      <c r="C20" s="45">
        <v>132698.29999999999</v>
      </c>
      <c r="D20" s="45">
        <v>2978.66</v>
      </c>
      <c r="E20" s="46"/>
      <c r="F20" s="156"/>
      <c r="G20" s="45">
        <v>135676.96</v>
      </c>
      <c r="H20" s="159"/>
      <c r="I20" s="45">
        <v>2989.71</v>
      </c>
      <c r="J20" s="156"/>
      <c r="K20" s="45">
        <v>135688.01</v>
      </c>
      <c r="L20" s="159"/>
      <c r="M20" s="45">
        <v>3357.26</v>
      </c>
      <c r="N20" s="156"/>
      <c r="O20" s="45">
        <v>136055.56</v>
      </c>
      <c r="P20" s="159"/>
      <c r="Q20" s="45">
        <v>3495.41</v>
      </c>
      <c r="R20" s="156"/>
      <c r="S20" s="45">
        <v>136193.71</v>
      </c>
      <c r="T20" s="159"/>
    </row>
    <row r="21" spans="1:20" x14ac:dyDescent="0.2">
      <c r="A21" s="74" t="s">
        <v>55</v>
      </c>
      <c r="B21" s="45">
        <v>125533.64</v>
      </c>
      <c r="C21" s="45">
        <v>148998.76999999999</v>
      </c>
      <c r="D21" s="45">
        <v>3375.95</v>
      </c>
      <c r="E21" s="104"/>
      <c r="F21" s="157"/>
      <c r="G21" s="45">
        <v>152374.72</v>
      </c>
      <c r="H21" s="160"/>
      <c r="I21" s="45">
        <v>3394.38</v>
      </c>
      <c r="J21" s="157"/>
      <c r="K21" s="45">
        <v>152393.15</v>
      </c>
      <c r="L21" s="160"/>
      <c r="M21" s="45">
        <v>3818.16</v>
      </c>
      <c r="N21" s="157"/>
      <c r="O21" s="45">
        <v>152816.93</v>
      </c>
      <c r="P21" s="160"/>
      <c r="Q21" s="45">
        <v>3983.46</v>
      </c>
      <c r="R21" s="157"/>
      <c r="S21" s="45">
        <v>152982.23000000001</v>
      </c>
      <c r="T21" s="160"/>
    </row>
    <row r="22" spans="1:20" x14ac:dyDescent="0.2">
      <c r="A22" s="74" t="s">
        <v>56</v>
      </c>
      <c r="B22" s="45">
        <v>112748.02</v>
      </c>
      <c r="C22" s="45">
        <v>133823.22</v>
      </c>
      <c r="D22" s="45">
        <v>3086.04</v>
      </c>
      <c r="E22" s="104"/>
      <c r="F22" s="157"/>
      <c r="G22" s="45">
        <v>136909.26</v>
      </c>
      <c r="H22" s="160"/>
      <c r="I22" s="45">
        <v>3095.96</v>
      </c>
      <c r="J22" s="157"/>
      <c r="K22" s="45">
        <v>136919.18</v>
      </c>
      <c r="L22" s="160"/>
      <c r="M22" s="45">
        <v>3445</v>
      </c>
      <c r="N22" s="157"/>
      <c r="O22" s="45">
        <v>137268.22</v>
      </c>
      <c r="P22" s="160"/>
      <c r="Q22" s="45">
        <v>3535.74</v>
      </c>
      <c r="R22" s="157"/>
      <c r="S22" s="45">
        <v>137358.96</v>
      </c>
      <c r="T22" s="160"/>
    </row>
    <row r="23" spans="1:20" x14ac:dyDescent="0.2">
      <c r="A23" s="74" t="s">
        <v>57</v>
      </c>
      <c r="B23" s="45">
        <v>73113.3</v>
      </c>
      <c r="C23" s="45">
        <v>86779.86</v>
      </c>
      <c r="D23" s="45">
        <v>3183.15</v>
      </c>
      <c r="E23" s="104"/>
      <c r="F23" s="157"/>
      <c r="G23" s="45">
        <v>89963.01</v>
      </c>
      <c r="H23" s="160"/>
      <c r="I23" s="45">
        <v>3197.18</v>
      </c>
      <c r="J23" s="157"/>
      <c r="K23" s="45">
        <v>89977.04</v>
      </c>
      <c r="L23" s="160"/>
      <c r="M23" s="45">
        <v>3556.56</v>
      </c>
      <c r="N23" s="157"/>
      <c r="O23" s="45">
        <v>90336.42</v>
      </c>
      <c r="P23" s="160"/>
      <c r="Q23" s="45">
        <v>3674.66</v>
      </c>
      <c r="R23" s="157"/>
      <c r="S23" s="45">
        <v>90454.52</v>
      </c>
      <c r="T23" s="160"/>
    </row>
    <row r="24" spans="1:20" x14ac:dyDescent="0.2">
      <c r="A24" s="74" t="s">
        <v>40</v>
      </c>
      <c r="B24" s="32">
        <v>72439.61</v>
      </c>
      <c r="C24" s="32">
        <v>85980.24</v>
      </c>
      <c r="D24" s="32">
        <v>3272.84</v>
      </c>
      <c r="E24" s="133"/>
      <c r="F24" s="157"/>
      <c r="G24" s="32">
        <v>89253.08</v>
      </c>
      <c r="H24" s="160"/>
      <c r="I24" s="32">
        <v>3347.26</v>
      </c>
      <c r="J24" s="157"/>
      <c r="K24" s="32">
        <v>89327.5</v>
      </c>
      <c r="L24" s="160"/>
      <c r="M24" s="32">
        <v>3714.91</v>
      </c>
      <c r="N24" s="157"/>
      <c r="O24" s="32">
        <v>89695.15</v>
      </c>
      <c r="P24" s="160"/>
      <c r="Q24" s="32">
        <v>3832.18</v>
      </c>
      <c r="R24" s="157"/>
      <c r="S24" s="32">
        <v>89812.42</v>
      </c>
      <c r="T24" s="160"/>
    </row>
    <row r="25" spans="1:20" x14ac:dyDescent="0.2">
      <c r="A25" s="74" t="s">
        <v>41</v>
      </c>
      <c r="B25" s="32">
        <v>89464.76</v>
      </c>
      <c r="C25" s="32">
        <v>106187.78</v>
      </c>
      <c r="D25" s="32">
        <v>3855.88</v>
      </c>
      <c r="E25" s="133"/>
      <c r="F25" s="157"/>
      <c r="G25" s="32">
        <v>110043.66</v>
      </c>
      <c r="H25" s="160"/>
      <c r="I25" s="32">
        <v>3896.5</v>
      </c>
      <c r="J25" s="157"/>
      <c r="K25" s="32">
        <v>110084.28</v>
      </c>
      <c r="L25" s="160"/>
      <c r="M25" s="32">
        <v>4403.3</v>
      </c>
      <c r="N25" s="157"/>
      <c r="O25" s="32">
        <v>110591.08</v>
      </c>
      <c r="P25" s="160"/>
      <c r="Q25" s="32">
        <v>4494.16</v>
      </c>
      <c r="R25" s="157"/>
      <c r="S25" s="32">
        <v>110681.94</v>
      </c>
      <c r="T25" s="160"/>
    </row>
    <row r="26" spans="1:20" x14ac:dyDescent="0.2">
      <c r="A26" s="74" t="s">
        <v>42</v>
      </c>
      <c r="B26" s="32">
        <v>100556.09</v>
      </c>
      <c r="C26" s="32">
        <v>119352.34</v>
      </c>
      <c r="D26" s="32">
        <v>3795.39</v>
      </c>
      <c r="E26" s="133"/>
      <c r="F26" s="157"/>
      <c r="G26" s="32">
        <v>123147.73</v>
      </c>
      <c r="H26" s="160"/>
      <c r="I26" s="32">
        <v>3885.58</v>
      </c>
      <c r="J26" s="157"/>
      <c r="K26" s="32">
        <v>123237.92</v>
      </c>
      <c r="L26" s="160"/>
      <c r="M26" s="32">
        <v>4337.66</v>
      </c>
      <c r="N26" s="157"/>
      <c r="O26" s="32">
        <v>123690</v>
      </c>
      <c r="P26" s="160"/>
      <c r="Q26" s="32">
        <v>4457.22</v>
      </c>
      <c r="R26" s="157"/>
      <c r="S26" s="32">
        <v>123809.56</v>
      </c>
      <c r="T26" s="160"/>
    </row>
    <row r="27" spans="1:20" x14ac:dyDescent="0.2">
      <c r="A27" s="74" t="s">
        <v>43</v>
      </c>
      <c r="B27" s="32">
        <v>84986.559999999998</v>
      </c>
      <c r="C27" s="32">
        <v>104321.85</v>
      </c>
      <c r="D27" s="32">
        <v>4532.97</v>
      </c>
      <c r="E27" s="133"/>
      <c r="F27" s="157"/>
      <c r="G27" s="32">
        <v>108854.82</v>
      </c>
      <c r="H27" s="160"/>
      <c r="I27" s="32">
        <v>4583.04</v>
      </c>
      <c r="J27" s="157"/>
      <c r="K27" s="32">
        <v>108904.89</v>
      </c>
      <c r="L27" s="160"/>
      <c r="M27" s="32">
        <v>5170.75</v>
      </c>
      <c r="N27" s="157"/>
      <c r="O27" s="32">
        <v>109492.6</v>
      </c>
      <c r="P27" s="160"/>
      <c r="Q27" s="32">
        <v>5335.94</v>
      </c>
      <c r="R27" s="157"/>
      <c r="S27" s="32">
        <v>109657.79</v>
      </c>
      <c r="T27" s="160"/>
    </row>
    <row r="28" spans="1:20" x14ac:dyDescent="0.2">
      <c r="A28" s="74" t="s">
        <v>44</v>
      </c>
      <c r="B28" s="32">
        <v>80925.17</v>
      </c>
      <c r="C28" s="32">
        <v>99864.16</v>
      </c>
      <c r="D28" s="32">
        <v>5055.83</v>
      </c>
      <c r="E28" s="133"/>
      <c r="F28" s="157"/>
      <c r="G28" s="32">
        <v>104919.99</v>
      </c>
      <c r="H28" s="160"/>
      <c r="I28" s="32">
        <v>5150.3500000000004</v>
      </c>
      <c r="J28" s="157"/>
      <c r="K28" s="32">
        <v>105014.51</v>
      </c>
      <c r="L28" s="160"/>
      <c r="M28" s="32">
        <v>5746.07</v>
      </c>
      <c r="N28" s="157"/>
      <c r="O28" s="32">
        <v>105610.23</v>
      </c>
      <c r="P28" s="160"/>
      <c r="Q28" s="32">
        <v>5857.63</v>
      </c>
      <c r="R28" s="157"/>
      <c r="S28" s="32">
        <v>105721.79</v>
      </c>
      <c r="T28" s="160"/>
    </row>
    <row r="29" spans="1:20" x14ac:dyDescent="0.2">
      <c r="A29" s="74" t="s">
        <v>45</v>
      </c>
      <c r="B29" s="32">
        <v>169508.6</v>
      </c>
      <c r="C29" s="32">
        <v>210896.55</v>
      </c>
      <c r="D29" s="32">
        <v>5260.14</v>
      </c>
      <c r="E29" s="133"/>
      <c r="F29" s="157"/>
      <c r="G29" s="32">
        <v>216156.69</v>
      </c>
      <c r="H29" s="160"/>
      <c r="I29" s="32">
        <v>5306.89</v>
      </c>
      <c r="J29" s="157"/>
      <c r="K29" s="32">
        <v>216203.44</v>
      </c>
      <c r="L29" s="160"/>
      <c r="M29" s="32">
        <v>5955.03</v>
      </c>
      <c r="N29" s="157"/>
      <c r="O29" s="32">
        <v>216851.58</v>
      </c>
      <c r="P29" s="160"/>
      <c r="Q29" s="32">
        <v>6172.25</v>
      </c>
      <c r="R29" s="157"/>
      <c r="S29" s="32">
        <v>217068.79999999999</v>
      </c>
      <c r="T29" s="160"/>
    </row>
    <row r="30" spans="1:20" x14ac:dyDescent="0.2">
      <c r="A30" s="74" t="s">
        <v>46</v>
      </c>
      <c r="B30" s="32">
        <v>138564.54</v>
      </c>
      <c r="C30" s="32">
        <v>170815.75</v>
      </c>
      <c r="D30" s="32">
        <v>5100</v>
      </c>
      <c r="E30" s="134"/>
      <c r="F30" s="158"/>
      <c r="G30" s="32">
        <v>175915.75</v>
      </c>
      <c r="H30" s="161"/>
      <c r="I30" s="32">
        <v>5174</v>
      </c>
      <c r="J30" s="158"/>
      <c r="K30" s="32">
        <v>175989.75</v>
      </c>
      <c r="L30" s="161"/>
      <c r="M30" s="32">
        <v>5790</v>
      </c>
      <c r="N30" s="158"/>
      <c r="O30" s="32">
        <v>176605.75</v>
      </c>
      <c r="P30" s="161"/>
      <c r="Q30" s="32">
        <v>5935</v>
      </c>
      <c r="R30" s="158"/>
      <c r="S30" s="32">
        <v>176750.75</v>
      </c>
      <c r="T30" s="161"/>
    </row>
    <row r="31" spans="1:20" x14ac:dyDescent="0.2">
      <c r="A31" s="74" t="s">
        <v>132</v>
      </c>
      <c r="B31" s="32">
        <v>169397.01</v>
      </c>
      <c r="C31" s="32">
        <v>208824.55</v>
      </c>
      <c r="D31" s="32">
        <v>5886.93</v>
      </c>
      <c r="E31" s="32"/>
      <c r="F31" s="89">
        <v>205435.94</v>
      </c>
      <c r="G31" s="50">
        <v>214711.48</v>
      </c>
      <c r="H31" s="88">
        <v>225726.18</v>
      </c>
      <c r="I31" s="32">
        <v>6024.09</v>
      </c>
      <c r="J31" s="89">
        <v>203848.39</v>
      </c>
      <c r="K31" s="50">
        <v>214848.64000000001</v>
      </c>
      <c r="L31" s="88">
        <v>225612.56</v>
      </c>
      <c r="M31" s="32">
        <v>6567.6</v>
      </c>
      <c r="N31" s="89">
        <v>204579.46</v>
      </c>
      <c r="O31" s="50">
        <v>215392.15</v>
      </c>
      <c r="P31" s="88">
        <v>226334.07</v>
      </c>
      <c r="Q31" s="32">
        <v>6815.75</v>
      </c>
      <c r="R31" s="89">
        <v>204815.17</v>
      </c>
      <c r="S31" s="50">
        <v>215640.31</v>
      </c>
      <c r="T31" s="88">
        <v>226594.84</v>
      </c>
    </row>
    <row r="32" spans="1:20" x14ac:dyDescent="0.2">
      <c r="A32" s="74" t="s">
        <v>133</v>
      </c>
      <c r="B32" s="32">
        <v>219304.53</v>
      </c>
      <c r="C32" s="32">
        <v>270348.15999999997</v>
      </c>
      <c r="D32" s="32">
        <v>6670.48</v>
      </c>
      <c r="E32" s="32"/>
      <c r="F32" s="89">
        <v>263666.34000000003</v>
      </c>
      <c r="G32" s="50">
        <v>277018.64</v>
      </c>
      <c r="H32" s="88">
        <v>293030.32</v>
      </c>
      <c r="I32" s="32">
        <v>6869.27</v>
      </c>
      <c r="J32" s="89">
        <v>262386.3</v>
      </c>
      <c r="K32" s="50">
        <v>277217.43</v>
      </c>
      <c r="L32" s="88">
        <v>291771.34999999998</v>
      </c>
      <c r="M32" s="32">
        <v>7535.66</v>
      </c>
      <c r="N32" s="89">
        <v>263350.5</v>
      </c>
      <c r="O32" s="50">
        <v>277883.82</v>
      </c>
      <c r="P32" s="88">
        <v>292361.57</v>
      </c>
      <c r="Q32" s="32">
        <v>7865.38</v>
      </c>
      <c r="R32" s="89">
        <v>263662.96999999997</v>
      </c>
      <c r="S32" s="50">
        <v>278213.53999999998</v>
      </c>
      <c r="T32" s="88">
        <v>292708.46999999997</v>
      </c>
    </row>
    <row r="33" spans="1:20" x14ac:dyDescent="0.2">
      <c r="A33" s="74" t="s">
        <v>134</v>
      </c>
      <c r="B33" s="32">
        <v>261725.71</v>
      </c>
      <c r="C33" s="32">
        <v>322642.96000000002</v>
      </c>
      <c r="D33" s="32">
        <v>7472.94</v>
      </c>
      <c r="E33" s="32"/>
      <c r="F33" s="89">
        <v>313544.08</v>
      </c>
      <c r="G33" s="50">
        <v>330115.90000000002</v>
      </c>
      <c r="H33" s="88">
        <v>349988.88</v>
      </c>
      <c r="I33" s="32">
        <v>7743.73</v>
      </c>
      <c r="J33" s="89">
        <v>311620.73</v>
      </c>
      <c r="K33" s="50">
        <v>330386.69</v>
      </c>
      <c r="L33" s="88">
        <v>348095.42</v>
      </c>
      <c r="M33" s="32">
        <v>8537.9</v>
      </c>
      <c r="N33" s="89">
        <v>312833.44</v>
      </c>
      <c r="O33" s="50">
        <v>331180.86</v>
      </c>
      <c r="P33" s="88">
        <v>349263.33</v>
      </c>
      <c r="Q33" s="32">
        <v>8961.81</v>
      </c>
      <c r="R33" s="89">
        <v>313233.87</v>
      </c>
      <c r="S33" s="50">
        <v>331604.77</v>
      </c>
      <c r="T33" s="88">
        <v>349710.39</v>
      </c>
    </row>
    <row r="34" spans="1:20" x14ac:dyDescent="0.2">
      <c r="A34" s="74" t="s">
        <v>135</v>
      </c>
      <c r="B34" s="32">
        <v>304887.56</v>
      </c>
      <c r="C34" s="32">
        <v>375850.83</v>
      </c>
      <c r="D34" s="32">
        <v>8351.76</v>
      </c>
      <c r="E34" s="32"/>
      <c r="F34" s="89">
        <v>364454.58</v>
      </c>
      <c r="G34" s="50">
        <v>384202.59</v>
      </c>
      <c r="H34" s="88">
        <v>407754.21</v>
      </c>
      <c r="I34" s="32">
        <v>8631.93</v>
      </c>
      <c r="J34" s="89">
        <v>362375.01</v>
      </c>
      <c r="K34" s="50">
        <v>384482.77</v>
      </c>
      <c r="L34" s="88">
        <v>406898.12</v>
      </c>
      <c r="M34" s="32">
        <v>9525.74</v>
      </c>
      <c r="N34" s="89">
        <v>363602.79</v>
      </c>
      <c r="O34" s="50">
        <v>385376.57</v>
      </c>
      <c r="P34" s="88">
        <v>407458.65</v>
      </c>
      <c r="Q34" s="32">
        <v>10097.280000000001</v>
      </c>
      <c r="R34" s="89">
        <v>364142.04</v>
      </c>
      <c r="S34" s="50">
        <v>385948.11</v>
      </c>
      <c r="T34" s="88">
        <v>408062.94</v>
      </c>
    </row>
    <row r="35" spans="1:20" x14ac:dyDescent="0.2">
      <c r="A35" s="74" t="s">
        <v>170</v>
      </c>
      <c r="B35" s="32">
        <v>334973.64</v>
      </c>
      <c r="C35" s="32">
        <v>412939.51</v>
      </c>
      <c r="D35" s="32">
        <v>9232.0300000000007</v>
      </c>
      <c r="E35" s="32"/>
      <c r="F35" s="89">
        <v>398783.24</v>
      </c>
      <c r="G35" s="50">
        <v>422171.54</v>
      </c>
      <c r="H35" s="88">
        <v>449190.52</v>
      </c>
      <c r="I35" s="32">
        <v>9496.85</v>
      </c>
      <c r="J35" s="89">
        <v>397428.13</v>
      </c>
      <c r="K35" s="50">
        <v>422436.36</v>
      </c>
      <c r="L35" s="88">
        <v>447529.08</v>
      </c>
      <c r="M35" s="32">
        <v>10384.959999999999</v>
      </c>
      <c r="N35" s="89">
        <v>398390.66</v>
      </c>
      <c r="O35" s="50">
        <v>423324.47</v>
      </c>
      <c r="P35" s="88">
        <v>448300.61</v>
      </c>
      <c r="Q35" s="32">
        <v>11210</v>
      </c>
      <c r="R35" s="89">
        <v>399167.1</v>
      </c>
      <c r="S35" s="50">
        <v>424149.51</v>
      </c>
      <c r="T35" s="88">
        <v>449174.33</v>
      </c>
    </row>
    <row r="38" spans="1:20" x14ac:dyDescent="0.2">
      <c r="A38" s="146" t="s">
        <v>28</v>
      </c>
      <c r="B38" s="146"/>
      <c r="C38" s="146"/>
      <c r="D38" s="146"/>
      <c r="E38" s="146"/>
    </row>
    <row r="39" spans="1:20" x14ac:dyDescent="0.2">
      <c r="A39" s="30" t="s">
        <v>29</v>
      </c>
      <c r="B39" s="30" t="s">
        <v>30</v>
      </c>
      <c r="C39" s="30" t="s">
        <v>31</v>
      </c>
      <c r="D39" s="30" t="s">
        <v>32</v>
      </c>
      <c r="E39" s="30" t="s">
        <v>33</v>
      </c>
    </row>
    <row r="40" spans="1:20" x14ac:dyDescent="0.2">
      <c r="A40" s="31">
        <v>2023</v>
      </c>
      <c r="B40" s="32">
        <v>82.220708999999999</v>
      </c>
      <c r="C40" s="32">
        <v>81.116755999999995</v>
      </c>
      <c r="D40" s="32">
        <v>82.899286000000004</v>
      </c>
      <c r="E40" s="31">
        <v>122</v>
      </c>
    </row>
    <row r="41" spans="1:20" x14ac:dyDescent="0.2">
      <c r="A41" s="31">
        <v>2022</v>
      </c>
      <c r="B41" s="32">
        <v>78.627602999999993</v>
      </c>
      <c r="C41" s="32">
        <v>73.877999000000003</v>
      </c>
      <c r="D41" s="32">
        <v>83.038965000000005</v>
      </c>
      <c r="E41" s="31">
        <v>257</v>
      </c>
    </row>
    <row r="42" spans="1:20" x14ac:dyDescent="0.2">
      <c r="A42" s="31">
        <v>2021</v>
      </c>
      <c r="B42" s="32">
        <v>73.944862000000001</v>
      </c>
      <c r="C42" s="32">
        <v>72.349744999999999</v>
      </c>
      <c r="D42" s="32">
        <v>76.393625</v>
      </c>
      <c r="E42" s="31">
        <v>258</v>
      </c>
    </row>
    <row r="43" spans="1:20" x14ac:dyDescent="0.2">
      <c r="A43" s="31">
        <v>2020</v>
      </c>
      <c r="B43" s="32">
        <v>74.108329999999995</v>
      </c>
      <c r="C43" s="32">
        <v>70.797432999999998</v>
      </c>
      <c r="D43" s="32">
        <v>76.936421999999993</v>
      </c>
      <c r="E43" s="31">
        <v>257</v>
      </c>
    </row>
    <row r="44" spans="1:20" x14ac:dyDescent="0.2">
      <c r="A44" s="31">
        <v>2019</v>
      </c>
      <c r="B44" s="32">
        <v>70.427300000000002</v>
      </c>
      <c r="C44" s="32">
        <v>68.364643000000001</v>
      </c>
      <c r="D44" s="32">
        <v>72.411996000000002</v>
      </c>
      <c r="E44" s="31">
        <v>255</v>
      </c>
    </row>
    <row r="45" spans="1:20" x14ac:dyDescent="0.2">
      <c r="A45" s="31">
        <v>2018</v>
      </c>
      <c r="B45" s="32">
        <v>68.448351000000002</v>
      </c>
      <c r="C45" s="32">
        <v>63.369863000000002</v>
      </c>
      <c r="D45" s="32">
        <v>74.406645999999995</v>
      </c>
      <c r="E45" s="31">
        <v>255</v>
      </c>
    </row>
    <row r="46" spans="1:20" x14ac:dyDescent="0.2">
      <c r="A46" s="31">
        <v>2017</v>
      </c>
      <c r="B46" s="32">
        <v>65.128967000000003</v>
      </c>
      <c r="C46" s="32">
        <v>63.619396999999999</v>
      </c>
      <c r="D46" s="32">
        <v>68.391412000000003</v>
      </c>
      <c r="E46" s="31">
        <v>255</v>
      </c>
    </row>
    <row r="47" spans="1:20" x14ac:dyDescent="0.2">
      <c r="A47" s="31">
        <v>2016</v>
      </c>
      <c r="B47" s="32">
        <v>67.197564999999997</v>
      </c>
      <c r="C47" s="32">
        <v>66.105008999999995</v>
      </c>
      <c r="D47" s="32">
        <v>68.875033999999999</v>
      </c>
      <c r="E47" s="31">
        <v>257</v>
      </c>
    </row>
    <row r="48" spans="1:20" x14ac:dyDescent="0.2">
      <c r="A48" s="31">
        <v>2015</v>
      </c>
      <c r="B48" s="32">
        <v>64.178068999999994</v>
      </c>
      <c r="C48" s="32">
        <v>61.384220999999997</v>
      </c>
      <c r="D48" s="32">
        <v>67.145042000000004</v>
      </c>
      <c r="E48" s="31">
        <v>256</v>
      </c>
    </row>
    <row r="49" spans="1:5" x14ac:dyDescent="0.2">
      <c r="A49" s="31">
        <v>2014</v>
      </c>
      <c r="B49" s="32">
        <v>61.022620000000003</v>
      </c>
      <c r="C49" s="32">
        <v>58.459980000000002</v>
      </c>
      <c r="D49" s="32">
        <v>63.988035000000004</v>
      </c>
      <c r="E49" s="31">
        <v>255</v>
      </c>
    </row>
    <row r="50" spans="1:5" x14ac:dyDescent="0.2">
      <c r="A50" s="31">
        <v>2013</v>
      </c>
      <c r="B50" s="32">
        <v>58.638576</v>
      </c>
      <c r="C50" s="32">
        <v>53.135111000000002</v>
      </c>
      <c r="D50" s="32">
        <v>68.978048000000001</v>
      </c>
      <c r="E50" s="31">
        <v>255</v>
      </c>
    </row>
    <row r="51" spans="1:5" x14ac:dyDescent="0.2">
      <c r="A51" s="31">
        <v>2012</v>
      </c>
      <c r="B51" s="32">
        <v>53.434263999999999</v>
      </c>
      <c r="C51" s="32">
        <v>48.804710999999998</v>
      </c>
      <c r="D51" s="32">
        <v>57.152085</v>
      </c>
      <c r="E51" s="31">
        <v>256</v>
      </c>
    </row>
  </sheetData>
  <mergeCells count="17">
    <mergeCell ref="A38:E38"/>
    <mergeCell ref="T20:T30"/>
    <mergeCell ref="P2:P12"/>
    <mergeCell ref="R2:R12"/>
    <mergeCell ref="T2:T12"/>
    <mergeCell ref="F20:F30"/>
    <mergeCell ref="H20:H30"/>
    <mergeCell ref="J20:J30"/>
    <mergeCell ref="L20:L30"/>
    <mergeCell ref="N20:N30"/>
    <mergeCell ref="P20:P30"/>
    <mergeCell ref="R20:R30"/>
    <mergeCell ref="F2:F12"/>
    <mergeCell ref="H2:H12"/>
    <mergeCell ref="J2:J12"/>
    <mergeCell ref="L2:L12"/>
    <mergeCell ref="N2:N1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AB41B-0F67-4EF4-AB34-975F9D72D7F7}">
  <dimension ref="A1:W51"/>
  <sheetViews>
    <sheetView tabSelected="1" topLeftCell="L1" zoomScale="90" zoomScaleNormal="90" workbookViewId="0">
      <selection activeCell="R22" sqref="R22"/>
    </sheetView>
  </sheetViews>
  <sheetFormatPr defaultRowHeight="15" x14ac:dyDescent="0.25"/>
  <cols>
    <col min="1" max="1" width="8.42578125" bestFit="1" customWidth="1"/>
    <col min="2" max="2" width="21.7109375" bestFit="1" customWidth="1"/>
    <col min="3" max="3" width="30.5703125" bestFit="1" customWidth="1"/>
    <col min="4" max="4" width="33" bestFit="1" customWidth="1"/>
    <col min="5" max="5" width="31.5703125" customWidth="1"/>
    <col min="6" max="6" width="56" bestFit="1" customWidth="1"/>
    <col min="7" max="7" width="46" bestFit="1" customWidth="1"/>
    <col min="8" max="8" width="31.42578125" bestFit="1" customWidth="1"/>
    <col min="9" max="9" width="30.42578125" bestFit="1" customWidth="1"/>
    <col min="10" max="10" width="53" bestFit="1" customWidth="1"/>
    <col min="11" max="11" width="53" customWidth="1"/>
    <col min="12" max="12" width="27.7109375" bestFit="1" customWidth="1"/>
    <col min="13" max="13" width="26.7109375" bestFit="1" customWidth="1"/>
    <col min="14" max="14" width="50.7109375" bestFit="1" customWidth="1"/>
    <col min="15" max="15" width="49.28515625" customWidth="1"/>
    <col min="16" max="16" width="37.140625" bestFit="1" customWidth="1"/>
    <col min="17" max="17" width="36" bestFit="1" customWidth="1"/>
    <col min="18" max="18" width="58.140625" bestFit="1" customWidth="1"/>
    <col min="19" max="19" width="46.85546875" bestFit="1" customWidth="1"/>
  </cols>
  <sheetData>
    <row r="1" spans="1:23" x14ac:dyDescent="0.25">
      <c r="A1" s="2"/>
      <c r="B1" s="3" t="s">
        <v>34</v>
      </c>
      <c r="C1" s="3" t="s">
        <v>35</v>
      </c>
      <c r="D1" s="132" t="s">
        <v>304</v>
      </c>
      <c r="E1" s="132" t="s">
        <v>303</v>
      </c>
      <c r="F1" s="3" t="s">
        <v>311</v>
      </c>
      <c r="G1" s="3" t="s">
        <v>172</v>
      </c>
      <c r="H1" s="132" t="s">
        <v>305</v>
      </c>
      <c r="I1" s="132" t="s">
        <v>308</v>
      </c>
      <c r="J1" s="3" t="s">
        <v>312</v>
      </c>
      <c r="K1" s="3" t="s">
        <v>234</v>
      </c>
      <c r="L1" s="132" t="s">
        <v>306</v>
      </c>
      <c r="M1" s="132" t="s">
        <v>309</v>
      </c>
      <c r="N1" s="3" t="s">
        <v>313</v>
      </c>
      <c r="O1" s="3" t="s">
        <v>233</v>
      </c>
      <c r="P1" s="132" t="s">
        <v>307</v>
      </c>
      <c r="Q1" s="132" t="s">
        <v>310</v>
      </c>
      <c r="R1" s="3" t="s">
        <v>314</v>
      </c>
      <c r="S1" s="3" t="s">
        <v>174</v>
      </c>
    </row>
    <row r="2" spans="1:23" x14ac:dyDescent="0.25">
      <c r="A2" s="74" t="s">
        <v>58</v>
      </c>
      <c r="B2" s="45">
        <v>106602.92</v>
      </c>
      <c r="C2" s="45">
        <v>126529.46</v>
      </c>
      <c r="D2" s="45">
        <v>1945</v>
      </c>
      <c r="E2" s="45">
        <f>D2*T2</f>
        <v>4463.2919075365207</v>
      </c>
      <c r="F2" s="45">
        <f>E2+C2</f>
        <v>130992.75190753653</v>
      </c>
      <c r="G2" s="45">
        <v>129508.12</v>
      </c>
      <c r="H2" s="45">
        <v>2701</v>
      </c>
      <c r="I2" s="45">
        <f>H2*T2</f>
        <v>6198.1241348360627</v>
      </c>
      <c r="J2" s="45">
        <f>I2+C2</f>
        <v>132727.58413483607</v>
      </c>
      <c r="K2" s="45">
        <v>129886.72</v>
      </c>
      <c r="L2" s="45">
        <v>2232</v>
      </c>
      <c r="M2" s="45">
        <f>L2*T2</f>
        <v>5121.8856234557916</v>
      </c>
      <c r="N2" s="45">
        <f>M2+C2</f>
        <v>131651.3456234558</v>
      </c>
      <c r="O2" s="45">
        <v>130024.87</v>
      </c>
      <c r="P2" s="45">
        <v>1432.2</v>
      </c>
      <c r="Q2" s="45">
        <f>P2*T2</f>
        <v>3286.5432750507994</v>
      </c>
      <c r="R2" s="45">
        <f>Q2+C2</f>
        <v>129816.00327505081</v>
      </c>
      <c r="S2" s="45">
        <v>129519.17</v>
      </c>
      <c r="T2">
        <v>2.2947516234120928</v>
      </c>
      <c r="V2">
        <v>3205.26</v>
      </c>
    </row>
    <row r="3" spans="1:23" x14ac:dyDescent="0.25">
      <c r="A3" s="74" t="s">
        <v>55</v>
      </c>
      <c r="B3" s="45">
        <v>119056.19</v>
      </c>
      <c r="C3" s="45">
        <v>141310.54</v>
      </c>
      <c r="D3" s="45">
        <v>1945</v>
      </c>
      <c r="E3" s="45">
        <f>D3*T3</f>
        <v>5062.717680962478</v>
      </c>
      <c r="F3" s="45">
        <f t="shared" ref="F3:F17" si="0">E3+C3</f>
        <v>146373.25768096247</v>
      </c>
      <c r="G3" s="45">
        <v>144686.49</v>
      </c>
      <c r="H3" s="45">
        <v>2701</v>
      </c>
      <c r="I3" s="45">
        <f>H3*T3</f>
        <v>7030.5400803494367</v>
      </c>
      <c r="J3" s="45">
        <f>I3+C3</f>
        <v>148341.08008034943</v>
      </c>
      <c r="K3" s="45">
        <v>145128.70000000001</v>
      </c>
      <c r="L3" s="45">
        <v>2232</v>
      </c>
      <c r="M3" s="45">
        <f>L3*T3</f>
        <v>5809.7613696186381</v>
      </c>
      <c r="N3" s="45">
        <f>M3+C3</f>
        <v>147120.30136961865</v>
      </c>
      <c r="O3" s="45">
        <v>145294</v>
      </c>
      <c r="P3" s="45">
        <v>1432.2</v>
      </c>
      <c r="Q3" s="45">
        <f>P3*T3</f>
        <v>3727.9302121719597</v>
      </c>
      <c r="R3" s="45">
        <f>Q3+C3</f>
        <v>145038.47021217196</v>
      </c>
      <c r="S3" s="45">
        <v>144704.92000000001</v>
      </c>
      <c r="T3">
        <v>2.6029396817287807</v>
      </c>
      <c r="V3">
        <v>3642.9875000000002</v>
      </c>
      <c r="W3" s="44">
        <f>(V3-V2)/V3</f>
        <v>0.12015619048926189</v>
      </c>
    </row>
    <row r="4" spans="1:23" x14ac:dyDescent="0.25">
      <c r="A4" s="74" t="s">
        <v>56</v>
      </c>
      <c r="B4" s="45">
        <v>107383.6</v>
      </c>
      <c r="C4" s="45">
        <v>127456.07</v>
      </c>
      <c r="D4" s="45">
        <v>1945</v>
      </c>
      <c r="E4" s="45">
        <f>D4*T4</f>
        <v>4578.7443980849039</v>
      </c>
      <c r="F4" s="45">
        <f t="shared" si="0"/>
        <v>132034.81439808491</v>
      </c>
      <c r="G4" s="45">
        <v>130542.11</v>
      </c>
      <c r="H4" s="45">
        <v>2701</v>
      </c>
      <c r="I4" s="45">
        <f>H4*T4</f>
        <v>6358.4517322505526</v>
      </c>
      <c r="J4" s="45">
        <f>I4+C4</f>
        <v>133814.52173225055</v>
      </c>
      <c r="K4" s="45">
        <v>130901.07</v>
      </c>
      <c r="L4" s="45">
        <v>2232</v>
      </c>
      <c r="M4" s="45">
        <f>L4*T4</f>
        <v>5254.3740342033443</v>
      </c>
      <c r="N4" s="45">
        <f>M4+C4</f>
        <v>132710.44403420336</v>
      </c>
      <c r="O4" s="45">
        <v>130991.81</v>
      </c>
      <c r="P4" s="45">
        <v>1432.2</v>
      </c>
      <c r="Q4" s="45">
        <f>P4*T4</f>
        <v>3371.5566719471462</v>
      </c>
      <c r="R4" s="45">
        <f>Q4+C4</f>
        <v>130827.62667194716</v>
      </c>
      <c r="S4" s="45">
        <v>130552.03</v>
      </c>
      <c r="T4">
        <v>2.3541102303778425</v>
      </c>
      <c r="V4">
        <v>3290.6849999999999</v>
      </c>
      <c r="W4" s="44">
        <f t="shared" ref="W4:W17" si="1">(V4-V3)/V4</f>
        <v>-0.10706053602821304</v>
      </c>
    </row>
    <row r="5" spans="1:23" x14ac:dyDescent="0.25">
      <c r="A5" s="74" t="s">
        <v>57</v>
      </c>
      <c r="B5" s="45">
        <v>70249.64</v>
      </c>
      <c r="C5" s="45">
        <v>83380.92</v>
      </c>
      <c r="D5" s="45">
        <v>1945</v>
      </c>
      <c r="E5" s="45">
        <f>D5*T5</f>
        <v>4726.2018972800406</v>
      </c>
      <c r="F5" s="45">
        <f t="shared" si="0"/>
        <v>88107.121897280042</v>
      </c>
      <c r="G5" s="45">
        <v>86564.07</v>
      </c>
      <c r="H5" s="45">
        <v>2701</v>
      </c>
      <c r="I5" s="45">
        <f>H5*T5</f>
        <v>6563.224331389918</v>
      </c>
      <c r="J5" s="45">
        <f>I5+C5</f>
        <v>89944.144331389922</v>
      </c>
      <c r="K5" s="45">
        <v>86937.48</v>
      </c>
      <c r="L5" s="45">
        <v>2232</v>
      </c>
      <c r="M5" s="45">
        <f>L5*T5</f>
        <v>5423.5900435624944</v>
      </c>
      <c r="N5" s="45">
        <f>M5+C5</f>
        <v>88804.510043562492</v>
      </c>
      <c r="O5" s="45">
        <v>87055.58</v>
      </c>
      <c r="P5" s="45">
        <v>1432.2</v>
      </c>
      <c r="Q5" s="45">
        <f>P5*T5</f>
        <v>3480.1369446192671</v>
      </c>
      <c r="R5" s="45">
        <f>Q5+C5</f>
        <v>86861.056944619268</v>
      </c>
      <c r="S5" s="45">
        <v>86578.1</v>
      </c>
      <c r="T5">
        <v>2.4299238546426944</v>
      </c>
      <c r="V5">
        <v>3402.8874999999998</v>
      </c>
      <c r="W5" s="44">
        <f t="shared" si="1"/>
        <v>3.2972732715965451E-2</v>
      </c>
    </row>
    <row r="6" spans="1:23" x14ac:dyDescent="0.25">
      <c r="A6" s="74" t="s">
        <v>40</v>
      </c>
      <c r="B6" s="32">
        <v>69409.78</v>
      </c>
      <c r="C6" s="32">
        <v>82384.070000000007</v>
      </c>
      <c r="D6" s="45">
        <v>1945</v>
      </c>
      <c r="E6" s="45">
        <f>D6*T6</f>
        <v>4910.3396335377047</v>
      </c>
      <c r="F6" s="45">
        <f t="shared" si="0"/>
        <v>87294.409633537711</v>
      </c>
      <c r="G6" s="32">
        <v>85656.91</v>
      </c>
      <c r="H6" s="45">
        <v>2701</v>
      </c>
      <c r="I6" s="45">
        <f>H6*T6</f>
        <v>6818.9343702752394</v>
      </c>
      <c r="J6" s="45">
        <f>I6+C6</f>
        <v>89203.004370275245</v>
      </c>
      <c r="K6" s="32">
        <v>86098.98</v>
      </c>
      <c r="L6" s="45">
        <v>2232</v>
      </c>
      <c r="M6" s="45">
        <f>L6*T6</f>
        <v>5634.898746558436</v>
      </c>
      <c r="N6" s="45">
        <f>M6+C6</f>
        <v>88018.968746558443</v>
      </c>
      <c r="O6" s="32">
        <v>86216.25</v>
      </c>
      <c r="P6" s="45">
        <v>1432.2</v>
      </c>
      <c r="Q6" s="45">
        <f>P6*T6</f>
        <v>3615.7266957083298</v>
      </c>
      <c r="R6" s="45">
        <f>Q6+C6</f>
        <v>85999.796695708341</v>
      </c>
      <c r="S6" s="32">
        <v>85731.33</v>
      </c>
      <c r="T6">
        <v>2.5245962126157866</v>
      </c>
      <c r="V6">
        <v>3541.7975000000001</v>
      </c>
      <c r="W6" s="44">
        <f t="shared" si="1"/>
        <v>3.9220198218560015E-2</v>
      </c>
    </row>
    <row r="7" spans="1:23" x14ac:dyDescent="0.25">
      <c r="A7" s="74" t="s">
        <v>41</v>
      </c>
      <c r="B7" s="32">
        <v>84890.4</v>
      </c>
      <c r="C7" s="32">
        <v>100758.36</v>
      </c>
      <c r="D7" s="45">
        <v>1945</v>
      </c>
      <c r="E7" s="45">
        <f>D7*T7</f>
        <v>5726.3435959623384</v>
      </c>
      <c r="F7" s="45">
        <f t="shared" si="0"/>
        <v>106484.70359596235</v>
      </c>
      <c r="G7" s="32">
        <v>104614.24</v>
      </c>
      <c r="H7" s="45">
        <v>2701</v>
      </c>
      <c r="I7" s="45">
        <f>H7*T7</f>
        <v>7952.110052799113</v>
      </c>
      <c r="J7" s="45">
        <f>I7+C7</f>
        <v>108710.47005279911</v>
      </c>
      <c r="K7" s="32">
        <v>105161.66</v>
      </c>
      <c r="L7" s="45">
        <v>2232</v>
      </c>
      <c r="M7" s="45">
        <f>L7*T7</f>
        <v>6571.3104916133361</v>
      </c>
      <c r="N7" s="45">
        <f>M7+C7</f>
        <v>107329.67049161333</v>
      </c>
      <c r="O7" s="32">
        <v>105252.52</v>
      </c>
      <c r="P7" s="45">
        <v>1432.2</v>
      </c>
      <c r="Q7" s="45">
        <f>P7*T7</f>
        <v>4216.5908987852245</v>
      </c>
      <c r="R7" s="45">
        <f>Q7+C7</f>
        <v>104974.95089878523</v>
      </c>
      <c r="S7" s="32">
        <v>104654.86</v>
      </c>
      <c r="T7">
        <v>2.9441355249163692</v>
      </c>
      <c r="V7">
        <v>4162.46</v>
      </c>
      <c r="W7" s="44">
        <f t="shared" si="1"/>
        <v>0.14910954099258608</v>
      </c>
    </row>
    <row r="8" spans="1:23" x14ac:dyDescent="0.25">
      <c r="A8" s="74" t="s">
        <v>42</v>
      </c>
      <c r="B8" s="32">
        <v>94570.65</v>
      </c>
      <c r="C8" s="32">
        <v>112248.08</v>
      </c>
      <c r="D8" s="45">
        <v>1945</v>
      </c>
      <c r="E8" s="45">
        <f>D8*T8</f>
        <v>5644.4983696030931</v>
      </c>
      <c r="F8" s="45">
        <f t="shared" si="0"/>
        <v>117892.5783696031</v>
      </c>
      <c r="G8" s="32">
        <v>116043.47</v>
      </c>
      <c r="H8" s="45">
        <v>2701</v>
      </c>
      <c r="I8" s="45">
        <f>H8*T8</f>
        <v>7838.4524916699002</v>
      </c>
      <c r="J8" s="45">
        <f>I8+C8</f>
        <v>120086.5324916699</v>
      </c>
      <c r="K8" s="32">
        <v>116585.74</v>
      </c>
      <c r="L8" s="45">
        <v>2232</v>
      </c>
      <c r="M8" s="45">
        <f>L8*T8</f>
        <v>6477.3883603877148</v>
      </c>
      <c r="N8" s="45">
        <f>M8+C8</f>
        <v>118725.46836038772</v>
      </c>
      <c r="O8" s="32">
        <v>116705.3</v>
      </c>
      <c r="P8" s="45">
        <v>1432.2</v>
      </c>
      <c r="Q8" s="45">
        <f>P8*T8</f>
        <v>4156.32419791545</v>
      </c>
      <c r="R8" s="45">
        <f>Q8+C8</f>
        <v>116404.40419791546</v>
      </c>
      <c r="S8" s="32">
        <v>116133.66</v>
      </c>
      <c r="T8">
        <v>2.9020557170195853</v>
      </c>
      <c r="V8">
        <v>4118.9624999999996</v>
      </c>
      <c r="W8" s="44">
        <f t="shared" si="1"/>
        <v>-1.0560304931156913E-2</v>
      </c>
    </row>
    <row r="9" spans="1:23" x14ac:dyDescent="0.25">
      <c r="A9" s="74" t="s">
        <v>43</v>
      </c>
      <c r="B9" s="32">
        <v>80239.820000000007</v>
      </c>
      <c r="C9" s="32">
        <v>98686.62</v>
      </c>
      <c r="D9" s="45">
        <v>1945</v>
      </c>
      <c r="E9" s="45">
        <f>D9*T9</f>
        <v>6665.6806443116357</v>
      </c>
      <c r="F9" s="45">
        <f t="shared" si="0"/>
        <v>105352.30064431163</v>
      </c>
      <c r="G9" s="32">
        <v>103219.59</v>
      </c>
      <c r="H9" s="45">
        <v>2701</v>
      </c>
      <c r="I9" s="45">
        <f>H9*T9</f>
        <v>9256.5570284245387</v>
      </c>
      <c r="J9" s="45">
        <f>I9+C9</f>
        <v>107943.17702842453</v>
      </c>
      <c r="K9" s="32">
        <v>103857.37</v>
      </c>
      <c r="L9" s="45">
        <v>2232</v>
      </c>
      <c r="M9" s="45">
        <f>L9*T9</f>
        <v>7649.2540864285711</v>
      </c>
      <c r="N9" s="45">
        <f>M9+C9</f>
        <v>106335.87408642856</v>
      </c>
      <c r="O9" s="32">
        <v>104022.56</v>
      </c>
      <c r="P9" s="45">
        <v>1432.2</v>
      </c>
      <c r="Q9" s="45">
        <f>P9*T9</f>
        <v>4908.2713721250002</v>
      </c>
      <c r="R9" s="45">
        <f>Q9+C9</f>
        <v>103594.891372125</v>
      </c>
      <c r="S9" s="32">
        <v>103269.66</v>
      </c>
      <c r="T9">
        <v>3.4270851641705069</v>
      </c>
      <c r="V9">
        <v>4905.6750000000002</v>
      </c>
      <c r="W9" s="44">
        <f t="shared" si="1"/>
        <v>0.16036783928817147</v>
      </c>
    </row>
    <row r="10" spans="1:23" x14ac:dyDescent="0.25">
      <c r="A10" s="74" t="s">
        <v>44</v>
      </c>
      <c r="B10" s="32">
        <v>79878.64</v>
      </c>
      <c r="C10" s="32">
        <v>99194.04</v>
      </c>
      <c r="D10" s="45">
        <v>1945</v>
      </c>
      <c r="E10" s="45">
        <f>D10*T10</f>
        <v>7379.254560291859</v>
      </c>
      <c r="F10" s="45">
        <f t="shared" si="0"/>
        <v>106573.29456029185</v>
      </c>
      <c r="G10" s="32">
        <v>104249.87</v>
      </c>
      <c r="H10" s="45">
        <v>2701</v>
      </c>
      <c r="I10" s="45">
        <f>H10*T10</f>
        <v>10247.489237711214</v>
      </c>
      <c r="J10" s="45">
        <f>I10+C10</f>
        <v>109441.52923771121</v>
      </c>
      <c r="K10" s="32">
        <v>104940.11</v>
      </c>
      <c r="L10" s="45">
        <v>2232</v>
      </c>
      <c r="M10" s="45">
        <f>L10*T10</f>
        <v>8468.1214285714286</v>
      </c>
      <c r="N10" s="45">
        <f>M10+C10</f>
        <v>107662.16142857142</v>
      </c>
      <c r="O10" s="32">
        <v>105051.67</v>
      </c>
      <c r="P10" s="45">
        <v>1432.2</v>
      </c>
      <c r="Q10" s="45">
        <f>P10*T10</f>
        <v>5433.7112500000003</v>
      </c>
      <c r="R10" s="45">
        <f>Q10+C10</f>
        <v>104627.75125</v>
      </c>
      <c r="S10" s="32">
        <v>104344.39</v>
      </c>
      <c r="T10">
        <v>3.7939612135176652</v>
      </c>
      <c r="V10">
        <v>5452.47</v>
      </c>
      <c r="W10" s="44">
        <f t="shared" si="1"/>
        <v>0.10028390802700428</v>
      </c>
    </row>
    <row r="11" spans="1:23" x14ac:dyDescent="0.25">
      <c r="A11" s="74" t="s">
        <v>45</v>
      </c>
      <c r="B11" s="32">
        <v>148899.6</v>
      </c>
      <c r="C11" s="32">
        <v>184579.27</v>
      </c>
      <c r="D11" s="45">
        <v>1945</v>
      </c>
      <c r="E11" s="45">
        <f>D11*T11</f>
        <v>7726.968125960062</v>
      </c>
      <c r="F11" s="45">
        <f t="shared" si="0"/>
        <v>192306.23812596005</v>
      </c>
      <c r="G11" s="32">
        <v>189839.41</v>
      </c>
      <c r="H11" s="45">
        <v>2701</v>
      </c>
      <c r="I11" s="45">
        <f>H11*T11</f>
        <v>10730.355222734255</v>
      </c>
      <c r="J11" s="45">
        <f>I11+C11</f>
        <v>195309.62522273423</v>
      </c>
      <c r="K11" s="32">
        <v>190534.3</v>
      </c>
      <c r="L11" s="45">
        <v>2232</v>
      </c>
      <c r="M11" s="45">
        <f>L11*T11</f>
        <v>8867.1428571428569</v>
      </c>
      <c r="N11" s="45">
        <f>M11+C11</f>
        <v>193446.41285714286</v>
      </c>
      <c r="O11" s="32">
        <v>190751.52</v>
      </c>
      <c r="P11" s="45">
        <v>1432.2</v>
      </c>
      <c r="Q11" s="45">
        <f>P11*T11</f>
        <v>5689.75</v>
      </c>
      <c r="R11" s="45">
        <f>Q11+C11</f>
        <v>190269.02</v>
      </c>
      <c r="S11" s="32">
        <v>189886.16</v>
      </c>
      <c r="T11">
        <v>3.9727342549923197</v>
      </c>
      <c r="V11">
        <v>5673.5775000000003</v>
      </c>
      <c r="W11" s="44">
        <f t="shared" si="1"/>
        <v>3.8971442621520559E-2</v>
      </c>
    </row>
    <row r="12" spans="1:23" x14ac:dyDescent="0.25">
      <c r="A12" s="74" t="s">
        <v>46</v>
      </c>
      <c r="B12" s="32">
        <v>132036.75</v>
      </c>
      <c r="C12" s="32">
        <v>161894.69</v>
      </c>
      <c r="D12" s="45">
        <v>1945</v>
      </c>
      <c r="E12" s="45">
        <f>D12*T12</f>
        <v>7469.2780337941631</v>
      </c>
      <c r="F12" s="45">
        <f t="shared" si="0"/>
        <v>169363.96803379417</v>
      </c>
      <c r="G12" s="32">
        <v>166994.69</v>
      </c>
      <c r="H12" s="45">
        <v>2701</v>
      </c>
      <c r="I12" s="45">
        <f>H12*T12</f>
        <v>10372.503840245776</v>
      </c>
      <c r="J12" s="45">
        <f>I12+C12</f>
        <v>172267.19384024577</v>
      </c>
      <c r="K12" s="32">
        <v>167684.69</v>
      </c>
      <c r="L12" s="45">
        <v>2232</v>
      </c>
      <c r="M12" s="45">
        <f>L12*T12</f>
        <v>8571.4285714285706</v>
      </c>
      <c r="N12" s="45">
        <f>M12+C12</f>
        <v>170466.11857142858</v>
      </c>
      <c r="O12" s="32">
        <v>167829.69</v>
      </c>
      <c r="P12" s="45">
        <v>1432.2</v>
      </c>
      <c r="Q12" s="45">
        <f>P12*T12</f>
        <v>5500</v>
      </c>
      <c r="R12" s="45">
        <f>Q12+C12</f>
        <v>167394.69</v>
      </c>
      <c r="S12" s="32">
        <v>167068.69</v>
      </c>
      <c r="T12">
        <v>3.8402457757296466</v>
      </c>
      <c r="V12">
        <v>5499.75</v>
      </c>
      <c r="W12" s="44">
        <f t="shared" si="1"/>
        <v>-3.1606436656211705E-2</v>
      </c>
    </row>
    <row r="13" spans="1:23" x14ac:dyDescent="0.25">
      <c r="A13" s="74" t="s">
        <v>132</v>
      </c>
      <c r="B13" s="32">
        <v>163756.04</v>
      </c>
      <c r="C13" s="32">
        <v>200786.77</v>
      </c>
      <c r="D13" s="45">
        <v>1945</v>
      </c>
      <c r="E13" s="45">
        <f>D13*T13</f>
        <v>8442.3813273027299</v>
      </c>
      <c r="F13" s="45">
        <f t="shared" si="0"/>
        <v>209229.15132730271</v>
      </c>
      <c r="G13" s="32">
        <v>206673.7</v>
      </c>
      <c r="H13" s="45">
        <v>2701</v>
      </c>
      <c r="I13" s="45">
        <f>H13*T13</f>
        <v>11723.841627272326</v>
      </c>
      <c r="J13" s="45">
        <f>I13+C13</f>
        <v>212510.61162727233</v>
      </c>
      <c r="K13" s="32">
        <v>207354.37</v>
      </c>
      <c r="L13" s="45">
        <v>2232</v>
      </c>
      <c r="M13" s="45">
        <f>L13*T13</f>
        <v>9688.1208856245212</v>
      </c>
      <c r="N13" s="45">
        <f>M13+C13</f>
        <v>210474.89088562451</v>
      </c>
      <c r="O13" s="32">
        <v>207602.53</v>
      </c>
      <c r="P13" s="45">
        <v>1432.2</v>
      </c>
      <c r="Q13" s="45">
        <f>P13*T13</f>
        <v>6216.5442349424011</v>
      </c>
      <c r="R13" s="45">
        <f>Q13+C13</f>
        <v>207003.3142349424</v>
      </c>
      <c r="S13" s="32">
        <v>206810.86</v>
      </c>
      <c r="T13">
        <v>4.3405559523407353</v>
      </c>
      <c r="V13">
        <v>6323.5925000000007</v>
      </c>
      <c r="W13" s="44">
        <f t="shared" si="1"/>
        <v>0.1302807699895274</v>
      </c>
    </row>
    <row r="14" spans="1:23" x14ac:dyDescent="0.25">
      <c r="A14" s="74" t="s">
        <v>133</v>
      </c>
      <c r="B14" s="32">
        <v>196377.22</v>
      </c>
      <c r="C14" s="32">
        <v>240784.7</v>
      </c>
      <c r="D14" s="45">
        <v>1945</v>
      </c>
      <c r="E14" s="45">
        <f>D14*T14</f>
        <v>9506.0865032672846</v>
      </c>
      <c r="F14" s="45">
        <f t="shared" si="0"/>
        <v>250290.7865032673</v>
      </c>
      <c r="G14" s="32">
        <v>247455.18</v>
      </c>
      <c r="H14" s="45">
        <v>2701</v>
      </c>
      <c r="I14" s="45">
        <f>H14*T14</f>
        <v>13200.997246953695</v>
      </c>
      <c r="J14" s="45">
        <f>I14+C14</f>
        <v>253985.6972469537</v>
      </c>
      <c r="K14" s="32">
        <v>248320.36</v>
      </c>
      <c r="L14" s="45">
        <v>2232</v>
      </c>
      <c r="M14" s="45">
        <f>L14*T14</f>
        <v>10908.784100407496</v>
      </c>
      <c r="N14" s="45">
        <f>M14+C14</f>
        <v>251693.48410040751</v>
      </c>
      <c r="O14" s="32">
        <v>248650.08</v>
      </c>
      <c r="P14" s="45">
        <v>1432.2</v>
      </c>
      <c r="Q14" s="45">
        <f>P14*T14</f>
        <v>6999.8031310948099</v>
      </c>
      <c r="R14" s="45">
        <f>Q14+C14</f>
        <v>247784.50313109483</v>
      </c>
      <c r="S14" s="32">
        <v>247653.96</v>
      </c>
      <c r="T14">
        <v>4.8874480736592725</v>
      </c>
      <c r="V14">
        <v>7235.1975000000002</v>
      </c>
      <c r="W14" s="44">
        <f t="shared" si="1"/>
        <v>0.12599586949768815</v>
      </c>
    </row>
    <row r="15" spans="1:23" x14ac:dyDescent="0.25">
      <c r="A15" s="74" t="s">
        <v>134</v>
      </c>
      <c r="B15" s="32">
        <v>227655.02</v>
      </c>
      <c r="C15" s="32">
        <v>279135.46000000002</v>
      </c>
      <c r="D15" s="45">
        <v>1945</v>
      </c>
      <c r="E15" s="45">
        <f>D15*T15</f>
        <v>10603.12367977859</v>
      </c>
      <c r="F15" s="45">
        <f t="shared" si="0"/>
        <v>289738.58367977862</v>
      </c>
      <c r="G15" s="32">
        <v>286608.39</v>
      </c>
      <c r="H15" s="45">
        <v>2701</v>
      </c>
      <c r="I15" s="45">
        <f>H15*T15</f>
        <v>14724.440647342914</v>
      </c>
      <c r="J15" s="45">
        <f>I15+C15</f>
        <v>293859.90064734296</v>
      </c>
      <c r="K15" s="32">
        <v>287673.36</v>
      </c>
      <c r="L15" s="45">
        <v>2232</v>
      </c>
      <c r="M15" s="45">
        <f>L15*T15</f>
        <v>12167.697713761341</v>
      </c>
      <c r="N15" s="45">
        <f>M15+C15</f>
        <v>291303.15771376138</v>
      </c>
      <c r="O15" s="32">
        <v>288097.27</v>
      </c>
      <c r="P15" s="45">
        <v>1432.2</v>
      </c>
      <c r="Q15" s="45">
        <f>P15*T15</f>
        <v>7807.6060329968614</v>
      </c>
      <c r="R15" s="45">
        <f>Q15+C15</f>
        <v>286943.06603299687</v>
      </c>
      <c r="S15" s="32">
        <v>286879.18</v>
      </c>
      <c r="T15">
        <v>5.4514774703231819</v>
      </c>
      <c r="V15">
        <v>8179.0949999999993</v>
      </c>
      <c r="W15" s="44">
        <f t="shared" si="1"/>
        <v>0.11540366018489812</v>
      </c>
    </row>
    <row r="16" spans="1:23" x14ac:dyDescent="0.25">
      <c r="A16" s="74" t="s">
        <v>135</v>
      </c>
      <c r="B16" s="32">
        <v>257570.76</v>
      </c>
      <c r="C16" s="32">
        <v>315816.15000000002</v>
      </c>
      <c r="D16" s="45">
        <v>1945</v>
      </c>
      <c r="E16" s="45">
        <f>D16*T16</f>
        <v>11729.956715174369</v>
      </c>
      <c r="F16" s="45">
        <f t="shared" si="0"/>
        <v>327546.10671517439</v>
      </c>
      <c r="G16" s="32">
        <v>324167.90000000002</v>
      </c>
      <c r="H16" s="45">
        <v>2701</v>
      </c>
      <c r="I16" s="45">
        <f>H16*T16</f>
        <v>16289.261227602041</v>
      </c>
      <c r="J16" s="45">
        <f>I16+C16</f>
        <v>332105.41122760205</v>
      </c>
      <c r="K16" s="32">
        <v>325341.89</v>
      </c>
      <c r="L16" s="45">
        <v>2232</v>
      </c>
      <c r="M16" s="45">
        <f>L16*T16</f>
        <v>13460.803798595985</v>
      </c>
      <c r="N16" s="45">
        <f>M16+C16</f>
        <v>329276.95379859599</v>
      </c>
      <c r="O16" s="32">
        <v>325913.42</v>
      </c>
      <c r="P16" s="45">
        <v>1432.2</v>
      </c>
      <c r="Q16" s="45">
        <f>P16*T16</f>
        <v>8637.3491040990903</v>
      </c>
      <c r="R16" s="45">
        <f>Q16+C16</f>
        <v>324453.49910409912</v>
      </c>
      <c r="S16" s="32">
        <v>324448.08</v>
      </c>
      <c r="T16">
        <v>6.0308260746397782</v>
      </c>
      <c r="V16">
        <v>9151.6774999999998</v>
      </c>
      <c r="W16" s="44">
        <f t="shared" si="1"/>
        <v>0.10627368588982736</v>
      </c>
    </row>
    <row r="17" spans="1:23" x14ac:dyDescent="0.25">
      <c r="A17" s="74" t="s">
        <v>170</v>
      </c>
      <c r="B17" s="32">
        <v>281601.81</v>
      </c>
      <c r="C17" s="32">
        <v>345281.43</v>
      </c>
      <c r="D17" s="45">
        <v>1945</v>
      </c>
      <c r="E17" s="45">
        <f>D17*T17</f>
        <v>12811.246939634044</v>
      </c>
      <c r="F17" s="45">
        <f t="shared" si="0"/>
        <v>358092.67693963402</v>
      </c>
      <c r="G17" s="32">
        <v>354513.46</v>
      </c>
      <c r="H17" s="45">
        <v>2701</v>
      </c>
      <c r="I17" s="45">
        <f>H17*T17</f>
        <v>17790.837009743729</v>
      </c>
      <c r="J17" s="45">
        <f>I17+C17</f>
        <v>363072.26700974372</v>
      </c>
      <c r="K17" s="32">
        <v>355666.39</v>
      </c>
      <c r="L17" s="45">
        <v>2232</v>
      </c>
      <c r="M17" s="45">
        <f>L17*T17</f>
        <v>14701.646873657166</v>
      </c>
      <c r="N17" s="45">
        <f>M17+C17</f>
        <v>359983.07687365718</v>
      </c>
      <c r="O17" s="32">
        <v>356491.42</v>
      </c>
      <c r="P17" s="45">
        <v>1432.2</v>
      </c>
      <c r="Q17" s="45">
        <f>P17*T17</f>
        <v>9433.5567439300157</v>
      </c>
      <c r="R17" s="45">
        <f>Q17+C17</f>
        <v>354714.98674393003</v>
      </c>
      <c r="S17" s="32">
        <v>354778.28</v>
      </c>
      <c r="T17">
        <v>6.5867593519969381</v>
      </c>
      <c r="V17">
        <v>10080.959999999999</v>
      </c>
      <c r="W17" s="44">
        <f t="shared" si="1"/>
        <v>9.2181944973494537E-2</v>
      </c>
    </row>
    <row r="18" spans="1:23" x14ac:dyDescent="0.25">
      <c r="A18" s="61"/>
      <c r="B18" s="86"/>
      <c r="C18" s="61"/>
      <c r="D18" s="61"/>
      <c r="S18" s="43"/>
    </row>
    <row r="19" spans="1:23" x14ac:dyDescent="0.25">
      <c r="A19" s="2"/>
      <c r="B19" s="3" t="s">
        <v>37</v>
      </c>
      <c r="C19" s="3" t="s">
        <v>38</v>
      </c>
      <c r="D19" s="132" t="s">
        <v>304</v>
      </c>
      <c r="E19" s="132" t="s">
        <v>303</v>
      </c>
      <c r="F19" s="3" t="s">
        <v>315</v>
      </c>
      <c r="G19" s="3" t="s">
        <v>229</v>
      </c>
      <c r="H19" s="132" t="s">
        <v>305</v>
      </c>
      <c r="I19" s="132" t="s">
        <v>308</v>
      </c>
      <c r="J19" s="3" t="s">
        <v>316</v>
      </c>
      <c r="K19" s="3" t="s">
        <v>231</v>
      </c>
      <c r="L19" s="132" t="s">
        <v>306</v>
      </c>
      <c r="M19" s="132" t="s">
        <v>309</v>
      </c>
      <c r="N19" s="3" t="s">
        <v>317</v>
      </c>
      <c r="O19" s="3" t="s">
        <v>232</v>
      </c>
      <c r="P19" s="132" t="s">
        <v>307</v>
      </c>
      <c r="Q19" s="132" t="s">
        <v>310</v>
      </c>
      <c r="R19" s="3" t="s">
        <v>318</v>
      </c>
      <c r="S19" s="3" t="s">
        <v>230</v>
      </c>
    </row>
    <row r="20" spans="1:23" x14ac:dyDescent="0.25">
      <c r="A20" s="74" t="s">
        <v>58</v>
      </c>
      <c r="B20" s="45">
        <v>111800.26</v>
      </c>
      <c r="C20" s="45">
        <v>132698.29999999999</v>
      </c>
      <c r="D20" s="45">
        <v>1945</v>
      </c>
      <c r="E20" s="45">
        <f>D20*T20</f>
        <v>4463.2919075365207</v>
      </c>
      <c r="F20" s="45">
        <f>E20+C20</f>
        <v>137161.59190753649</v>
      </c>
      <c r="G20" s="45">
        <v>135676.96</v>
      </c>
      <c r="H20" s="45">
        <v>2701</v>
      </c>
      <c r="I20" s="45">
        <f>H20*T20</f>
        <v>6198.1241348360627</v>
      </c>
      <c r="J20" s="45">
        <f>I20+C20</f>
        <v>138896.42413483604</v>
      </c>
      <c r="K20" s="45">
        <v>136055.56</v>
      </c>
      <c r="L20" s="45">
        <v>2232</v>
      </c>
      <c r="M20" s="45">
        <f>L20*T20</f>
        <v>5121.8856234557916</v>
      </c>
      <c r="N20" s="45">
        <f>M20+C20</f>
        <v>137820.18562345579</v>
      </c>
      <c r="O20" s="45">
        <v>136193.71</v>
      </c>
      <c r="P20" s="45">
        <v>1432.2</v>
      </c>
      <c r="Q20" s="45">
        <f>P20*T20</f>
        <v>3286.5432750507994</v>
      </c>
      <c r="R20" s="45">
        <f>Q20+C20</f>
        <v>135984.84327505078</v>
      </c>
      <c r="S20" s="45">
        <v>135688.01</v>
      </c>
      <c r="T20">
        <v>2.2947516234120928</v>
      </c>
    </row>
    <row r="21" spans="1:23" x14ac:dyDescent="0.25">
      <c r="A21" s="74" t="s">
        <v>55</v>
      </c>
      <c r="B21" s="45">
        <v>125533.64</v>
      </c>
      <c r="C21" s="45">
        <v>148998.76999999999</v>
      </c>
      <c r="D21" s="45">
        <v>1945</v>
      </c>
      <c r="E21" s="45">
        <f>D21*T21</f>
        <v>5062.717680962478</v>
      </c>
      <c r="F21" s="45">
        <f t="shared" ref="F21:F35" si="2">E21+C21</f>
        <v>154061.48768096245</v>
      </c>
      <c r="G21" s="45">
        <v>152374.72</v>
      </c>
      <c r="H21" s="45">
        <v>2701</v>
      </c>
      <c r="I21" s="45">
        <f>H21*T21</f>
        <v>7030.5400803494367</v>
      </c>
      <c r="J21" s="45">
        <f>I21+C21</f>
        <v>156029.31008034942</v>
      </c>
      <c r="K21" s="45">
        <v>152816.93</v>
      </c>
      <c r="L21" s="45">
        <v>2232</v>
      </c>
      <c r="M21" s="45">
        <f>L21*T21</f>
        <v>5809.7613696186381</v>
      </c>
      <c r="N21" s="45">
        <f>M21+C21</f>
        <v>154808.53136961863</v>
      </c>
      <c r="O21" s="45">
        <v>152982.23000000001</v>
      </c>
      <c r="P21" s="45">
        <v>1432.2</v>
      </c>
      <c r="Q21" s="45">
        <f>P21*T21</f>
        <v>3727.9302121719597</v>
      </c>
      <c r="R21" s="45">
        <f>Q21+C21</f>
        <v>152726.70021217194</v>
      </c>
      <c r="S21" s="45">
        <v>152393.15</v>
      </c>
      <c r="T21">
        <v>2.6029396817287807</v>
      </c>
    </row>
    <row r="22" spans="1:23" x14ac:dyDescent="0.25">
      <c r="A22" s="74" t="s">
        <v>56</v>
      </c>
      <c r="B22" s="45">
        <v>112748.02</v>
      </c>
      <c r="C22" s="45">
        <v>133823.22</v>
      </c>
      <c r="D22" s="45">
        <v>1945</v>
      </c>
      <c r="E22" s="45">
        <f>D22*T22</f>
        <v>4578.7443980849039</v>
      </c>
      <c r="F22" s="45">
        <f t="shared" si="2"/>
        <v>138401.96439808491</v>
      </c>
      <c r="G22" s="45">
        <v>136909.26</v>
      </c>
      <c r="H22" s="45">
        <v>2701</v>
      </c>
      <c r="I22" s="45">
        <f>H22*T22</f>
        <v>6358.4517322505526</v>
      </c>
      <c r="J22" s="45">
        <f>I22+C22</f>
        <v>140181.67173225054</v>
      </c>
      <c r="K22" s="45">
        <v>137268.22</v>
      </c>
      <c r="L22" s="45">
        <v>2232</v>
      </c>
      <c r="M22" s="45">
        <f>L22*T22</f>
        <v>5254.3740342033443</v>
      </c>
      <c r="N22" s="45">
        <f>M22+C22</f>
        <v>139077.59403420336</v>
      </c>
      <c r="O22" s="45">
        <v>137358.96</v>
      </c>
      <c r="P22" s="45">
        <v>1432.2</v>
      </c>
      <c r="Q22" s="45">
        <f>P22*T22</f>
        <v>3371.5566719471462</v>
      </c>
      <c r="R22" s="45">
        <f>Q22+C22</f>
        <v>137194.77667194715</v>
      </c>
      <c r="S22" s="45">
        <v>136919.18</v>
      </c>
      <c r="T22">
        <v>2.3541102303778425</v>
      </c>
    </row>
    <row r="23" spans="1:23" x14ac:dyDescent="0.25">
      <c r="A23" s="74" t="s">
        <v>57</v>
      </c>
      <c r="B23" s="45">
        <v>73113.3</v>
      </c>
      <c r="C23" s="45">
        <v>86779.86</v>
      </c>
      <c r="D23" s="45">
        <v>1945</v>
      </c>
      <c r="E23" s="45">
        <f>D23*T23</f>
        <v>4726.2018972800406</v>
      </c>
      <c r="F23" s="45">
        <f t="shared" si="2"/>
        <v>91506.061897280044</v>
      </c>
      <c r="G23" s="45">
        <v>89963.01</v>
      </c>
      <c r="H23" s="45">
        <v>2701</v>
      </c>
      <c r="I23" s="45">
        <f>H23*T23</f>
        <v>6563.224331389918</v>
      </c>
      <c r="J23" s="45">
        <f>I23+C23</f>
        <v>93343.084331389924</v>
      </c>
      <c r="K23" s="45">
        <v>90336.42</v>
      </c>
      <c r="L23" s="45">
        <v>2232</v>
      </c>
      <c r="M23" s="45">
        <f>L23*T23</f>
        <v>5423.5900435624944</v>
      </c>
      <c r="N23" s="45">
        <f>M23+C23</f>
        <v>92203.450043562494</v>
      </c>
      <c r="O23" s="45">
        <v>90454.52</v>
      </c>
      <c r="P23" s="45">
        <v>1432.2</v>
      </c>
      <c r="Q23" s="45">
        <f>P23*T23</f>
        <v>3480.1369446192671</v>
      </c>
      <c r="R23" s="45">
        <f>Q23+C23</f>
        <v>90259.99694461927</v>
      </c>
      <c r="S23" s="45">
        <v>89977.04</v>
      </c>
      <c r="T23">
        <v>2.4299238546426944</v>
      </c>
    </row>
    <row r="24" spans="1:23" x14ac:dyDescent="0.25">
      <c r="A24" s="74" t="s">
        <v>40</v>
      </c>
      <c r="B24" s="32">
        <v>72439.61</v>
      </c>
      <c r="C24" s="32">
        <v>85980.24</v>
      </c>
      <c r="D24" s="45">
        <v>1945</v>
      </c>
      <c r="E24" s="45">
        <f>D24*T24</f>
        <v>4910.3396335377047</v>
      </c>
      <c r="F24" s="45">
        <f t="shared" si="2"/>
        <v>90890.579633537709</v>
      </c>
      <c r="G24" s="32">
        <v>89253.08</v>
      </c>
      <c r="H24" s="45">
        <v>2701</v>
      </c>
      <c r="I24" s="45">
        <f>H24*T24</f>
        <v>6818.9343702752394</v>
      </c>
      <c r="J24" s="45">
        <f>I24+C24</f>
        <v>92799.174370275243</v>
      </c>
      <c r="K24" s="32">
        <v>89695.15</v>
      </c>
      <c r="L24" s="45">
        <v>2232</v>
      </c>
      <c r="M24" s="45">
        <f>L24*T24</f>
        <v>5634.898746558436</v>
      </c>
      <c r="N24" s="45">
        <f>M24+C24</f>
        <v>91615.138746558441</v>
      </c>
      <c r="O24" s="32">
        <v>89812.42</v>
      </c>
      <c r="P24" s="45">
        <v>1432.2</v>
      </c>
      <c r="Q24" s="45">
        <f>P24*T24</f>
        <v>3615.7266957083298</v>
      </c>
      <c r="R24" s="45">
        <f>Q24+C24</f>
        <v>89595.966695708339</v>
      </c>
      <c r="S24" s="32">
        <v>89327.5</v>
      </c>
      <c r="T24">
        <v>2.5245962126157866</v>
      </c>
    </row>
    <row r="25" spans="1:23" x14ac:dyDescent="0.25">
      <c r="A25" s="74" t="s">
        <v>41</v>
      </c>
      <c r="B25" s="32">
        <v>89464.76</v>
      </c>
      <c r="C25" s="32">
        <v>106187.78</v>
      </c>
      <c r="D25" s="45">
        <v>1945</v>
      </c>
      <c r="E25" s="45">
        <f>D25*T25</f>
        <v>5726.3435959623384</v>
      </c>
      <c r="F25" s="45">
        <f t="shared" si="2"/>
        <v>111914.12359596233</v>
      </c>
      <c r="G25" s="32">
        <v>110043.66</v>
      </c>
      <c r="H25" s="45">
        <v>2701</v>
      </c>
      <c r="I25" s="45">
        <f>H25*T25</f>
        <v>7952.110052799113</v>
      </c>
      <c r="J25" s="45">
        <f>I25+C25</f>
        <v>114139.89005279911</v>
      </c>
      <c r="K25" s="32">
        <v>110591.08</v>
      </c>
      <c r="L25" s="45">
        <v>2232</v>
      </c>
      <c r="M25" s="45">
        <f>L25*T25</f>
        <v>6571.3104916133361</v>
      </c>
      <c r="N25" s="45">
        <f>M25+C25</f>
        <v>112759.09049161333</v>
      </c>
      <c r="O25" s="32">
        <v>110681.94</v>
      </c>
      <c r="P25" s="45">
        <v>1432.2</v>
      </c>
      <c r="Q25" s="45">
        <f>P25*T25</f>
        <v>4216.5908987852245</v>
      </c>
      <c r="R25" s="45">
        <f>Q25+C25</f>
        <v>110404.37089878523</v>
      </c>
      <c r="S25" s="32">
        <v>110084.28</v>
      </c>
      <c r="T25">
        <v>2.9441355249163692</v>
      </c>
    </row>
    <row r="26" spans="1:23" x14ac:dyDescent="0.25">
      <c r="A26" s="74" t="s">
        <v>42</v>
      </c>
      <c r="B26" s="32">
        <v>100556.09</v>
      </c>
      <c r="C26" s="32">
        <v>119352.34</v>
      </c>
      <c r="D26" s="45">
        <v>1945</v>
      </c>
      <c r="E26" s="45">
        <f>D26*T26</f>
        <v>5644.4983696030931</v>
      </c>
      <c r="F26" s="45">
        <f t="shared" si="2"/>
        <v>124996.83836960309</v>
      </c>
      <c r="G26" s="32">
        <v>123147.73</v>
      </c>
      <c r="H26" s="45">
        <v>2701</v>
      </c>
      <c r="I26" s="45">
        <f>H26*T26</f>
        <v>7838.4524916699002</v>
      </c>
      <c r="J26" s="45">
        <f>I26+C26</f>
        <v>127190.7924916699</v>
      </c>
      <c r="K26" s="32">
        <v>123690</v>
      </c>
      <c r="L26" s="45">
        <v>2232</v>
      </c>
      <c r="M26" s="45">
        <f>L26*T26</f>
        <v>6477.3883603877148</v>
      </c>
      <c r="N26" s="45">
        <f>M26+C26</f>
        <v>125829.72836038771</v>
      </c>
      <c r="O26" s="32">
        <v>123809.56</v>
      </c>
      <c r="P26" s="45">
        <v>1432.2</v>
      </c>
      <c r="Q26" s="45">
        <f>P26*T26</f>
        <v>4156.32419791545</v>
      </c>
      <c r="R26" s="45">
        <f>Q26+C26</f>
        <v>123508.66419791545</v>
      </c>
      <c r="S26" s="32">
        <v>123237.92</v>
      </c>
      <c r="T26">
        <v>2.9020557170195853</v>
      </c>
    </row>
    <row r="27" spans="1:23" x14ac:dyDescent="0.25">
      <c r="A27" s="74" t="s">
        <v>43</v>
      </c>
      <c r="B27" s="32">
        <v>84986.559999999998</v>
      </c>
      <c r="C27" s="32">
        <v>104321.85</v>
      </c>
      <c r="D27" s="45">
        <v>1945</v>
      </c>
      <c r="E27" s="45">
        <f>D27*T27</f>
        <v>6665.6806443116357</v>
      </c>
      <c r="F27" s="45">
        <f t="shared" si="2"/>
        <v>110987.53064431164</v>
      </c>
      <c r="G27" s="32">
        <v>108854.82</v>
      </c>
      <c r="H27" s="45">
        <v>2701</v>
      </c>
      <c r="I27" s="45">
        <f>H27*T27</f>
        <v>9256.5570284245387</v>
      </c>
      <c r="J27" s="45">
        <f>I27+C27</f>
        <v>113578.40702842454</v>
      </c>
      <c r="K27" s="32">
        <v>109492.6</v>
      </c>
      <c r="L27" s="45">
        <v>2232</v>
      </c>
      <c r="M27" s="45">
        <f>L27*T27</f>
        <v>7649.2540864285711</v>
      </c>
      <c r="N27" s="45">
        <f>M27+C27</f>
        <v>111971.10408642858</v>
      </c>
      <c r="O27" s="32">
        <v>109657.79</v>
      </c>
      <c r="P27" s="45">
        <v>1432.2</v>
      </c>
      <c r="Q27" s="45">
        <f>P27*T27</f>
        <v>4908.2713721250002</v>
      </c>
      <c r="R27" s="45">
        <f>Q27+C27</f>
        <v>109230.12137212501</v>
      </c>
      <c r="S27" s="32">
        <v>108904.89</v>
      </c>
      <c r="T27">
        <v>3.4270851641705069</v>
      </c>
    </row>
    <row r="28" spans="1:23" x14ac:dyDescent="0.25">
      <c r="A28" s="74" t="s">
        <v>44</v>
      </c>
      <c r="B28" s="32">
        <v>80925.17</v>
      </c>
      <c r="C28" s="32">
        <v>99864.16</v>
      </c>
      <c r="D28" s="45">
        <v>1945</v>
      </c>
      <c r="E28" s="45">
        <f>D28*T28</f>
        <v>7379.254560291859</v>
      </c>
      <c r="F28" s="45">
        <f t="shared" si="2"/>
        <v>107243.41456029186</v>
      </c>
      <c r="G28" s="32">
        <v>104919.99</v>
      </c>
      <c r="H28" s="45">
        <v>2701</v>
      </c>
      <c r="I28" s="45">
        <f>H28*T28</f>
        <v>10247.489237711214</v>
      </c>
      <c r="J28" s="45">
        <f>I28+C28</f>
        <v>110111.64923771122</v>
      </c>
      <c r="K28" s="32">
        <v>105610.23</v>
      </c>
      <c r="L28" s="45">
        <v>2232</v>
      </c>
      <c r="M28" s="45">
        <f>L28*T28</f>
        <v>8468.1214285714286</v>
      </c>
      <c r="N28" s="45">
        <f>M28+C28</f>
        <v>108332.28142857143</v>
      </c>
      <c r="O28" s="32">
        <v>105721.79</v>
      </c>
      <c r="P28" s="45">
        <v>1432.2</v>
      </c>
      <c r="Q28" s="45">
        <f>P28*T28</f>
        <v>5433.7112500000003</v>
      </c>
      <c r="R28" s="45">
        <f>Q28+C28</f>
        <v>105297.87125</v>
      </c>
      <c r="S28" s="32">
        <v>105014.51</v>
      </c>
      <c r="T28">
        <v>3.7939612135176652</v>
      </c>
    </row>
    <row r="29" spans="1:23" x14ac:dyDescent="0.25">
      <c r="A29" s="74" t="s">
        <v>45</v>
      </c>
      <c r="B29" s="32">
        <v>169508.6</v>
      </c>
      <c r="C29" s="32">
        <v>210896.55</v>
      </c>
      <c r="D29" s="45">
        <v>1945</v>
      </c>
      <c r="E29" s="45">
        <f>D29*T29</f>
        <v>7726.968125960062</v>
      </c>
      <c r="F29" s="45">
        <f t="shared" si="2"/>
        <v>218623.51812596005</v>
      </c>
      <c r="G29" s="32">
        <v>216156.69</v>
      </c>
      <c r="H29" s="45">
        <v>2701</v>
      </c>
      <c r="I29" s="45">
        <f>H29*T29</f>
        <v>10730.355222734255</v>
      </c>
      <c r="J29" s="45">
        <f>I29+C29</f>
        <v>221626.90522273423</v>
      </c>
      <c r="K29" s="32">
        <v>216851.58</v>
      </c>
      <c r="L29" s="45">
        <v>2232</v>
      </c>
      <c r="M29" s="45">
        <f>L29*T29</f>
        <v>8867.1428571428569</v>
      </c>
      <c r="N29" s="45">
        <f>M29+C29</f>
        <v>219763.69285714286</v>
      </c>
      <c r="O29" s="32">
        <v>217068.79999999999</v>
      </c>
      <c r="P29" s="45">
        <v>1432.2</v>
      </c>
      <c r="Q29" s="45">
        <f>P29*T29</f>
        <v>5689.75</v>
      </c>
      <c r="R29" s="45">
        <f>Q29+C29</f>
        <v>216586.3</v>
      </c>
      <c r="S29" s="32">
        <v>216203.44</v>
      </c>
      <c r="T29">
        <v>3.9727342549923197</v>
      </c>
    </row>
    <row r="30" spans="1:23" x14ac:dyDescent="0.25">
      <c r="A30" s="74" t="s">
        <v>46</v>
      </c>
      <c r="B30" s="32">
        <v>138564.54</v>
      </c>
      <c r="C30" s="32">
        <v>170815.75</v>
      </c>
      <c r="D30" s="45">
        <v>1945</v>
      </c>
      <c r="E30" s="45">
        <f>D30*T30</f>
        <v>7469.2780337941631</v>
      </c>
      <c r="F30" s="45">
        <f t="shared" si="2"/>
        <v>178285.02803379417</v>
      </c>
      <c r="G30" s="32">
        <v>175915.75</v>
      </c>
      <c r="H30" s="45">
        <v>2701</v>
      </c>
      <c r="I30" s="45">
        <f>H30*T30</f>
        <v>10372.503840245776</v>
      </c>
      <c r="J30" s="45">
        <f>I30+C30</f>
        <v>181188.25384024577</v>
      </c>
      <c r="K30" s="32">
        <v>176605.75</v>
      </c>
      <c r="L30" s="45">
        <v>2232</v>
      </c>
      <c r="M30" s="45">
        <f>L30*T30</f>
        <v>8571.4285714285706</v>
      </c>
      <c r="N30" s="45">
        <f>M30+C30</f>
        <v>179387.17857142858</v>
      </c>
      <c r="O30" s="32">
        <v>176750.75</v>
      </c>
      <c r="P30" s="45">
        <v>1432.2</v>
      </c>
      <c r="Q30" s="45">
        <f>P30*T30</f>
        <v>5500</v>
      </c>
      <c r="R30" s="45">
        <f>Q30+C30</f>
        <v>176315.75</v>
      </c>
      <c r="S30" s="32">
        <v>175989.75</v>
      </c>
      <c r="T30">
        <v>3.8402457757296466</v>
      </c>
    </row>
    <row r="31" spans="1:23" x14ac:dyDescent="0.25">
      <c r="A31" s="74" t="s">
        <v>132</v>
      </c>
      <c r="B31" s="32">
        <v>169397.01</v>
      </c>
      <c r="C31" s="32">
        <v>208824.55</v>
      </c>
      <c r="D31" s="45">
        <v>1945</v>
      </c>
      <c r="E31" s="45">
        <f>D31*T31</f>
        <v>7469.2780337941631</v>
      </c>
      <c r="F31" s="45">
        <f t="shared" si="2"/>
        <v>216293.82803379415</v>
      </c>
      <c r="G31" s="50">
        <v>214711.48</v>
      </c>
      <c r="H31" s="45">
        <v>2701</v>
      </c>
      <c r="I31" s="45">
        <f>H31*T31</f>
        <v>10372.503840245776</v>
      </c>
      <c r="J31" s="45">
        <f>I31+C31</f>
        <v>219197.05384024576</v>
      </c>
      <c r="K31" s="50">
        <v>215392.15</v>
      </c>
      <c r="L31" s="45">
        <v>2232</v>
      </c>
      <c r="M31" s="45">
        <f>L31*T31</f>
        <v>8571.4285714285706</v>
      </c>
      <c r="N31" s="45">
        <f>M31+C31</f>
        <v>217395.97857142857</v>
      </c>
      <c r="O31" s="50">
        <v>215640.31</v>
      </c>
      <c r="P31" s="45">
        <v>1432.2</v>
      </c>
      <c r="Q31" s="45">
        <f>P31*T31</f>
        <v>5500</v>
      </c>
      <c r="R31" s="45">
        <f>Q31+C31</f>
        <v>214324.55</v>
      </c>
      <c r="S31" s="50">
        <v>214848.64000000001</v>
      </c>
      <c r="T31">
        <v>3.8402457757296466</v>
      </c>
    </row>
    <row r="32" spans="1:23" x14ac:dyDescent="0.25">
      <c r="A32" s="74" t="s">
        <v>133</v>
      </c>
      <c r="B32" s="32">
        <v>219304.53</v>
      </c>
      <c r="C32" s="32">
        <v>270348.15999999997</v>
      </c>
      <c r="D32" s="45">
        <v>1945</v>
      </c>
      <c r="E32" s="45">
        <f>D32*T32</f>
        <v>7469.2780337941631</v>
      </c>
      <c r="F32" s="45">
        <f t="shared" si="2"/>
        <v>277817.43803379411</v>
      </c>
      <c r="G32" s="50">
        <v>277018.64</v>
      </c>
      <c r="H32" s="45">
        <v>2701</v>
      </c>
      <c r="I32" s="45">
        <f>H32*T32</f>
        <v>10372.503840245776</v>
      </c>
      <c r="J32" s="45">
        <f>I32+C32</f>
        <v>280720.66384024575</v>
      </c>
      <c r="K32" s="50">
        <v>277883.82</v>
      </c>
      <c r="L32" s="45">
        <v>2232</v>
      </c>
      <c r="M32" s="45">
        <f>L32*T32</f>
        <v>8571.4285714285706</v>
      </c>
      <c r="N32" s="45">
        <f>M32+C32</f>
        <v>278919.58857142855</v>
      </c>
      <c r="O32" s="50">
        <v>278213.53999999998</v>
      </c>
      <c r="P32" s="45">
        <v>1432.2</v>
      </c>
      <c r="Q32" s="45">
        <f>P32*T32</f>
        <v>5500</v>
      </c>
      <c r="R32" s="45">
        <f>Q32+C32</f>
        <v>275848.15999999997</v>
      </c>
      <c r="S32" s="50">
        <v>277217.43</v>
      </c>
      <c r="T32">
        <v>3.8402457757296466</v>
      </c>
    </row>
    <row r="33" spans="1:20" x14ac:dyDescent="0.25">
      <c r="A33" s="74" t="s">
        <v>134</v>
      </c>
      <c r="B33" s="32">
        <v>261725.71</v>
      </c>
      <c r="C33" s="32">
        <v>322642.96000000002</v>
      </c>
      <c r="D33" s="45">
        <v>1945</v>
      </c>
      <c r="E33" s="45">
        <f>D33*T33</f>
        <v>7469.2780337941631</v>
      </c>
      <c r="F33" s="45">
        <f t="shared" si="2"/>
        <v>330112.23803379416</v>
      </c>
      <c r="G33" s="50">
        <v>330115.90000000002</v>
      </c>
      <c r="H33" s="45">
        <v>2701</v>
      </c>
      <c r="I33" s="45">
        <f>H33*T33</f>
        <v>10372.503840245776</v>
      </c>
      <c r="J33" s="45">
        <f>I33+C33</f>
        <v>333015.46384024579</v>
      </c>
      <c r="K33" s="50">
        <v>331180.86</v>
      </c>
      <c r="L33" s="45">
        <v>2232</v>
      </c>
      <c r="M33" s="45">
        <f>L33*T33</f>
        <v>8571.4285714285706</v>
      </c>
      <c r="N33" s="45">
        <f>M33+C33</f>
        <v>331214.3885714286</v>
      </c>
      <c r="O33" s="50">
        <v>331604.77</v>
      </c>
      <c r="P33" s="45">
        <v>1432.2</v>
      </c>
      <c r="Q33" s="45">
        <f>P33*T33</f>
        <v>5500</v>
      </c>
      <c r="R33" s="45">
        <f>Q33+C33</f>
        <v>328142.96000000002</v>
      </c>
      <c r="S33" s="50">
        <v>330386.69</v>
      </c>
      <c r="T33">
        <v>3.8402457757296466</v>
      </c>
    </row>
    <row r="34" spans="1:20" x14ac:dyDescent="0.25">
      <c r="A34" s="74" t="s">
        <v>135</v>
      </c>
      <c r="B34" s="32">
        <v>304887.56</v>
      </c>
      <c r="C34" s="32">
        <v>375850.83</v>
      </c>
      <c r="D34" s="45">
        <v>1945</v>
      </c>
      <c r="E34" s="45">
        <f>D34*T34</f>
        <v>7469.2780337941631</v>
      </c>
      <c r="F34" s="45">
        <f t="shared" si="2"/>
        <v>383320.10803379415</v>
      </c>
      <c r="G34" s="50">
        <v>384202.59</v>
      </c>
      <c r="H34" s="45">
        <v>2701</v>
      </c>
      <c r="I34" s="45">
        <f>H34*T34</f>
        <v>10372.503840245776</v>
      </c>
      <c r="J34" s="45">
        <f>I34+C34</f>
        <v>386223.33384024579</v>
      </c>
      <c r="K34" s="50">
        <v>385376.57</v>
      </c>
      <c r="L34" s="45">
        <v>2232</v>
      </c>
      <c r="M34" s="45">
        <f>L34*T34</f>
        <v>8571.4285714285706</v>
      </c>
      <c r="N34" s="45">
        <f>M34+C34</f>
        <v>384422.2585714286</v>
      </c>
      <c r="O34" s="50">
        <v>385948.11</v>
      </c>
      <c r="P34" s="45">
        <v>1432.2</v>
      </c>
      <c r="Q34" s="45">
        <f>P34*T34</f>
        <v>5500</v>
      </c>
      <c r="R34" s="45">
        <f>Q34+C34</f>
        <v>381350.83</v>
      </c>
      <c r="S34" s="50">
        <v>384482.77</v>
      </c>
      <c r="T34">
        <v>3.8402457757296466</v>
      </c>
    </row>
    <row r="35" spans="1:20" x14ac:dyDescent="0.25">
      <c r="A35" s="74" t="s">
        <v>170</v>
      </c>
      <c r="B35" s="32">
        <v>334973.64</v>
      </c>
      <c r="C35" s="32">
        <v>412939.51</v>
      </c>
      <c r="D35" s="45">
        <v>1945</v>
      </c>
      <c r="E35" s="45">
        <f>D35*T35</f>
        <v>7469.2780337941631</v>
      </c>
      <c r="F35" s="45">
        <f t="shared" si="2"/>
        <v>420408.78803379415</v>
      </c>
      <c r="G35" s="50">
        <v>422171.54</v>
      </c>
      <c r="H35" s="45">
        <v>2701</v>
      </c>
      <c r="I35" s="45">
        <f>H35*T35</f>
        <v>10372.503840245776</v>
      </c>
      <c r="J35" s="45">
        <f>I35+C35</f>
        <v>423312.01384024578</v>
      </c>
      <c r="K35" s="50">
        <v>423324.47</v>
      </c>
      <c r="L35" s="45">
        <v>2232</v>
      </c>
      <c r="M35" s="45">
        <f>L35*T35</f>
        <v>8571.4285714285706</v>
      </c>
      <c r="N35" s="45">
        <f>M35+C35</f>
        <v>421510.93857142859</v>
      </c>
      <c r="O35" s="50">
        <v>424149.51</v>
      </c>
      <c r="P35" s="45">
        <v>1432.2</v>
      </c>
      <c r="Q35" s="45">
        <f>P35*T35</f>
        <v>5500</v>
      </c>
      <c r="R35" s="45">
        <f>Q35+C35</f>
        <v>418439.51</v>
      </c>
      <c r="S35" s="50">
        <v>422436.36</v>
      </c>
      <c r="T35">
        <v>3.8402457757296466</v>
      </c>
    </row>
    <row r="38" spans="1:20" x14ac:dyDescent="0.25">
      <c r="A38" s="170" t="s">
        <v>28</v>
      </c>
      <c r="B38" s="171"/>
      <c r="C38" s="171"/>
      <c r="D38" s="171"/>
      <c r="E38" s="172"/>
    </row>
    <row r="39" spans="1:20" x14ac:dyDescent="0.25">
      <c r="A39" s="30" t="s">
        <v>29</v>
      </c>
      <c r="B39" s="30" t="s">
        <v>30</v>
      </c>
      <c r="C39" s="30" t="s">
        <v>31</v>
      </c>
      <c r="D39" s="30" t="s">
        <v>32</v>
      </c>
      <c r="E39" s="30" t="s">
        <v>33</v>
      </c>
    </row>
    <row r="40" spans="1:20" x14ac:dyDescent="0.25">
      <c r="A40" s="31">
        <v>2023</v>
      </c>
      <c r="B40" s="32">
        <v>82.220708999999999</v>
      </c>
      <c r="C40" s="32">
        <v>81.116755999999995</v>
      </c>
      <c r="D40" s="32">
        <v>82.899286000000004</v>
      </c>
      <c r="E40" s="31">
        <v>122</v>
      </c>
    </row>
    <row r="41" spans="1:20" x14ac:dyDescent="0.25">
      <c r="A41" s="31">
        <v>2022</v>
      </c>
      <c r="B41" s="32">
        <v>78.627602999999993</v>
      </c>
      <c r="C41" s="32">
        <v>73.877999000000003</v>
      </c>
      <c r="D41" s="32">
        <v>83.038965000000005</v>
      </c>
      <c r="E41" s="31">
        <v>257</v>
      </c>
    </row>
    <row r="42" spans="1:20" x14ac:dyDescent="0.25">
      <c r="A42" s="31">
        <v>2021</v>
      </c>
      <c r="B42" s="32">
        <v>73.944862000000001</v>
      </c>
      <c r="C42" s="32">
        <v>72.349744999999999</v>
      </c>
      <c r="D42" s="32">
        <v>76.393625</v>
      </c>
      <c r="E42" s="31">
        <v>258</v>
      </c>
    </row>
    <row r="43" spans="1:20" x14ac:dyDescent="0.25">
      <c r="A43" s="31">
        <v>2020</v>
      </c>
      <c r="B43" s="32">
        <v>74.108329999999995</v>
      </c>
      <c r="C43" s="32">
        <v>70.797432999999998</v>
      </c>
      <c r="D43" s="32">
        <v>76.936421999999993</v>
      </c>
      <c r="E43" s="31">
        <v>257</v>
      </c>
    </row>
    <row r="44" spans="1:20" x14ac:dyDescent="0.25">
      <c r="A44" s="31">
        <v>2019</v>
      </c>
      <c r="B44" s="32">
        <v>70.427300000000002</v>
      </c>
      <c r="C44" s="32">
        <v>68.364643000000001</v>
      </c>
      <c r="D44" s="32">
        <v>72.411996000000002</v>
      </c>
      <c r="E44" s="31">
        <v>255</v>
      </c>
    </row>
    <row r="45" spans="1:20" x14ac:dyDescent="0.25">
      <c r="A45" s="31">
        <v>2018</v>
      </c>
      <c r="B45" s="32">
        <v>68.448351000000002</v>
      </c>
      <c r="C45" s="32">
        <v>63.369863000000002</v>
      </c>
      <c r="D45" s="32">
        <v>74.406645999999995</v>
      </c>
      <c r="E45" s="31">
        <v>255</v>
      </c>
    </row>
    <row r="46" spans="1:20" x14ac:dyDescent="0.25">
      <c r="A46" s="31">
        <v>2017</v>
      </c>
      <c r="B46" s="32">
        <v>65.128967000000003</v>
      </c>
      <c r="C46" s="32">
        <v>63.619396999999999</v>
      </c>
      <c r="D46" s="32">
        <v>68.391412000000003</v>
      </c>
      <c r="E46" s="31">
        <v>255</v>
      </c>
    </row>
    <row r="47" spans="1:20" x14ac:dyDescent="0.25">
      <c r="A47" s="31">
        <v>2016</v>
      </c>
      <c r="B47" s="32">
        <v>67.197564999999997</v>
      </c>
      <c r="C47" s="32">
        <v>66.105008999999995</v>
      </c>
      <c r="D47" s="32">
        <v>68.875033999999999</v>
      </c>
      <c r="E47" s="31">
        <v>257</v>
      </c>
    </row>
    <row r="48" spans="1:20" x14ac:dyDescent="0.25">
      <c r="A48" s="31">
        <v>2015</v>
      </c>
      <c r="B48" s="32">
        <v>64.178068999999994</v>
      </c>
      <c r="C48" s="32">
        <v>61.384220999999997</v>
      </c>
      <c r="D48" s="32">
        <v>67.145042000000004</v>
      </c>
      <c r="E48" s="31">
        <v>256</v>
      </c>
    </row>
    <row r="49" spans="1:5" x14ac:dyDescent="0.25">
      <c r="A49" s="31">
        <v>2014</v>
      </c>
      <c r="B49" s="32">
        <v>61.022620000000003</v>
      </c>
      <c r="C49" s="32">
        <v>58.459980000000002</v>
      </c>
      <c r="D49" s="32">
        <v>63.988035000000004</v>
      </c>
      <c r="E49" s="31">
        <v>255</v>
      </c>
    </row>
    <row r="50" spans="1:5" x14ac:dyDescent="0.25">
      <c r="A50" s="31">
        <v>2013</v>
      </c>
      <c r="B50" s="32">
        <v>58.638576</v>
      </c>
      <c r="C50" s="32">
        <v>53.135111000000002</v>
      </c>
      <c r="D50" s="32">
        <v>68.978048000000001</v>
      </c>
      <c r="E50" s="31">
        <v>255</v>
      </c>
    </row>
    <row r="51" spans="1:5" x14ac:dyDescent="0.25">
      <c r="A51" s="31">
        <v>2012</v>
      </c>
      <c r="B51" s="32">
        <v>53.434263999999999</v>
      </c>
      <c r="C51" s="32">
        <v>48.804710999999998</v>
      </c>
      <c r="D51" s="32">
        <v>57.152085</v>
      </c>
      <c r="E51" s="31">
        <v>256</v>
      </c>
    </row>
  </sheetData>
  <mergeCells count="1">
    <mergeCell ref="A38:E3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9FCFF-0244-4435-9270-E4130ED26DCB}">
  <dimension ref="A1:V38"/>
  <sheetViews>
    <sheetView showGridLines="0" zoomScale="80" zoomScaleNormal="80" workbookViewId="0">
      <selection activeCell="R1" sqref="R1:V14"/>
    </sheetView>
  </sheetViews>
  <sheetFormatPr defaultRowHeight="15" x14ac:dyDescent="0.25"/>
  <cols>
    <col min="1" max="13" width="11.28515625" style="63" customWidth="1"/>
    <col min="14" max="14" width="16.28515625" style="63" bestFit="1" customWidth="1"/>
    <col min="15" max="15" width="17" style="63" bestFit="1" customWidth="1"/>
    <col min="16" max="16" width="19.140625" style="63" bestFit="1" customWidth="1"/>
    <col min="17" max="18" width="11.28515625" style="63" customWidth="1"/>
    <col min="19" max="19" width="16.85546875" style="63" bestFit="1" customWidth="1"/>
    <col min="20" max="20" width="12.42578125" style="63" bestFit="1" customWidth="1"/>
    <col min="21" max="21" width="13.140625" style="63" bestFit="1" customWidth="1"/>
    <col min="22" max="23" width="18.5703125" style="63" bestFit="1" customWidth="1"/>
    <col min="24" max="16384" width="9.140625" style="63"/>
  </cols>
  <sheetData>
    <row r="1" spans="1:22" x14ac:dyDescent="0.25">
      <c r="A1" s="162" t="s">
        <v>63</v>
      </c>
      <c r="B1" s="162"/>
      <c r="C1" s="162"/>
      <c r="D1" s="162"/>
      <c r="E1" s="162"/>
      <c r="F1" s="162"/>
      <c r="G1" s="162"/>
      <c r="H1" s="162"/>
      <c r="I1" s="162"/>
      <c r="J1" s="162"/>
      <c r="K1" s="162"/>
      <c r="L1" s="162"/>
      <c r="M1" s="162"/>
      <c r="N1" s="162"/>
      <c r="O1" s="165" t="s">
        <v>97</v>
      </c>
      <c r="P1" s="166" t="s">
        <v>98</v>
      </c>
      <c r="Q1" s="67"/>
      <c r="R1" s="146" t="s">
        <v>28</v>
      </c>
      <c r="S1" s="146"/>
      <c r="T1" s="146"/>
      <c r="U1" s="146"/>
      <c r="V1" s="146"/>
    </row>
    <row r="2" spans="1:22" x14ac:dyDescent="0.25">
      <c r="A2" s="164" t="s">
        <v>96</v>
      </c>
      <c r="B2" s="164"/>
      <c r="C2" s="164"/>
      <c r="D2" s="164"/>
      <c r="E2" s="164"/>
      <c r="F2" s="164"/>
      <c r="G2" s="164"/>
      <c r="H2" s="164"/>
      <c r="I2" s="164"/>
      <c r="J2" s="164"/>
      <c r="K2" s="164"/>
      <c r="L2" s="164"/>
      <c r="M2" s="164"/>
      <c r="N2" s="164"/>
      <c r="O2" s="165"/>
      <c r="P2" s="166" t="s">
        <v>98</v>
      </c>
      <c r="Q2" s="67"/>
      <c r="R2" s="30" t="s">
        <v>29</v>
      </c>
      <c r="S2" s="30" t="s">
        <v>30</v>
      </c>
      <c r="T2" s="30" t="s">
        <v>31</v>
      </c>
      <c r="U2" s="30" t="s">
        <v>32</v>
      </c>
      <c r="V2" s="30" t="s">
        <v>33</v>
      </c>
    </row>
    <row r="3" spans="1:22" x14ac:dyDescent="0.25">
      <c r="A3" s="64"/>
      <c r="B3" s="64" t="s">
        <v>64</v>
      </c>
      <c r="C3" s="64" t="s">
        <v>65</v>
      </c>
      <c r="D3" s="64" t="s">
        <v>66</v>
      </c>
      <c r="E3" s="64" t="s">
        <v>67</v>
      </c>
      <c r="F3" s="64" t="s">
        <v>68</v>
      </c>
      <c r="G3" s="64" t="s">
        <v>69</v>
      </c>
      <c r="H3" s="64" t="s">
        <v>70</v>
      </c>
      <c r="I3" s="64" t="s">
        <v>71</v>
      </c>
      <c r="J3" s="64" t="s">
        <v>72</v>
      </c>
      <c r="K3" s="64" t="s">
        <v>73</v>
      </c>
      <c r="L3" s="64" t="s">
        <v>74</v>
      </c>
      <c r="M3" s="64" t="s">
        <v>75</v>
      </c>
      <c r="N3" s="64" t="s">
        <v>99</v>
      </c>
      <c r="O3" s="165"/>
      <c r="P3" s="166"/>
      <c r="Q3" s="67"/>
      <c r="R3" s="31">
        <v>2023</v>
      </c>
      <c r="S3" s="32">
        <v>82.220708999999999</v>
      </c>
      <c r="T3" s="32">
        <v>81.116755999999995</v>
      </c>
      <c r="U3" s="32">
        <v>82.899286000000004</v>
      </c>
      <c r="V3" s="31">
        <v>122</v>
      </c>
    </row>
    <row r="4" spans="1:22" x14ac:dyDescent="0.25">
      <c r="A4" s="74" t="s">
        <v>58</v>
      </c>
      <c r="B4" s="69">
        <v>117.97</v>
      </c>
      <c r="C4" s="69">
        <v>108.05</v>
      </c>
      <c r="D4" s="69">
        <v>94.51</v>
      </c>
      <c r="E4" s="69">
        <v>100.34</v>
      </c>
      <c r="F4" s="69">
        <v>110.07</v>
      </c>
      <c r="G4" s="69">
        <v>111.77</v>
      </c>
      <c r="H4" s="69">
        <v>109.79</v>
      </c>
      <c r="I4" s="69">
        <v>107.87</v>
      </c>
      <c r="J4" s="69">
        <v>107.28</v>
      </c>
      <c r="K4" s="69">
        <v>109.55</v>
      </c>
      <c r="L4" s="69">
        <v>112.68</v>
      </c>
      <c r="M4" s="69">
        <v>106.45</v>
      </c>
      <c r="N4" s="70">
        <v>107.97</v>
      </c>
      <c r="O4" s="72">
        <f>N4/0.138</f>
        <v>782.39130434782601</v>
      </c>
      <c r="P4" s="73">
        <f>O4*S13</f>
        <v>45878.311961739128</v>
      </c>
      <c r="Q4" s="67"/>
      <c r="R4" s="31">
        <v>2022</v>
      </c>
      <c r="S4" s="32">
        <v>78.627602999999993</v>
      </c>
      <c r="T4" s="32">
        <v>73.877999000000003</v>
      </c>
      <c r="U4" s="32">
        <v>83.038965000000005</v>
      </c>
      <c r="V4" s="31">
        <v>257</v>
      </c>
    </row>
    <row r="5" spans="1:22" x14ac:dyDescent="0.25">
      <c r="A5" s="74" t="s">
        <v>55</v>
      </c>
      <c r="B5" s="69">
        <v>101.57</v>
      </c>
      <c r="C5" s="69">
        <v>101.1</v>
      </c>
      <c r="D5" s="69">
        <v>101.11</v>
      </c>
      <c r="E5" s="69">
        <v>104.86</v>
      </c>
      <c r="F5" s="69">
        <v>108.45</v>
      </c>
      <c r="G5" s="69">
        <v>109.47</v>
      </c>
      <c r="H5" s="69">
        <v>107.37</v>
      </c>
      <c r="I5" s="69">
        <v>106.55</v>
      </c>
      <c r="J5" s="69">
        <v>108.72</v>
      </c>
      <c r="K5" s="69">
        <v>105.29</v>
      </c>
      <c r="L5" s="69">
        <v>106.19</v>
      </c>
      <c r="M5" s="69">
        <v>105.3</v>
      </c>
      <c r="N5" s="70">
        <v>105.52</v>
      </c>
      <c r="O5" s="72">
        <f t="shared" ref="O5:O14" si="0">N5/0.138</f>
        <v>764.63768115942025</v>
      </c>
      <c r="P5" s="73">
        <f>O5*S12</f>
        <v>46660.194655072461</v>
      </c>
      <c r="Q5" s="67"/>
      <c r="R5" s="31">
        <v>2021</v>
      </c>
      <c r="S5" s="32">
        <v>73.944862000000001</v>
      </c>
      <c r="T5" s="32">
        <v>72.349744999999999</v>
      </c>
      <c r="U5" s="32">
        <v>76.393625</v>
      </c>
      <c r="V5" s="31">
        <v>258</v>
      </c>
    </row>
    <row r="6" spans="1:22" x14ac:dyDescent="0.25">
      <c r="A6" s="74" t="s">
        <v>56</v>
      </c>
      <c r="B6" s="69">
        <v>105.56</v>
      </c>
      <c r="C6" s="69">
        <v>106.85</v>
      </c>
      <c r="D6" s="69">
        <v>109.05</v>
      </c>
      <c r="E6" s="69">
        <v>106.3</v>
      </c>
      <c r="F6" s="69">
        <v>101.89</v>
      </c>
      <c r="G6" s="69">
        <v>96.96</v>
      </c>
      <c r="H6" s="69">
        <v>86.83</v>
      </c>
      <c r="I6" s="69">
        <v>77.58</v>
      </c>
      <c r="J6" s="69">
        <v>61.21</v>
      </c>
      <c r="K6" s="69">
        <v>46.59</v>
      </c>
      <c r="L6" s="69">
        <v>56.43</v>
      </c>
      <c r="M6" s="69">
        <v>55.18</v>
      </c>
      <c r="N6" s="70">
        <v>84.16</v>
      </c>
      <c r="O6" s="72">
        <f t="shared" si="0"/>
        <v>609.85507246376801</v>
      </c>
      <c r="P6" s="73">
        <f>O6*S11</f>
        <v>39139.320920579703</v>
      </c>
      <c r="Q6" s="67"/>
      <c r="R6" s="31">
        <v>2020</v>
      </c>
      <c r="S6" s="32">
        <v>74.108329999999995</v>
      </c>
      <c r="T6" s="32">
        <v>70.797432999999998</v>
      </c>
      <c r="U6" s="32">
        <v>76.936421999999993</v>
      </c>
      <c r="V6" s="31">
        <v>257</v>
      </c>
    </row>
    <row r="7" spans="1:22" x14ac:dyDescent="0.25">
      <c r="A7" s="74" t="s">
        <v>57</v>
      </c>
      <c r="B7" s="69">
        <v>59.07</v>
      </c>
      <c r="C7" s="69">
        <v>63.82</v>
      </c>
      <c r="D7" s="69">
        <v>61.75</v>
      </c>
      <c r="E7" s="69">
        <v>56.3</v>
      </c>
      <c r="F7" s="69">
        <v>47.33</v>
      </c>
      <c r="G7" s="69">
        <v>46.1</v>
      </c>
      <c r="H7" s="69">
        <v>46.68</v>
      </c>
      <c r="I7" s="69">
        <v>42.5</v>
      </c>
      <c r="J7" s="69">
        <v>35.68</v>
      </c>
      <c r="K7" s="69">
        <v>28.08</v>
      </c>
      <c r="L7" s="69">
        <v>30.53</v>
      </c>
      <c r="M7" s="69">
        <v>36.42</v>
      </c>
      <c r="N7" s="70">
        <v>46.17</v>
      </c>
      <c r="O7" s="72">
        <f t="shared" si="0"/>
        <v>334.56521739130432</v>
      </c>
      <c r="P7" s="73">
        <f>O7*S10</f>
        <v>22481.9679423913</v>
      </c>
      <c r="Q7" s="67"/>
      <c r="R7" s="31">
        <v>2019</v>
      </c>
      <c r="S7" s="32">
        <v>70.427300000000002</v>
      </c>
      <c r="T7" s="32">
        <v>68.364643000000001</v>
      </c>
      <c r="U7" s="32">
        <v>72.411996000000002</v>
      </c>
      <c r="V7" s="31">
        <v>255</v>
      </c>
    </row>
    <row r="8" spans="1:22" x14ac:dyDescent="0.25">
      <c r="A8" s="74" t="s">
        <v>40</v>
      </c>
      <c r="B8" s="69">
        <v>39.880000000000003</v>
      </c>
      <c r="C8" s="69">
        <v>45.01</v>
      </c>
      <c r="D8" s="69">
        <v>46.96</v>
      </c>
      <c r="E8" s="69">
        <v>43.52</v>
      </c>
      <c r="F8" s="69">
        <v>44.38</v>
      </c>
      <c r="G8" s="69">
        <v>44.48</v>
      </c>
      <c r="H8" s="69">
        <v>49.25</v>
      </c>
      <c r="I8" s="69">
        <v>44.46</v>
      </c>
      <c r="J8" s="69">
        <v>52.74</v>
      </c>
      <c r="K8" s="69">
        <v>54.08</v>
      </c>
      <c r="L8" s="69">
        <v>54.86</v>
      </c>
      <c r="M8" s="69">
        <v>51.47</v>
      </c>
      <c r="N8" s="70">
        <v>47.56</v>
      </c>
      <c r="O8" s="72">
        <f t="shared" si="0"/>
        <v>344.63768115942025</v>
      </c>
      <c r="P8" s="73">
        <f>O8*S9</f>
        <v>22445.896163188405</v>
      </c>
      <c r="Q8" s="67"/>
      <c r="R8" s="31">
        <v>2018</v>
      </c>
      <c r="S8" s="32">
        <v>68.448351000000002</v>
      </c>
      <c r="T8" s="32">
        <v>63.369863000000002</v>
      </c>
      <c r="U8" s="32">
        <v>74.406645999999995</v>
      </c>
      <c r="V8" s="31">
        <v>255</v>
      </c>
    </row>
    <row r="9" spans="1:22" x14ac:dyDescent="0.25">
      <c r="A9" s="74" t="s">
        <v>41</v>
      </c>
      <c r="B9" s="69">
        <v>52.49</v>
      </c>
      <c r="C9" s="69">
        <v>50.57</v>
      </c>
      <c r="D9" s="69">
        <v>46.56</v>
      </c>
      <c r="E9" s="69">
        <v>47.86</v>
      </c>
      <c r="F9" s="69">
        <v>50.63</v>
      </c>
      <c r="G9" s="69">
        <v>54.52</v>
      </c>
      <c r="H9" s="69">
        <v>56.06</v>
      </c>
      <c r="I9" s="69">
        <v>61.32</v>
      </c>
      <c r="J9" s="69">
        <v>62.29</v>
      </c>
      <c r="K9" s="69">
        <v>67.06</v>
      </c>
      <c r="L9" s="69">
        <v>63.54</v>
      </c>
      <c r="M9" s="69">
        <v>63.8</v>
      </c>
      <c r="N9" s="70">
        <v>56.43</v>
      </c>
      <c r="O9" s="72">
        <f t="shared" si="0"/>
        <v>408.91304347826082</v>
      </c>
      <c r="P9" s="73">
        <f>O9*S8</f>
        <v>27989.423528478259</v>
      </c>
      <c r="Q9" s="67"/>
      <c r="R9" s="31">
        <v>2017</v>
      </c>
      <c r="S9" s="32">
        <v>65.128967000000003</v>
      </c>
      <c r="T9" s="32">
        <v>63.619396999999999</v>
      </c>
      <c r="U9" s="32">
        <v>68.391412000000003</v>
      </c>
      <c r="V9" s="31">
        <v>255</v>
      </c>
    </row>
    <row r="10" spans="1:22" x14ac:dyDescent="0.25">
      <c r="A10" s="74" t="s">
        <v>42</v>
      </c>
      <c r="B10" s="69">
        <v>69.22</v>
      </c>
      <c r="C10" s="69">
        <v>75.25</v>
      </c>
      <c r="D10" s="69">
        <v>73.83</v>
      </c>
      <c r="E10" s="69">
        <v>73.47</v>
      </c>
      <c r="F10" s="69">
        <v>72.53</v>
      </c>
      <c r="G10" s="69">
        <v>77.88</v>
      </c>
      <c r="H10" s="69">
        <v>80.08</v>
      </c>
      <c r="I10" s="69">
        <v>65.400000000000006</v>
      </c>
      <c r="J10" s="69">
        <v>57.77</v>
      </c>
      <c r="K10" s="69">
        <v>59.27</v>
      </c>
      <c r="L10" s="69">
        <v>64.53</v>
      </c>
      <c r="M10" s="69">
        <v>66.739999999999995</v>
      </c>
      <c r="N10" s="70">
        <v>69.88</v>
      </c>
      <c r="O10" s="72">
        <f t="shared" si="0"/>
        <v>506.37681159420282</v>
      </c>
      <c r="P10" s="73">
        <f>O10*S7</f>
        <v>35662.7516231884</v>
      </c>
      <c r="Q10" s="67"/>
      <c r="R10" s="31">
        <v>2016</v>
      </c>
      <c r="S10" s="32">
        <v>67.197564999999997</v>
      </c>
      <c r="T10" s="32">
        <v>66.105008999999995</v>
      </c>
      <c r="U10" s="32">
        <v>68.875033999999999</v>
      </c>
      <c r="V10" s="31">
        <v>257</v>
      </c>
    </row>
    <row r="11" spans="1:22" x14ac:dyDescent="0.25">
      <c r="A11" s="74" t="s">
        <v>43</v>
      </c>
      <c r="B11" s="69">
        <v>71</v>
      </c>
      <c r="C11" s="69">
        <v>70.010000000000005</v>
      </c>
      <c r="D11" s="69">
        <v>62.37</v>
      </c>
      <c r="E11" s="69">
        <v>63.63</v>
      </c>
      <c r="F11" s="69">
        <v>59.35</v>
      </c>
      <c r="G11" s="69">
        <v>61.72</v>
      </c>
      <c r="H11" s="69">
        <v>59.7</v>
      </c>
      <c r="I11" s="69">
        <v>62.53</v>
      </c>
      <c r="J11" s="69">
        <v>65.5</v>
      </c>
      <c r="K11" s="69">
        <v>64.31</v>
      </c>
      <c r="L11" s="69">
        <v>54.63</v>
      </c>
      <c r="M11" s="69">
        <v>33.36</v>
      </c>
      <c r="N11" s="70">
        <v>60.47</v>
      </c>
      <c r="O11" s="72">
        <f t="shared" si="0"/>
        <v>438.18840579710138</v>
      </c>
      <c r="P11" s="73">
        <f>O11*S6</f>
        <v>32473.410978985499</v>
      </c>
      <c r="Q11" s="67"/>
      <c r="R11" s="31">
        <v>2015</v>
      </c>
      <c r="S11" s="32">
        <v>64.178068999999994</v>
      </c>
      <c r="T11" s="32">
        <v>61.384220999999997</v>
      </c>
      <c r="U11" s="32">
        <v>67.145042000000004</v>
      </c>
      <c r="V11" s="31">
        <v>256</v>
      </c>
    </row>
    <row r="12" spans="1:22" x14ac:dyDescent="0.25">
      <c r="A12" s="74" t="s">
        <v>44</v>
      </c>
      <c r="B12" s="69">
        <v>19.899999999999999</v>
      </c>
      <c r="C12" s="69">
        <v>30.61</v>
      </c>
      <c r="D12" s="69">
        <v>40.630000000000003</v>
      </c>
      <c r="E12" s="69">
        <v>43.35</v>
      </c>
      <c r="F12" s="69">
        <v>44.19</v>
      </c>
      <c r="G12" s="69">
        <v>41.35</v>
      </c>
      <c r="H12" s="69">
        <v>40.659999999999997</v>
      </c>
      <c r="I12" s="69">
        <v>43.34</v>
      </c>
      <c r="J12" s="69">
        <v>49.84</v>
      </c>
      <c r="K12" s="69">
        <v>54.79</v>
      </c>
      <c r="L12" s="69">
        <v>61.22</v>
      </c>
      <c r="M12" s="69">
        <v>64.73</v>
      </c>
      <c r="N12" s="70">
        <v>44.82</v>
      </c>
      <c r="O12" s="72">
        <f t="shared" si="0"/>
        <v>324.78260869565213</v>
      </c>
      <c r="P12" s="73">
        <f>O12*S5</f>
        <v>24016.005179999996</v>
      </c>
      <c r="Q12" s="67"/>
      <c r="R12" s="31">
        <v>2014</v>
      </c>
      <c r="S12" s="32">
        <v>61.022620000000003</v>
      </c>
      <c r="T12" s="32">
        <v>58.459980000000002</v>
      </c>
      <c r="U12" s="32">
        <v>63.988035000000004</v>
      </c>
      <c r="V12" s="31">
        <v>255</v>
      </c>
    </row>
    <row r="13" spans="1:22" x14ac:dyDescent="0.25">
      <c r="A13" s="74" t="s">
        <v>45</v>
      </c>
      <c r="B13" s="69">
        <v>63.4</v>
      </c>
      <c r="C13" s="69">
        <v>66.95</v>
      </c>
      <c r="D13" s="69">
        <v>71.98</v>
      </c>
      <c r="E13" s="69">
        <v>73.540000000000006</v>
      </c>
      <c r="F13" s="69">
        <v>69.8</v>
      </c>
      <c r="G13" s="69">
        <v>73.13</v>
      </c>
      <c r="H13" s="69">
        <v>82.11</v>
      </c>
      <c r="I13" s="69">
        <v>80.64</v>
      </c>
      <c r="J13" s="69">
        <v>73.3</v>
      </c>
      <c r="K13" s="69">
        <v>84.67</v>
      </c>
      <c r="L13" s="69">
        <v>94.07</v>
      </c>
      <c r="M13" s="69">
        <v>112.87</v>
      </c>
      <c r="N13" s="70">
        <v>79.180000000000007</v>
      </c>
      <c r="O13" s="72">
        <f t="shared" si="0"/>
        <v>573.768115942029</v>
      </c>
      <c r="P13" s="73">
        <f>O13*S4</f>
        <v>45114.011634347822</v>
      </c>
      <c r="Q13" s="67"/>
      <c r="R13" s="31">
        <v>2013</v>
      </c>
      <c r="S13" s="32">
        <v>58.638576</v>
      </c>
      <c r="T13" s="32">
        <v>53.135111000000002</v>
      </c>
      <c r="U13" s="32">
        <v>68.978048000000001</v>
      </c>
      <c r="V13" s="31">
        <v>255</v>
      </c>
    </row>
    <row r="14" spans="1:22" x14ac:dyDescent="0.25">
      <c r="A14" s="74" t="s">
        <v>46</v>
      </c>
      <c r="B14" s="69">
        <v>102.97</v>
      </c>
      <c r="C14" s="69">
        <v>109.51</v>
      </c>
      <c r="D14" s="69">
        <v>116.01</v>
      </c>
      <c r="E14" s="69">
        <v>105.49</v>
      </c>
      <c r="F14" s="69">
        <v>97.4</v>
      </c>
      <c r="G14" s="69">
        <v>90.71</v>
      </c>
      <c r="H14" s="69">
        <v>91.7</v>
      </c>
      <c r="I14" s="69">
        <v>87.55</v>
      </c>
      <c r="J14" s="69">
        <v>78.099999999999994</v>
      </c>
      <c r="K14" s="69">
        <v>80.92</v>
      </c>
      <c r="L14" s="69">
        <v>82.28</v>
      </c>
      <c r="M14" s="69">
        <v>78.540000000000006</v>
      </c>
      <c r="N14" s="70">
        <v>93.15</v>
      </c>
      <c r="O14" s="72">
        <f t="shared" si="0"/>
        <v>675</v>
      </c>
      <c r="P14" s="73">
        <f>O14*S3</f>
        <v>55498.978575000001</v>
      </c>
      <c r="Q14" s="67"/>
      <c r="R14" s="31">
        <v>2012</v>
      </c>
      <c r="S14" s="32">
        <v>53.434263999999999</v>
      </c>
      <c r="T14" s="32">
        <v>48.804710999999998</v>
      </c>
      <c r="U14" s="32">
        <v>57.152085</v>
      </c>
      <c r="V14" s="31">
        <v>256</v>
      </c>
    </row>
    <row r="15" spans="1:22" x14ac:dyDescent="0.25">
      <c r="A15" s="71" t="s">
        <v>76</v>
      </c>
      <c r="B15" s="65"/>
      <c r="C15" s="65"/>
      <c r="D15" s="65"/>
      <c r="E15" s="65"/>
      <c r="F15" s="65"/>
      <c r="G15" s="66"/>
      <c r="H15" s="66"/>
      <c r="I15" s="66"/>
      <c r="J15" s="66"/>
      <c r="K15" s="66"/>
      <c r="L15" s="66"/>
      <c r="M15" s="66"/>
      <c r="N15" s="62"/>
      <c r="O15" s="67"/>
      <c r="P15" s="85"/>
      <c r="Q15" s="67"/>
      <c r="R15" s="67"/>
      <c r="S15" s="67"/>
      <c r="T15" s="67"/>
      <c r="U15" s="67"/>
      <c r="V15" s="67"/>
    </row>
    <row r="16" spans="1:22" ht="27.75" customHeight="1" x14ac:dyDescent="0.25">
      <c r="A16" s="163" t="s">
        <v>77</v>
      </c>
      <c r="B16" s="163"/>
      <c r="C16" s="163"/>
      <c r="D16" s="163"/>
      <c r="E16" s="163"/>
      <c r="F16" s="163"/>
      <c r="G16" s="163"/>
      <c r="H16" s="163"/>
      <c r="I16" s="163"/>
      <c r="J16" s="163"/>
      <c r="K16" s="163"/>
      <c r="L16" s="163"/>
      <c r="M16" s="163"/>
      <c r="N16" s="163"/>
      <c r="O16" s="67"/>
      <c r="P16" s="67"/>
      <c r="Q16" s="67"/>
      <c r="R16" s="67"/>
      <c r="S16" s="67"/>
      <c r="T16" s="67"/>
      <c r="U16" s="67"/>
      <c r="V16" s="67"/>
    </row>
    <row r="17" spans="1:22" x14ac:dyDescent="0.25">
      <c r="A17" s="163" t="s">
        <v>78</v>
      </c>
      <c r="B17" s="163"/>
      <c r="C17" s="163"/>
      <c r="D17" s="163"/>
      <c r="E17" s="163"/>
      <c r="F17" s="163"/>
      <c r="G17" s="163"/>
      <c r="H17" s="163"/>
      <c r="I17" s="163"/>
      <c r="J17" s="163"/>
      <c r="K17" s="163"/>
      <c r="L17" s="163"/>
      <c r="M17" s="163"/>
      <c r="N17" s="163"/>
      <c r="O17" s="67"/>
      <c r="P17" s="67"/>
      <c r="Q17" s="67"/>
      <c r="R17" s="67"/>
      <c r="S17" s="67"/>
      <c r="T17" s="67"/>
      <c r="U17" s="67"/>
      <c r="V17" s="67"/>
    </row>
    <row r="18" spans="1:22" ht="15.75" x14ac:dyDescent="0.25">
      <c r="F18" s="68"/>
      <c r="G18" s="68"/>
      <c r="H18" s="68"/>
      <c r="I18" s="68"/>
      <c r="J18" s="68"/>
      <c r="K18" s="68"/>
      <c r="L18" s="68"/>
      <c r="M18" s="68"/>
      <c r="N18" s="68"/>
    </row>
    <row r="19" spans="1:22" ht="15.75" x14ac:dyDescent="0.25">
      <c r="F19" s="68"/>
      <c r="G19" s="68"/>
      <c r="H19" s="68"/>
      <c r="I19" s="68"/>
      <c r="J19" s="68"/>
      <c r="K19" s="68"/>
      <c r="L19" s="68"/>
      <c r="M19" s="68"/>
      <c r="N19" s="68"/>
    </row>
    <row r="20" spans="1:22" ht="15.75" customHeight="1" x14ac:dyDescent="0.25">
      <c r="F20" s="68"/>
      <c r="G20" s="68"/>
      <c r="H20" s="68"/>
      <c r="I20" s="68"/>
      <c r="J20" s="68"/>
      <c r="K20" s="68"/>
      <c r="L20" s="68"/>
      <c r="M20" s="68"/>
      <c r="N20" s="68"/>
    </row>
    <row r="21" spans="1:22" ht="15.75" customHeight="1" x14ac:dyDescent="0.25">
      <c r="F21" s="68"/>
      <c r="G21" s="68"/>
      <c r="H21" s="68"/>
      <c r="I21" s="68"/>
      <c r="J21" s="68"/>
      <c r="K21" s="68"/>
      <c r="L21" s="68"/>
      <c r="M21" s="68"/>
      <c r="N21" s="68"/>
    </row>
    <row r="22" spans="1:22" ht="15.75" customHeight="1" x14ac:dyDescent="0.25">
      <c r="F22" s="68"/>
      <c r="G22" s="68"/>
      <c r="H22" s="68"/>
      <c r="I22" s="68"/>
      <c r="J22" s="68"/>
      <c r="K22" s="68"/>
      <c r="L22" s="68"/>
      <c r="M22" s="68"/>
      <c r="N22" s="68"/>
    </row>
    <row r="23" spans="1:22" ht="15.75" customHeight="1" x14ac:dyDescent="0.25">
      <c r="F23" s="68"/>
      <c r="G23" s="68"/>
      <c r="H23" s="68"/>
      <c r="I23" s="68"/>
      <c r="J23" s="68"/>
      <c r="K23" s="68"/>
      <c r="L23" s="68"/>
      <c r="M23" s="68"/>
      <c r="N23" s="68"/>
      <c r="O23" s="68"/>
      <c r="P23" s="68"/>
      <c r="Q23" s="68"/>
    </row>
    <row r="24" spans="1:22" ht="15.75" customHeight="1" x14ac:dyDescent="0.25">
      <c r="F24" s="68"/>
      <c r="G24" s="68"/>
      <c r="H24" s="68"/>
      <c r="I24" s="68"/>
      <c r="J24" s="68"/>
      <c r="K24" s="68"/>
      <c r="L24" s="68"/>
      <c r="M24" s="68"/>
      <c r="N24" s="68"/>
      <c r="O24" s="68"/>
      <c r="P24" s="68"/>
      <c r="Q24" s="68"/>
    </row>
    <row r="25" spans="1:22" ht="15.75" customHeight="1" x14ac:dyDescent="0.25">
      <c r="F25" s="68"/>
      <c r="G25" s="68"/>
      <c r="H25" s="68"/>
      <c r="I25" s="68"/>
      <c r="J25" s="68"/>
      <c r="K25" s="68"/>
      <c r="L25" s="68"/>
      <c r="M25" s="68"/>
      <c r="N25" s="68"/>
      <c r="O25" s="68"/>
      <c r="P25" s="68"/>
      <c r="Q25" s="68"/>
    </row>
    <row r="26" spans="1:22" ht="15.75" customHeight="1" x14ac:dyDescent="0.25">
      <c r="F26" s="68"/>
      <c r="G26" s="68"/>
      <c r="H26" s="68"/>
      <c r="I26" s="68"/>
      <c r="J26" s="68"/>
      <c r="K26" s="68"/>
      <c r="L26" s="68"/>
      <c r="M26" s="68"/>
      <c r="N26" s="68"/>
      <c r="O26" s="68"/>
      <c r="P26" s="68"/>
      <c r="Q26" s="68"/>
    </row>
    <row r="27" spans="1:22" ht="15.75" customHeight="1" x14ac:dyDescent="0.25">
      <c r="F27" s="68"/>
      <c r="G27" s="68"/>
      <c r="H27" s="68"/>
      <c r="I27" s="68"/>
      <c r="J27" s="68"/>
      <c r="K27" s="68"/>
      <c r="L27" s="68"/>
      <c r="M27" s="68"/>
      <c r="N27" s="68"/>
      <c r="O27" s="68"/>
      <c r="P27" s="68"/>
      <c r="Q27" s="68"/>
    </row>
    <row r="28" spans="1:22" ht="15.75" customHeight="1" x14ac:dyDescent="0.25">
      <c r="F28" s="68"/>
      <c r="G28" s="68"/>
      <c r="H28" s="68"/>
      <c r="I28" s="68"/>
      <c r="J28" s="68"/>
      <c r="K28" s="68"/>
      <c r="L28" s="68"/>
      <c r="M28" s="68"/>
      <c r="N28" s="68"/>
      <c r="O28" s="68"/>
      <c r="P28" s="68"/>
      <c r="Q28" s="68"/>
    </row>
    <row r="29" spans="1:22" ht="15.75" customHeight="1" x14ac:dyDescent="0.25">
      <c r="F29" s="68"/>
      <c r="G29" s="68"/>
      <c r="H29" s="68"/>
      <c r="I29" s="68"/>
      <c r="J29" s="68"/>
      <c r="K29" s="68"/>
      <c r="L29" s="68"/>
      <c r="M29" s="68"/>
      <c r="N29" s="68"/>
      <c r="O29" s="68"/>
      <c r="P29" s="68"/>
      <c r="Q29" s="68"/>
    </row>
    <row r="30" spans="1:22" ht="15.75" customHeight="1" x14ac:dyDescent="0.25">
      <c r="F30" s="68"/>
      <c r="G30" s="68"/>
      <c r="H30" s="68"/>
      <c r="I30" s="68"/>
      <c r="J30" s="68"/>
      <c r="K30" s="68"/>
      <c r="L30" s="68"/>
      <c r="M30" s="68"/>
      <c r="N30" s="68"/>
      <c r="O30" s="68"/>
      <c r="P30" s="68"/>
      <c r="Q30" s="68"/>
    </row>
    <row r="31" spans="1:22" ht="15.75" customHeight="1" x14ac:dyDescent="0.25">
      <c r="O31" s="68"/>
      <c r="P31" s="68"/>
      <c r="Q31" s="68"/>
    </row>
    <row r="32" spans="1:22" ht="15.75" x14ac:dyDescent="0.25">
      <c r="O32" s="68"/>
      <c r="P32" s="68"/>
      <c r="Q32" s="68"/>
    </row>
    <row r="33" spans="15:17" ht="15.75" x14ac:dyDescent="0.25">
      <c r="O33" s="68"/>
      <c r="P33" s="68"/>
      <c r="Q33" s="68"/>
    </row>
    <row r="34" spans="15:17" ht="15.75" x14ac:dyDescent="0.25">
      <c r="O34" s="68"/>
      <c r="P34" s="68"/>
      <c r="Q34" s="68"/>
    </row>
    <row r="35" spans="15:17" ht="15.75" x14ac:dyDescent="0.25">
      <c r="O35" s="68"/>
      <c r="P35" s="68"/>
      <c r="Q35" s="68"/>
    </row>
    <row r="36" spans="15:17" ht="15.75" x14ac:dyDescent="0.25">
      <c r="O36" s="68"/>
      <c r="P36" s="68"/>
      <c r="Q36" s="68"/>
    </row>
    <row r="37" spans="15:17" ht="15.75" x14ac:dyDescent="0.25">
      <c r="O37" s="68"/>
      <c r="P37" s="68"/>
      <c r="Q37" s="68"/>
    </row>
    <row r="38" spans="15:17" ht="15.75" x14ac:dyDescent="0.25">
      <c r="O38" s="68"/>
      <c r="P38" s="68"/>
      <c r="Q38" s="68"/>
    </row>
  </sheetData>
  <mergeCells count="7">
    <mergeCell ref="A1:N1"/>
    <mergeCell ref="A16:N16"/>
    <mergeCell ref="A17:N17"/>
    <mergeCell ref="R1:V1"/>
    <mergeCell ref="A2:N2"/>
    <mergeCell ref="O1:O3"/>
    <mergeCell ref="P1:P3"/>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2A52C-9FCE-4129-B97D-E838E0979E3A}">
  <dimension ref="A1:I14"/>
  <sheetViews>
    <sheetView showGridLines="0" workbookViewId="0">
      <selection activeCell="I8" sqref="I7:I8"/>
    </sheetView>
  </sheetViews>
  <sheetFormatPr defaultRowHeight="15" x14ac:dyDescent="0.25"/>
  <cols>
    <col min="2" max="2" width="47.7109375" bestFit="1" customWidth="1"/>
    <col min="3" max="3" width="49.140625" bestFit="1" customWidth="1"/>
  </cols>
  <sheetData>
    <row r="1" spans="1:9" x14ac:dyDescent="0.25">
      <c r="A1" s="48"/>
      <c r="B1" s="47" t="s">
        <v>60</v>
      </c>
      <c r="C1" s="47" t="s">
        <v>61</v>
      </c>
      <c r="E1" s="146" t="s">
        <v>28</v>
      </c>
      <c r="F1" s="146"/>
      <c r="G1" s="146"/>
      <c r="H1" s="146"/>
      <c r="I1" s="146"/>
    </row>
    <row r="2" spans="1:9" x14ac:dyDescent="0.25">
      <c r="A2" s="74" t="s">
        <v>58</v>
      </c>
      <c r="B2" s="49">
        <v>59710</v>
      </c>
      <c r="C2" s="49">
        <v>56350</v>
      </c>
      <c r="E2" s="30" t="s">
        <v>29</v>
      </c>
      <c r="F2" s="30" t="s">
        <v>30</v>
      </c>
      <c r="G2" s="30" t="s">
        <v>31</v>
      </c>
      <c r="H2" s="30" t="s">
        <v>32</v>
      </c>
      <c r="I2" s="30" t="s">
        <v>33</v>
      </c>
    </row>
    <row r="3" spans="1:9" x14ac:dyDescent="0.25">
      <c r="A3" s="74" t="s">
        <v>55</v>
      </c>
      <c r="B3" s="49">
        <v>62230</v>
      </c>
      <c r="C3" s="49">
        <v>58580</v>
      </c>
      <c r="E3" s="31">
        <v>2023</v>
      </c>
      <c r="F3" s="32">
        <v>82.220708999999999</v>
      </c>
      <c r="G3" s="32">
        <v>81.116755999999995</v>
      </c>
      <c r="H3" s="32">
        <v>82.899286000000004</v>
      </c>
      <c r="I3" s="31">
        <v>122</v>
      </c>
    </row>
    <row r="4" spans="1:9" x14ac:dyDescent="0.25">
      <c r="A4" s="74" t="s">
        <v>56</v>
      </c>
      <c r="B4" s="49">
        <v>48540</v>
      </c>
      <c r="C4" s="49">
        <v>44480</v>
      </c>
      <c r="E4" s="31">
        <v>2022</v>
      </c>
      <c r="F4" s="32">
        <v>78.627602999999993</v>
      </c>
      <c r="G4" s="32">
        <v>73.877999000000003</v>
      </c>
      <c r="H4" s="32">
        <v>83.038965000000005</v>
      </c>
      <c r="I4" s="31">
        <v>257</v>
      </c>
    </row>
    <row r="5" spans="1:9" x14ac:dyDescent="0.25">
      <c r="A5" s="74" t="s">
        <v>57</v>
      </c>
      <c r="B5" s="49">
        <v>38640</v>
      </c>
      <c r="C5" s="49">
        <v>34790</v>
      </c>
      <c r="E5" s="31">
        <v>2021</v>
      </c>
      <c r="F5" s="32">
        <v>73.944862000000001</v>
      </c>
      <c r="G5" s="32">
        <v>72.349744999999999</v>
      </c>
      <c r="H5" s="32">
        <v>76.393625</v>
      </c>
      <c r="I5" s="31">
        <v>258</v>
      </c>
    </row>
    <row r="6" spans="1:9" x14ac:dyDescent="0.25">
      <c r="A6" s="74" t="s">
        <v>40</v>
      </c>
      <c r="B6" s="49">
        <v>46240</v>
      </c>
      <c r="C6" s="49">
        <v>43640</v>
      </c>
      <c r="E6" s="31">
        <v>2020</v>
      </c>
      <c r="F6" s="32">
        <v>74.108329999999995</v>
      </c>
      <c r="G6" s="32">
        <v>70.797432999999998</v>
      </c>
      <c r="H6" s="32">
        <v>76.936421999999993</v>
      </c>
      <c r="I6" s="31">
        <v>257</v>
      </c>
    </row>
    <row r="7" spans="1:9" x14ac:dyDescent="0.25">
      <c r="A7" s="74" t="s">
        <v>41</v>
      </c>
      <c r="B7" s="49">
        <v>63830</v>
      </c>
      <c r="C7" s="49">
        <v>61210</v>
      </c>
      <c r="E7" s="31">
        <v>2019</v>
      </c>
      <c r="F7" s="32">
        <v>70.427300000000002</v>
      </c>
      <c r="G7" s="32">
        <v>68.364643000000001</v>
      </c>
      <c r="H7" s="32">
        <v>72.411996000000002</v>
      </c>
      <c r="I7" s="31">
        <v>255</v>
      </c>
    </row>
    <row r="8" spans="1:9" x14ac:dyDescent="0.25">
      <c r="A8" s="74" t="s">
        <v>42</v>
      </c>
      <c r="B8" s="49">
        <v>65010</v>
      </c>
      <c r="C8" s="49">
        <v>61710</v>
      </c>
      <c r="E8" s="31">
        <v>2018</v>
      </c>
      <c r="F8" s="32">
        <v>68.448351000000002</v>
      </c>
      <c r="G8" s="32">
        <v>63.369863000000002</v>
      </c>
      <c r="H8" s="32">
        <v>74.406645999999995</v>
      </c>
      <c r="I8" s="31">
        <v>255</v>
      </c>
    </row>
    <row r="9" spans="1:9" x14ac:dyDescent="0.25">
      <c r="A9" s="74" t="s">
        <v>43</v>
      </c>
      <c r="B9" s="49">
        <v>62370</v>
      </c>
      <c r="C9" s="49">
        <v>58470</v>
      </c>
      <c r="E9" s="31">
        <v>2017</v>
      </c>
      <c r="F9" s="32">
        <v>65.128967000000003</v>
      </c>
      <c r="G9" s="32">
        <v>63.619396999999999</v>
      </c>
      <c r="H9" s="32">
        <v>68.391412000000003</v>
      </c>
      <c r="I9" s="31">
        <v>255</v>
      </c>
    </row>
    <row r="10" spans="1:9" x14ac:dyDescent="0.25">
      <c r="A10" s="74" t="s">
        <v>44</v>
      </c>
      <c r="B10" s="49">
        <v>65340</v>
      </c>
      <c r="C10" s="49">
        <v>61420</v>
      </c>
      <c r="E10" s="31">
        <v>2016</v>
      </c>
      <c r="F10" s="32">
        <v>67.197564999999997</v>
      </c>
      <c r="G10" s="32">
        <v>66.105008999999995</v>
      </c>
      <c r="H10" s="32">
        <v>68.875033999999999</v>
      </c>
      <c r="I10" s="31">
        <v>257</v>
      </c>
    </row>
    <row r="11" spans="1:9" x14ac:dyDescent="0.25">
      <c r="A11" s="74" t="s">
        <v>45</v>
      </c>
      <c r="B11" s="49">
        <v>82746</v>
      </c>
      <c r="C11" s="49">
        <v>75875</v>
      </c>
      <c r="E11" s="31">
        <v>2015</v>
      </c>
      <c r="F11" s="32">
        <v>64.178068999999994</v>
      </c>
      <c r="G11" s="32">
        <v>61.384220999999997</v>
      </c>
      <c r="H11" s="32">
        <v>67.145042000000004</v>
      </c>
      <c r="I11" s="31">
        <v>256</v>
      </c>
    </row>
    <row r="12" spans="1:9" x14ac:dyDescent="0.25">
      <c r="A12" s="74" t="s">
        <v>46</v>
      </c>
      <c r="B12" s="49">
        <v>95743</v>
      </c>
      <c r="C12" s="49">
        <v>88975</v>
      </c>
      <c r="E12" s="31">
        <v>2014</v>
      </c>
      <c r="F12" s="32">
        <v>61.022620000000003</v>
      </c>
      <c r="G12" s="32">
        <v>58.459980000000002</v>
      </c>
      <c r="H12" s="32">
        <v>63.988035000000004</v>
      </c>
      <c r="I12" s="31">
        <v>255</v>
      </c>
    </row>
    <row r="13" spans="1:9" x14ac:dyDescent="0.25">
      <c r="A13" s="61" t="s">
        <v>62</v>
      </c>
      <c r="B13" s="61"/>
      <c r="C13" s="61"/>
      <c r="E13" s="31">
        <v>2013</v>
      </c>
      <c r="F13" s="32">
        <v>58.638576</v>
      </c>
      <c r="G13" s="32">
        <v>53.135111000000002</v>
      </c>
      <c r="H13" s="32">
        <v>68.978048000000001</v>
      </c>
      <c r="I13" s="31">
        <v>255</v>
      </c>
    </row>
    <row r="14" spans="1:9" x14ac:dyDescent="0.25">
      <c r="E14" s="31">
        <v>2012</v>
      </c>
      <c r="F14" s="32">
        <v>53.434263999999999</v>
      </c>
      <c r="G14" s="32">
        <v>48.804710999999998</v>
      </c>
      <c r="H14" s="32">
        <v>57.152085</v>
      </c>
      <c r="I14" s="31">
        <v>256</v>
      </c>
    </row>
  </sheetData>
  <mergeCells count="1">
    <mergeCell ref="E1:I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Propylene Price</vt:lpstr>
      <vt:lpstr>Price Calcuation </vt:lpstr>
      <vt:lpstr>Price (H)</vt:lpstr>
      <vt:lpstr>Price (f)</vt:lpstr>
      <vt:lpstr>Regionwise</vt:lpstr>
      <vt:lpstr>Price (f)-Regionwise</vt:lpstr>
      <vt:lpstr>Sheet1</vt:lpstr>
      <vt:lpstr>Crude Oil (H)</vt:lpstr>
      <vt:lpstr>Propylene (H)</vt:lpstr>
      <vt:lpstr>PropyleneP_Crude oil_Regression</vt:lpstr>
      <vt:lpstr>EAA_Del_Price_PropyleneP_Regres</vt:lpstr>
      <vt:lpstr>GAA_Del_Price_PropyleneP_Regres</vt:lpstr>
      <vt:lpstr>Correl_Multivar_Regression</vt:lpstr>
      <vt:lpstr>Sheet8</vt:lpstr>
      <vt:lpstr>Production Cost &amp; Margin</vt:lpstr>
      <vt:lpstr>Crude oil (f)</vt:lpstr>
      <vt:lpstr>Propylene(f)</vt:lpstr>
      <vt:lpstr>Glacial Acrylic Acid(F)</vt:lpstr>
      <vt:lpstr>Ester Acrylic Acid_Forecast</vt:lpstr>
      <vt:lpstr>Sheet2</vt:lpstr>
      <vt:lpstr>India 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Hardik Malhotra</dc:creator>
  <cp:lastModifiedBy>Hardik Malhotra</cp:lastModifiedBy>
  <dcterms:created xsi:type="dcterms:W3CDTF">2023-06-25T17:04:13Z</dcterms:created>
  <dcterms:modified xsi:type="dcterms:W3CDTF">2023-07-13T08:50:45Z</dcterms:modified>
</cp:coreProperties>
</file>