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"/>
    </mc:Choice>
  </mc:AlternateContent>
  <xr:revisionPtr revIDLastSave="0" documentId="13_ncr:1_{90FE1E6A-A65A-4907-8767-4575CDB48F19}" xr6:coauthVersionLast="47" xr6:coauthVersionMax="47" xr10:uidLastSave="{00000000-0000-0000-0000-000000000000}"/>
  <bookViews>
    <workbookView xWindow="-120" yWindow="-120" windowWidth="29040" windowHeight="15720" tabRatio="927" activeTab="6" xr2:uid="{D2CB12C7-D4FD-434B-869A-389959ABC1EE}"/>
  </bookViews>
  <sheets>
    <sheet name="Capacity By Location" sheetId="1" r:id="rId1"/>
    <sheet name="Capacity By Company" sheetId="2" r:id="rId2"/>
    <sheet name="Operating Efficiency" sheetId="3" r:id="rId3"/>
    <sheet name="Production By Company" sheetId="4" r:id="rId4"/>
    <sheet name="Demand Supply Gap" sheetId="5" r:id="rId5"/>
    <sheet name="Demand By End Use" sheetId="6" r:id="rId6"/>
    <sheet name="Demand By Region" sheetId="7" r:id="rId7"/>
    <sheet name="Demand By Sales Chann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8" l="1"/>
  <c r="J12" i="8"/>
  <c r="J13" i="8" s="1"/>
  <c r="C6" i="7" l="1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B6" i="7"/>
  <c r="X14" i="6" l="1"/>
  <c r="X15" i="6" s="1"/>
  <c r="X13" i="6"/>
  <c r="X12" i="6"/>
  <c r="M25" i="7"/>
  <c r="N25" i="7"/>
  <c r="O25" i="7"/>
  <c r="P25" i="7"/>
  <c r="Q25" i="7"/>
  <c r="R25" i="7"/>
  <c r="S25" i="7"/>
  <c r="T25" i="7"/>
  <c r="U25" i="7"/>
  <c r="V25" i="7"/>
  <c r="C26" i="7"/>
  <c r="D26" i="7"/>
  <c r="E26" i="7"/>
  <c r="F26" i="7"/>
  <c r="G26" i="7"/>
  <c r="H26" i="7"/>
  <c r="M26" i="7"/>
  <c r="N26" i="7"/>
  <c r="O26" i="7"/>
  <c r="P26" i="7"/>
  <c r="Q26" i="7"/>
  <c r="R26" i="7"/>
  <c r="S26" i="7"/>
  <c r="T26" i="7"/>
  <c r="U26" i="7"/>
  <c r="V26" i="7"/>
  <c r="B26" i="7"/>
  <c r="V75" i="7"/>
  <c r="U75" i="7"/>
  <c r="T75" i="7"/>
  <c r="S75" i="7"/>
  <c r="R75" i="7"/>
  <c r="Q75" i="7"/>
  <c r="P75" i="7"/>
  <c r="O75" i="7"/>
  <c r="N75" i="7"/>
  <c r="M75" i="7"/>
  <c r="L75" i="7"/>
  <c r="K75" i="7"/>
  <c r="J75" i="7"/>
  <c r="I75" i="7"/>
  <c r="C8" i="6"/>
  <c r="D8" i="6"/>
  <c r="E8" i="6"/>
  <c r="F8" i="6"/>
  <c r="G8" i="6"/>
  <c r="H8" i="6"/>
  <c r="B8" i="6"/>
  <c r="J8" i="6"/>
  <c r="K8" i="6"/>
  <c r="L8" i="6"/>
  <c r="M8" i="6"/>
  <c r="N8" i="6"/>
  <c r="O8" i="6"/>
  <c r="P8" i="6"/>
  <c r="Q8" i="6"/>
  <c r="R8" i="6"/>
  <c r="S8" i="6"/>
  <c r="T8" i="6"/>
  <c r="U8" i="6"/>
  <c r="V8" i="6"/>
  <c r="I8" i="6"/>
  <c r="H6" i="5" l="1"/>
  <c r="H8" i="3"/>
  <c r="H9" i="3" s="1"/>
  <c r="H6" i="3"/>
  <c r="H7" i="3" s="1"/>
  <c r="J50" i="6"/>
  <c r="K50" i="6"/>
  <c r="J52" i="6"/>
  <c r="K52" i="6"/>
  <c r="J53" i="6"/>
  <c r="K53" i="6"/>
  <c r="J54" i="6"/>
  <c r="K54" i="6"/>
  <c r="J55" i="6"/>
  <c r="K55" i="6"/>
  <c r="I52" i="6"/>
  <c r="I53" i="6"/>
  <c r="I54" i="6"/>
  <c r="I55" i="6"/>
  <c r="I50" i="6"/>
  <c r="C24" i="7"/>
  <c r="D24" i="7"/>
  <c r="E24" i="7"/>
  <c r="F24" i="7"/>
  <c r="G24" i="7"/>
  <c r="H24" i="7"/>
  <c r="M24" i="7"/>
  <c r="N24" i="7"/>
  <c r="O24" i="7"/>
  <c r="P24" i="7"/>
  <c r="Q24" i="7"/>
  <c r="R24" i="7"/>
  <c r="S24" i="7"/>
  <c r="T24" i="7"/>
  <c r="U24" i="7"/>
  <c r="V24" i="7"/>
  <c r="B25" i="7"/>
  <c r="B24" i="7"/>
  <c r="C25" i="7"/>
  <c r="D25" i="7"/>
  <c r="E25" i="7"/>
  <c r="F25" i="7"/>
  <c r="G25" i="7"/>
  <c r="H25" i="7"/>
  <c r="B3" i="2"/>
  <c r="C3" i="2"/>
  <c r="C3" i="4" s="1"/>
  <c r="D3" i="2"/>
  <c r="D3" i="4" s="1"/>
  <c r="E3" i="2"/>
  <c r="E3" i="4" s="1"/>
  <c r="F3" i="2"/>
  <c r="F3" i="4" s="1"/>
  <c r="G3" i="2"/>
  <c r="H3" i="2"/>
  <c r="H3" i="4" s="1"/>
  <c r="I3" i="2"/>
  <c r="I3" i="4" s="1"/>
  <c r="J3" i="2"/>
  <c r="J3" i="4" s="1"/>
  <c r="L3" i="2"/>
  <c r="L3" i="4" s="1"/>
  <c r="L8" i="7" s="1"/>
  <c r="M3" i="2"/>
  <c r="M3" i="4" s="1"/>
  <c r="M8" i="7" s="1"/>
  <c r="N3" i="2"/>
  <c r="N3" i="4" s="1"/>
  <c r="N8" i="7" s="1"/>
  <c r="O3" i="2"/>
  <c r="O3" i="4" s="1"/>
  <c r="O8" i="7" s="1"/>
  <c r="P3" i="2"/>
  <c r="Q3" i="2"/>
  <c r="Q3" i="4" s="1"/>
  <c r="Q8" i="7" s="1"/>
  <c r="R3" i="2"/>
  <c r="R3" i="4" s="1"/>
  <c r="R8" i="7" s="1"/>
  <c r="S3" i="2"/>
  <c r="S3" i="4" s="1"/>
  <c r="S8" i="7" s="1"/>
  <c r="T3" i="2"/>
  <c r="T3" i="4" s="1"/>
  <c r="T8" i="7" s="1"/>
  <c r="U3" i="2"/>
  <c r="U3" i="4" s="1"/>
  <c r="U8" i="7" s="1"/>
  <c r="V3" i="2"/>
  <c r="V3" i="4" s="1"/>
  <c r="V8" i="7" s="1"/>
  <c r="C2" i="2"/>
  <c r="C2" i="4" s="1"/>
  <c r="D2" i="2"/>
  <c r="D2" i="4" s="1"/>
  <c r="E2" i="2"/>
  <c r="E2" i="4" s="1"/>
  <c r="F2" i="2"/>
  <c r="G2" i="2"/>
  <c r="G2" i="4" s="1"/>
  <c r="H2" i="2"/>
  <c r="I2" i="2"/>
  <c r="J2" i="2"/>
  <c r="K2" i="2"/>
  <c r="K2" i="4" s="1"/>
  <c r="K9" i="7" s="1"/>
  <c r="L2" i="2"/>
  <c r="M2" i="2"/>
  <c r="M2" i="4" s="1"/>
  <c r="M9" i="7" s="1"/>
  <c r="N2" i="2"/>
  <c r="O2" i="2"/>
  <c r="O2" i="4" s="1"/>
  <c r="O9" i="7" s="1"/>
  <c r="P2" i="2"/>
  <c r="P2" i="4" s="1"/>
  <c r="P9" i="7" s="1"/>
  <c r="Q2" i="2"/>
  <c r="Q2" i="4" s="1"/>
  <c r="Q9" i="7" s="1"/>
  <c r="R2" i="2"/>
  <c r="R2" i="4" s="1"/>
  <c r="R9" i="7" s="1"/>
  <c r="S2" i="2"/>
  <c r="S2" i="4" s="1"/>
  <c r="S9" i="7" s="1"/>
  <c r="T2" i="2"/>
  <c r="U2" i="2"/>
  <c r="U2" i="4" s="1"/>
  <c r="U9" i="7" s="1"/>
  <c r="V2" i="2"/>
  <c r="B2" i="2"/>
  <c r="B2" i="4" s="1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B27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B26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B25" i="6"/>
  <c r="M24" i="6"/>
  <c r="N24" i="6"/>
  <c r="O24" i="6"/>
  <c r="P24" i="6"/>
  <c r="Q24" i="6"/>
  <c r="R24" i="6"/>
  <c r="S24" i="6"/>
  <c r="T24" i="6"/>
  <c r="U24" i="6"/>
  <c r="V24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S11" i="5"/>
  <c r="T11" i="5" s="1"/>
  <c r="U11" i="5" s="1"/>
  <c r="V11" i="5" s="1"/>
  <c r="R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B11" i="5"/>
  <c r="I12" i="8"/>
  <c r="H12" i="8"/>
  <c r="G12" i="8"/>
  <c r="F12" i="8"/>
  <c r="E12" i="8"/>
  <c r="D12" i="8"/>
  <c r="C12" i="8"/>
  <c r="B12" i="8"/>
  <c r="I4" i="8"/>
  <c r="H4" i="8"/>
  <c r="G4" i="8"/>
  <c r="F4" i="8"/>
  <c r="E4" i="8"/>
  <c r="D4" i="8"/>
  <c r="C4" i="8"/>
  <c r="B4" i="8"/>
  <c r="C6" i="5"/>
  <c r="D6" i="5"/>
  <c r="E6" i="5"/>
  <c r="F6" i="5"/>
  <c r="G6" i="5"/>
  <c r="B6" i="5"/>
  <c r="A38" i="6"/>
  <c r="A37" i="6"/>
  <c r="A36" i="6"/>
  <c r="A35" i="6"/>
  <c r="A34" i="6"/>
  <c r="A33" i="6"/>
  <c r="A18" i="6"/>
  <c r="A17" i="6"/>
  <c r="A16" i="6"/>
  <c r="A15" i="6"/>
  <c r="A14" i="6"/>
  <c r="A13" i="6"/>
  <c r="K8" i="1"/>
  <c r="K9" i="1" s="1"/>
  <c r="K10" i="1" s="1"/>
  <c r="K11" i="1" s="1"/>
  <c r="H2" i="4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E4" i="1"/>
  <c r="G3" i="4"/>
  <c r="K3" i="4"/>
  <c r="K8" i="7" s="1"/>
  <c r="P3" i="4"/>
  <c r="P8" i="7" s="1"/>
  <c r="A3" i="2"/>
  <c r="A3" i="3" s="1"/>
  <c r="A3" i="4" s="1"/>
  <c r="A2" i="2"/>
  <c r="A2" i="3" s="1"/>
  <c r="A2" i="4" s="1"/>
  <c r="C27" i="7" l="1"/>
  <c r="I4" i="2"/>
  <c r="I2" i="5" s="1"/>
  <c r="B4" i="2"/>
  <c r="B2" i="5" s="1"/>
  <c r="I2" i="4"/>
  <c r="I9" i="7" s="1"/>
  <c r="L50" i="6"/>
  <c r="L55" i="6"/>
  <c r="Q27" i="7"/>
  <c r="M27" i="7"/>
  <c r="E27" i="7"/>
  <c r="P27" i="7"/>
  <c r="B27" i="7"/>
  <c r="U27" i="7"/>
  <c r="S27" i="7"/>
  <c r="O27" i="7"/>
  <c r="G27" i="7"/>
  <c r="V27" i="7"/>
  <c r="R27" i="7"/>
  <c r="N27" i="7"/>
  <c r="F27" i="7"/>
  <c r="T27" i="7"/>
  <c r="H27" i="7"/>
  <c r="D27" i="7"/>
  <c r="L52" i="6"/>
  <c r="L54" i="6"/>
  <c r="L53" i="6"/>
  <c r="U28" i="6"/>
  <c r="Q28" i="6"/>
  <c r="M28" i="6"/>
  <c r="I28" i="6"/>
  <c r="E28" i="6"/>
  <c r="V28" i="6"/>
  <c r="R28" i="6"/>
  <c r="N28" i="6"/>
  <c r="J28" i="6"/>
  <c r="F28" i="6"/>
  <c r="T28" i="6"/>
  <c r="P28" i="6"/>
  <c r="L28" i="6"/>
  <c r="H28" i="6"/>
  <c r="D28" i="6"/>
  <c r="B28" i="6"/>
  <c r="S28" i="6"/>
  <c r="O28" i="6"/>
  <c r="K28" i="6"/>
  <c r="G28" i="6"/>
  <c r="C28" i="6"/>
  <c r="B13" i="8"/>
  <c r="F13" i="8"/>
  <c r="C13" i="8"/>
  <c r="G13" i="8"/>
  <c r="D13" i="8"/>
  <c r="H13" i="8"/>
  <c r="E13" i="8"/>
  <c r="I13" i="8"/>
  <c r="P4" i="4"/>
  <c r="P3" i="5" s="1"/>
  <c r="R4" i="4"/>
  <c r="R3" i="5" s="1"/>
  <c r="V4" i="2"/>
  <c r="V2" i="5" s="1"/>
  <c r="N4" i="2"/>
  <c r="N2" i="5" s="1"/>
  <c r="F4" i="2"/>
  <c r="F2" i="5" s="1"/>
  <c r="U4" i="2"/>
  <c r="U2" i="5" s="1"/>
  <c r="H4" i="4"/>
  <c r="H7" i="5" s="1"/>
  <c r="H15" i="7" s="1"/>
  <c r="T4" i="2"/>
  <c r="T2" i="5" s="1"/>
  <c r="P4" i="2"/>
  <c r="P2" i="5" s="1"/>
  <c r="L4" i="2"/>
  <c r="L2" i="5" s="1"/>
  <c r="H4" i="2"/>
  <c r="H2" i="5" s="1"/>
  <c r="D4" i="2"/>
  <c r="D2" i="5" s="1"/>
  <c r="Q4" i="2"/>
  <c r="Q2" i="5" s="1"/>
  <c r="V2" i="4"/>
  <c r="N2" i="4"/>
  <c r="F2" i="4"/>
  <c r="F4" i="4" s="1"/>
  <c r="F3" i="5" s="1"/>
  <c r="F7" i="5" s="1"/>
  <c r="F15" i="7" s="1"/>
  <c r="R4" i="2"/>
  <c r="R2" i="5" s="1"/>
  <c r="J4" i="2"/>
  <c r="J2" i="5" s="1"/>
  <c r="J2" i="4"/>
  <c r="E4" i="2"/>
  <c r="E2" i="5" s="1"/>
  <c r="M4" i="2"/>
  <c r="M2" i="5" s="1"/>
  <c r="T2" i="4"/>
  <c r="L2" i="4"/>
  <c r="D4" i="4"/>
  <c r="D3" i="5" s="1"/>
  <c r="D7" i="5" s="1"/>
  <c r="U4" i="4"/>
  <c r="U3" i="5" s="1"/>
  <c r="Q4" i="4"/>
  <c r="Q3" i="5" s="1"/>
  <c r="M4" i="4"/>
  <c r="M3" i="5" s="1"/>
  <c r="E4" i="4"/>
  <c r="E3" i="5" s="1"/>
  <c r="E7" i="5" s="1"/>
  <c r="E15" i="7" s="1"/>
  <c r="S4" i="4"/>
  <c r="S3" i="5" s="1"/>
  <c r="O4" i="4"/>
  <c r="O3" i="5" s="1"/>
  <c r="K4" i="4"/>
  <c r="K3" i="5" s="1"/>
  <c r="G4" i="4"/>
  <c r="G3" i="5" s="1"/>
  <c r="G7" i="5" s="1"/>
  <c r="C4" i="4"/>
  <c r="C3" i="5" s="1"/>
  <c r="C7" i="5" s="1"/>
  <c r="C15" i="7" s="1"/>
  <c r="B3" i="4"/>
  <c r="B4" i="4" s="1"/>
  <c r="B3" i="5" s="1"/>
  <c r="B7" i="5" s="1"/>
  <c r="B15" i="7" s="1"/>
  <c r="S4" i="2"/>
  <c r="S2" i="5" s="1"/>
  <c r="O4" i="2"/>
  <c r="O2" i="5" s="1"/>
  <c r="K4" i="2"/>
  <c r="K2" i="5" s="1"/>
  <c r="G4" i="2"/>
  <c r="G2" i="5" s="1"/>
  <c r="C4" i="2"/>
  <c r="C2" i="5" s="1"/>
  <c r="I4" i="4" l="1"/>
  <c r="I3" i="5" s="1"/>
  <c r="N4" i="4"/>
  <c r="N3" i="5" s="1"/>
  <c r="N9" i="7"/>
  <c r="T4" i="4"/>
  <c r="T3" i="5" s="1"/>
  <c r="T9" i="7"/>
  <c r="V4" i="4"/>
  <c r="V3" i="5" s="1"/>
  <c r="V9" i="7"/>
  <c r="L4" i="4"/>
  <c r="L3" i="5" s="1"/>
  <c r="L9" i="7"/>
  <c r="J4" i="4"/>
  <c r="J3" i="5" s="1"/>
  <c r="J6" i="5" s="1"/>
  <c r="J7" i="5" s="1"/>
  <c r="J9" i="7"/>
  <c r="I6" i="5"/>
  <c r="G18" i="6"/>
  <c r="G15" i="7"/>
  <c r="D18" i="6"/>
  <c r="D15" i="7"/>
  <c r="B12" i="7"/>
  <c r="B13" i="7"/>
  <c r="B11" i="7"/>
  <c r="C12" i="7"/>
  <c r="C13" i="7"/>
  <c r="C11" i="7"/>
  <c r="E11" i="7"/>
  <c r="E12" i="7"/>
  <c r="E13" i="7"/>
  <c r="F13" i="7"/>
  <c r="F11" i="7"/>
  <c r="F12" i="7"/>
  <c r="H11" i="7"/>
  <c r="H12" i="7"/>
  <c r="H13" i="7"/>
  <c r="C8" i="8"/>
  <c r="C14" i="6"/>
  <c r="C15" i="6"/>
  <c r="C13" i="6"/>
  <c r="C16" i="6"/>
  <c r="C7" i="8"/>
  <c r="C17" i="6"/>
  <c r="G8" i="8"/>
  <c r="G14" i="6"/>
  <c r="G15" i="6"/>
  <c r="G7" i="8"/>
  <c r="G17" i="6"/>
  <c r="G16" i="6"/>
  <c r="G13" i="6"/>
  <c r="E16" i="6"/>
  <c r="E7" i="8"/>
  <c r="E13" i="6"/>
  <c r="E17" i="6"/>
  <c r="E8" i="8"/>
  <c r="E14" i="6"/>
  <c r="E15" i="6"/>
  <c r="C18" i="6"/>
  <c r="D7" i="8"/>
  <c r="D13" i="6"/>
  <c r="D17" i="6"/>
  <c r="D8" i="8"/>
  <c r="D14" i="6"/>
  <c r="D16" i="6"/>
  <c r="D15" i="6"/>
  <c r="F15" i="6"/>
  <c r="F16" i="6"/>
  <c r="F14" i="6"/>
  <c r="F7" i="8"/>
  <c r="F13" i="6"/>
  <c r="F17" i="6"/>
  <c r="F8" i="8"/>
  <c r="E18" i="6"/>
  <c r="F18" i="6"/>
  <c r="B8" i="8"/>
  <c r="B17" i="6"/>
  <c r="B7" i="8"/>
  <c r="B14" i="6"/>
  <c r="B13" i="6"/>
  <c r="B15" i="6"/>
  <c r="B16" i="6"/>
  <c r="B18" i="6"/>
  <c r="H7" i="8"/>
  <c r="H13" i="6"/>
  <c r="H14" i="6"/>
  <c r="H15" i="6"/>
  <c r="H16" i="6"/>
  <c r="H17" i="6"/>
  <c r="H8" i="8"/>
  <c r="H18" i="6"/>
  <c r="H12" i="5"/>
  <c r="H36" i="7" s="1"/>
  <c r="G12" i="5"/>
  <c r="G36" i="7" s="1"/>
  <c r="H8" i="5"/>
  <c r="F12" i="5"/>
  <c r="F36" i="7" s="1"/>
  <c r="G8" i="5"/>
  <c r="E12" i="5"/>
  <c r="E36" i="7" s="1"/>
  <c r="F8" i="5"/>
  <c r="D12" i="5"/>
  <c r="D36" i="7" s="1"/>
  <c r="E8" i="5"/>
  <c r="C12" i="5"/>
  <c r="C36" i="7" s="1"/>
  <c r="D8" i="5"/>
  <c r="C8" i="5"/>
  <c r="B12" i="5"/>
  <c r="B36" i="7" s="1"/>
  <c r="J7" i="8" l="1"/>
  <c r="J8" i="8"/>
  <c r="I7" i="5"/>
  <c r="J8" i="5" s="1"/>
  <c r="F14" i="7"/>
  <c r="B14" i="7"/>
  <c r="C14" i="7"/>
  <c r="E14" i="7"/>
  <c r="D11" i="7"/>
  <c r="D12" i="7"/>
  <c r="D13" i="7"/>
  <c r="F33" i="7"/>
  <c r="F39" i="7" s="1"/>
  <c r="F34" i="7"/>
  <c r="F40" i="7" s="1"/>
  <c r="F32" i="7"/>
  <c r="F38" i="7" s="1"/>
  <c r="C32" i="7"/>
  <c r="C38" i="7" s="1"/>
  <c r="C33" i="7"/>
  <c r="C39" i="7" s="1"/>
  <c r="C34" i="7"/>
  <c r="C40" i="7" s="1"/>
  <c r="D34" i="7"/>
  <c r="D32" i="7"/>
  <c r="D33" i="7"/>
  <c r="E34" i="7"/>
  <c r="E40" i="7" s="1"/>
  <c r="E32" i="7"/>
  <c r="E38" i="7" s="1"/>
  <c r="E33" i="7"/>
  <c r="E39" i="7" s="1"/>
  <c r="G32" i="7"/>
  <c r="G33" i="7"/>
  <c r="G34" i="7"/>
  <c r="B33" i="7"/>
  <c r="B39" i="7" s="1"/>
  <c r="B32" i="7"/>
  <c r="B38" i="7" s="1"/>
  <c r="B34" i="7"/>
  <c r="B40" i="7" s="1"/>
  <c r="H14" i="7"/>
  <c r="G12" i="7"/>
  <c r="G13" i="7"/>
  <c r="G11" i="7"/>
  <c r="H34" i="7"/>
  <c r="H40" i="7" s="1"/>
  <c r="H32" i="7"/>
  <c r="H38" i="7" s="1"/>
  <c r="H33" i="7"/>
  <c r="H39" i="7" s="1"/>
  <c r="C19" i="6"/>
  <c r="B19" i="6"/>
  <c r="D19" i="6"/>
  <c r="C34" i="6"/>
  <c r="C38" i="6"/>
  <c r="C16" i="8"/>
  <c r="C35" i="6"/>
  <c r="C37" i="6"/>
  <c r="C17" i="8"/>
  <c r="C36" i="6"/>
  <c r="C33" i="6"/>
  <c r="E17" i="8"/>
  <c r="E36" i="6"/>
  <c r="E33" i="6"/>
  <c r="E37" i="6"/>
  <c r="E35" i="6"/>
  <c r="E34" i="6"/>
  <c r="E38" i="6"/>
  <c r="E16" i="8"/>
  <c r="G34" i="6"/>
  <c r="G38" i="6"/>
  <c r="G16" i="8"/>
  <c r="G35" i="6"/>
  <c r="G33" i="6"/>
  <c r="G17" i="8"/>
  <c r="G36" i="6"/>
  <c r="G37" i="6"/>
  <c r="F19" i="6"/>
  <c r="G19" i="6"/>
  <c r="D33" i="6"/>
  <c r="D37" i="6"/>
  <c r="D34" i="6"/>
  <c r="D38" i="6"/>
  <c r="D17" i="8"/>
  <c r="D16" i="8"/>
  <c r="D35" i="6"/>
  <c r="D36" i="6"/>
  <c r="F16" i="8"/>
  <c r="F35" i="6"/>
  <c r="F17" i="8"/>
  <c r="F36" i="6"/>
  <c r="F38" i="6"/>
  <c r="F33" i="6"/>
  <c r="F37" i="6"/>
  <c r="F34" i="6"/>
  <c r="E19" i="6"/>
  <c r="B17" i="8"/>
  <c r="B34" i="6"/>
  <c r="B16" i="8"/>
  <c r="B35" i="6"/>
  <c r="B33" i="6"/>
  <c r="B36" i="6"/>
  <c r="B37" i="6"/>
  <c r="B38" i="6"/>
  <c r="H17" i="8"/>
  <c r="H16" i="8"/>
  <c r="H33" i="6"/>
  <c r="H34" i="6"/>
  <c r="H35" i="6"/>
  <c r="H36" i="6"/>
  <c r="H37" i="6"/>
  <c r="H38" i="6"/>
  <c r="H19" i="6"/>
  <c r="G39" i="7" l="1"/>
  <c r="D39" i="7"/>
  <c r="G38" i="7"/>
  <c r="D38" i="7"/>
  <c r="I8" i="8"/>
  <c r="I17" i="6"/>
  <c r="I7" i="8"/>
  <c r="I15" i="6"/>
  <c r="I13" i="6"/>
  <c r="I12" i="5"/>
  <c r="I14" i="6"/>
  <c r="I18" i="6"/>
  <c r="I8" i="5"/>
  <c r="I16" i="6"/>
  <c r="G40" i="7"/>
  <c r="D40" i="7"/>
  <c r="I15" i="7"/>
  <c r="B35" i="7"/>
  <c r="B41" i="7" s="1"/>
  <c r="F35" i="7"/>
  <c r="F41" i="7" s="1"/>
  <c r="G14" i="7"/>
  <c r="D14" i="7"/>
  <c r="G35" i="7"/>
  <c r="D35" i="7"/>
  <c r="C35" i="7"/>
  <c r="C41" i="7" s="1"/>
  <c r="E35" i="7"/>
  <c r="E41" i="7" s="1"/>
  <c r="H35" i="7"/>
  <c r="H41" i="7" s="1"/>
  <c r="B39" i="6"/>
  <c r="D39" i="6"/>
  <c r="E39" i="6"/>
  <c r="G39" i="6"/>
  <c r="F39" i="6"/>
  <c r="C39" i="6"/>
  <c r="H39" i="6"/>
  <c r="G41" i="7" l="1"/>
  <c r="I14" i="7"/>
  <c r="I25" i="7"/>
  <c r="I26" i="7"/>
  <c r="I19" i="6"/>
  <c r="J15" i="7"/>
  <c r="J13" i="6"/>
  <c r="J14" i="6"/>
  <c r="J12" i="5"/>
  <c r="J17" i="6"/>
  <c r="J18" i="6"/>
  <c r="K7" i="5"/>
  <c r="J16" i="6"/>
  <c r="J15" i="6"/>
  <c r="D41" i="7"/>
  <c r="I36" i="7"/>
  <c r="I38" i="6"/>
  <c r="I36" i="6"/>
  <c r="I33" i="6"/>
  <c r="I17" i="8"/>
  <c r="I37" i="6"/>
  <c r="I35" i="6"/>
  <c r="I34" i="6"/>
  <c r="I16" i="8"/>
  <c r="J17" i="8" l="1"/>
  <c r="J16" i="8"/>
  <c r="J12" i="7"/>
  <c r="J13" i="7"/>
  <c r="J11" i="7"/>
  <c r="J14" i="7" s="1"/>
  <c r="J36" i="7"/>
  <c r="J33" i="6"/>
  <c r="J37" i="6"/>
  <c r="J35" i="6"/>
  <c r="J36" i="6"/>
  <c r="J34" i="6"/>
  <c r="J38" i="6"/>
  <c r="I24" i="7"/>
  <c r="I39" i="6"/>
  <c r="K15" i="7"/>
  <c r="K16" i="6"/>
  <c r="K9" i="5"/>
  <c r="K14" i="6"/>
  <c r="K15" i="6"/>
  <c r="L7" i="5"/>
  <c r="K13" i="6"/>
  <c r="K18" i="6"/>
  <c r="K17" i="6"/>
  <c r="K12" i="5"/>
  <c r="I34" i="7"/>
  <c r="I40" i="7" s="1"/>
  <c r="J19" i="6"/>
  <c r="I33" i="7"/>
  <c r="I39" i="7" s="1"/>
  <c r="J25" i="7"/>
  <c r="J26" i="7"/>
  <c r="K11" i="7" l="1"/>
  <c r="K12" i="7"/>
  <c r="K13" i="7"/>
  <c r="J34" i="7"/>
  <c r="J40" i="7" s="1"/>
  <c r="J33" i="7"/>
  <c r="J39" i="7" s="1"/>
  <c r="I27" i="7"/>
  <c r="I32" i="7"/>
  <c r="K19" i="6"/>
  <c r="J24" i="7"/>
  <c r="K36" i="7"/>
  <c r="K35" i="6"/>
  <c r="K37" i="6"/>
  <c r="K34" i="6"/>
  <c r="K38" i="6"/>
  <c r="K36" i="6"/>
  <c r="K33" i="6"/>
  <c r="L15" i="7"/>
  <c r="L17" i="6"/>
  <c r="L12" i="5"/>
  <c r="L15" i="6"/>
  <c r="L16" i="6"/>
  <c r="L9" i="5"/>
  <c r="L14" i="6"/>
  <c r="L18" i="6"/>
  <c r="M7" i="5"/>
  <c r="L13" i="6"/>
  <c r="J39" i="6"/>
  <c r="K26" i="7"/>
  <c r="K25" i="7"/>
  <c r="K14" i="7" l="1"/>
  <c r="L11" i="7"/>
  <c r="L12" i="7"/>
  <c r="L13" i="7"/>
  <c r="K33" i="7"/>
  <c r="K39" i="7" s="1"/>
  <c r="L36" i="7"/>
  <c r="L35" i="6"/>
  <c r="L37" i="6"/>
  <c r="L36" i="6"/>
  <c r="L33" i="6"/>
  <c r="L34" i="6"/>
  <c r="L38" i="6"/>
  <c r="K24" i="7"/>
  <c r="K34" i="7"/>
  <c r="K40" i="7" s="1"/>
  <c r="M15" i="7"/>
  <c r="M13" i="6"/>
  <c r="M12" i="5"/>
  <c r="M18" i="6"/>
  <c r="M14" i="6"/>
  <c r="M16" i="6"/>
  <c r="M17" i="6"/>
  <c r="M9" i="5"/>
  <c r="M15" i="6"/>
  <c r="N7" i="5"/>
  <c r="L26" i="7"/>
  <c r="L25" i="7"/>
  <c r="I35" i="7"/>
  <c r="I41" i="7" s="1"/>
  <c r="I38" i="7"/>
  <c r="J27" i="7"/>
  <c r="J32" i="7"/>
  <c r="L19" i="6"/>
  <c r="K39" i="6"/>
  <c r="L14" i="7" l="1"/>
  <c r="M11" i="7"/>
  <c r="M12" i="7"/>
  <c r="M13" i="7"/>
  <c r="L34" i="7"/>
  <c r="L40" i="7" s="1"/>
  <c r="L33" i="7"/>
  <c r="L39" i="7" s="1"/>
  <c r="K27" i="7"/>
  <c r="K32" i="7"/>
  <c r="M36" i="7"/>
  <c r="M34" i="6"/>
  <c r="M36" i="6"/>
  <c r="M37" i="6"/>
  <c r="M38" i="6"/>
  <c r="M35" i="6"/>
  <c r="M33" i="6"/>
  <c r="L24" i="7"/>
  <c r="J38" i="7"/>
  <c r="J35" i="7"/>
  <c r="J41" i="7" s="1"/>
  <c r="N15" i="7"/>
  <c r="N16" i="6"/>
  <c r="N14" i="6"/>
  <c r="N12" i="5"/>
  <c r="N15" i="6"/>
  <c r="O7" i="5"/>
  <c r="N13" i="6"/>
  <c r="N9" i="5"/>
  <c r="N17" i="6"/>
  <c r="N18" i="6"/>
  <c r="M19" i="6"/>
  <c r="L39" i="6"/>
  <c r="N12" i="7" l="1"/>
  <c r="N13" i="7"/>
  <c r="N11" i="7"/>
  <c r="M14" i="7"/>
  <c r="N19" i="6"/>
  <c r="M32" i="7"/>
  <c r="M38" i="7" s="1"/>
  <c r="M33" i="7"/>
  <c r="M39" i="7" s="1"/>
  <c r="M34" i="7"/>
  <c r="M40" i="7" s="1"/>
  <c r="K38" i="7"/>
  <c r="K35" i="7"/>
  <c r="K41" i="7" s="1"/>
  <c r="O15" i="7"/>
  <c r="O13" i="6"/>
  <c r="O18" i="6"/>
  <c r="P7" i="5"/>
  <c r="O16" i="6"/>
  <c r="O14" i="6"/>
  <c r="O12" i="5"/>
  <c r="O17" i="6"/>
  <c r="O9" i="5"/>
  <c r="O15" i="6"/>
  <c r="L27" i="7"/>
  <c r="L32" i="7"/>
  <c r="N36" i="7"/>
  <c r="N33" i="6"/>
  <c r="N38" i="6"/>
  <c r="N35" i="6"/>
  <c r="N37" i="6"/>
  <c r="N36" i="6"/>
  <c r="N34" i="6"/>
  <c r="M39" i="6"/>
  <c r="O11" i="7" l="1"/>
  <c r="O12" i="7"/>
  <c r="O13" i="7"/>
  <c r="N14" i="7"/>
  <c r="P15" i="7"/>
  <c r="P13" i="6"/>
  <c r="Q7" i="5"/>
  <c r="P16" i="6"/>
  <c r="P18" i="6"/>
  <c r="P17" i="6"/>
  <c r="P12" i="5"/>
  <c r="P15" i="6"/>
  <c r="P9" i="5"/>
  <c r="P14" i="6"/>
  <c r="O36" i="7"/>
  <c r="O36" i="6"/>
  <c r="O33" i="6"/>
  <c r="O35" i="6"/>
  <c r="O37" i="6"/>
  <c r="O34" i="6"/>
  <c r="O38" i="6"/>
  <c r="N39" i="6"/>
  <c r="O19" i="6"/>
  <c r="M35" i="7"/>
  <c r="M41" i="7" s="1"/>
  <c r="N32" i="7"/>
  <c r="N38" i="7" s="1"/>
  <c r="N34" i="7"/>
  <c r="N40" i="7" s="1"/>
  <c r="N33" i="7"/>
  <c r="N39" i="7" s="1"/>
  <c r="L38" i="7"/>
  <c r="L35" i="7"/>
  <c r="L41" i="7" s="1"/>
  <c r="P11" i="7" l="1"/>
  <c r="P12" i="7"/>
  <c r="P13" i="7"/>
  <c r="O14" i="7"/>
  <c r="N35" i="7"/>
  <c r="N41" i="7" s="1"/>
  <c r="O34" i="7"/>
  <c r="O40" i="7" s="1"/>
  <c r="O33" i="7"/>
  <c r="O39" i="7" s="1"/>
  <c r="O32" i="7"/>
  <c r="O38" i="7" s="1"/>
  <c r="Q15" i="7"/>
  <c r="Q15" i="6"/>
  <c r="Q14" i="6"/>
  <c r="Q12" i="5"/>
  <c r="Q13" i="6"/>
  <c r="Q16" i="6"/>
  <c r="Q17" i="6"/>
  <c r="R7" i="5"/>
  <c r="Q18" i="6"/>
  <c r="Q9" i="5"/>
  <c r="P19" i="6"/>
  <c r="P36" i="7"/>
  <c r="P33" i="6"/>
  <c r="P34" i="6"/>
  <c r="P37" i="6"/>
  <c r="P38" i="6"/>
  <c r="P36" i="6"/>
  <c r="P35" i="6"/>
  <c r="O39" i="6"/>
  <c r="Q11" i="7" l="1"/>
  <c r="Q12" i="7"/>
  <c r="Q13" i="7"/>
  <c r="P14" i="7"/>
  <c r="O35" i="7"/>
  <c r="O41" i="7" s="1"/>
  <c r="R15" i="7"/>
  <c r="R16" i="6"/>
  <c r="S7" i="5"/>
  <c r="R13" i="6"/>
  <c r="R12" i="5"/>
  <c r="R17" i="6"/>
  <c r="R15" i="6"/>
  <c r="R9" i="5"/>
  <c r="R14" i="6"/>
  <c r="R18" i="6"/>
  <c r="Q36" i="7"/>
  <c r="Q37" i="6"/>
  <c r="Q38" i="6"/>
  <c r="Q34" i="6"/>
  <c r="Q36" i="6"/>
  <c r="Q35" i="6"/>
  <c r="Q33" i="6"/>
  <c r="P32" i="7"/>
  <c r="P38" i="7" s="1"/>
  <c r="P33" i="7"/>
  <c r="P39" i="7" s="1"/>
  <c r="P34" i="7"/>
  <c r="P40" i="7" s="1"/>
  <c r="P39" i="6"/>
  <c r="Q19" i="6"/>
  <c r="R11" i="7" l="1"/>
  <c r="R12" i="7"/>
  <c r="R13" i="7"/>
  <c r="R19" i="6"/>
  <c r="Q14" i="7"/>
  <c r="Q33" i="7"/>
  <c r="Q39" i="7" s="1"/>
  <c r="Q34" i="7"/>
  <c r="Q40" i="7" s="1"/>
  <c r="Q32" i="7"/>
  <c r="Q38" i="7" s="1"/>
  <c r="S15" i="7"/>
  <c r="S13" i="6"/>
  <c r="S18" i="6"/>
  <c r="S16" i="6"/>
  <c r="S14" i="6"/>
  <c r="S12" i="5"/>
  <c r="S17" i="6"/>
  <c r="T7" i="5"/>
  <c r="S9" i="5"/>
  <c r="S15" i="6"/>
  <c r="P35" i="7"/>
  <c r="P41" i="7" s="1"/>
  <c r="Q39" i="6"/>
  <c r="R36" i="7"/>
  <c r="R38" i="6"/>
  <c r="R37" i="6"/>
  <c r="R34" i="6"/>
  <c r="R33" i="6"/>
  <c r="R35" i="6"/>
  <c r="R36" i="6"/>
  <c r="S11" i="7" l="1"/>
  <c r="S12" i="7"/>
  <c r="S13" i="7"/>
  <c r="R14" i="7"/>
  <c r="S36" i="7"/>
  <c r="S35" i="6"/>
  <c r="S37" i="6"/>
  <c r="S34" i="6"/>
  <c r="S38" i="6"/>
  <c r="S36" i="6"/>
  <c r="S33" i="6"/>
  <c r="S19" i="6"/>
  <c r="R39" i="6"/>
  <c r="R32" i="7"/>
  <c r="R38" i="7" s="1"/>
  <c r="R33" i="7"/>
  <c r="R39" i="7" s="1"/>
  <c r="R34" i="7"/>
  <c r="R40" i="7" s="1"/>
  <c r="T15" i="7"/>
  <c r="T14" i="6"/>
  <c r="T18" i="6"/>
  <c r="T13" i="6"/>
  <c r="U7" i="5"/>
  <c r="T17" i="6"/>
  <c r="T12" i="5"/>
  <c r="T15" i="6"/>
  <c r="T16" i="6"/>
  <c r="T9" i="5"/>
  <c r="Q35" i="7"/>
  <c r="Q41" i="7" s="1"/>
  <c r="T11" i="7" l="1"/>
  <c r="T12" i="7"/>
  <c r="T13" i="7"/>
  <c r="S14" i="7"/>
  <c r="U15" i="7"/>
  <c r="U13" i="6"/>
  <c r="U12" i="5"/>
  <c r="U16" i="6"/>
  <c r="U17" i="6"/>
  <c r="U9" i="5"/>
  <c r="U15" i="6"/>
  <c r="U18" i="6"/>
  <c r="U14" i="6"/>
  <c r="V7" i="5"/>
  <c r="T36" i="7"/>
  <c r="T33" i="6"/>
  <c r="T34" i="6"/>
  <c r="T37" i="6"/>
  <c r="T38" i="6"/>
  <c r="T36" i="6"/>
  <c r="T35" i="6"/>
  <c r="S39" i="6"/>
  <c r="T19" i="6"/>
  <c r="R35" i="7"/>
  <c r="R41" i="7" s="1"/>
  <c r="S33" i="7"/>
  <c r="S39" i="7" s="1"/>
  <c r="S34" i="7"/>
  <c r="S40" i="7" s="1"/>
  <c r="S32" i="7"/>
  <c r="S38" i="7" s="1"/>
  <c r="U11" i="7" l="1"/>
  <c r="U12" i="7"/>
  <c r="U13" i="7"/>
  <c r="S35" i="7"/>
  <c r="S41" i="7" s="1"/>
  <c r="T14" i="7"/>
  <c r="T39" i="6"/>
  <c r="T34" i="7"/>
  <c r="T40" i="7" s="1"/>
  <c r="T32" i="7"/>
  <c r="T38" i="7" s="1"/>
  <c r="T33" i="7"/>
  <c r="T39" i="7" s="1"/>
  <c r="U36" i="7"/>
  <c r="U34" i="6"/>
  <c r="U35" i="6"/>
  <c r="U37" i="6"/>
  <c r="U33" i="6"/>
  <c r="U36" i="6"/>
  <c r="U38" i="6"/>
  <c r="V15" i="7"/>
  <c r="V16" i="6"/>
  <c r="V15" i="6"/>
  <c r="V13" i="6"/>
  <c r="V14" i="6"/>
  <c r="V9" i="5"/>
  <c r="V17" i="6"/>
  <c r="V18" i="6"/>
  <c r="V12" i="5"/>
  <c r="U19" i="6"/>
  <c r="V11" i="7" l="1"/>
  <c r="V12" i="7"/>
  <c r="V13" i="7"/>
  <c r="U14" i="7"/>
  <c r="T35" i="7"/>
  <c r="T41" i="7" s="1"/>
  <c r="V36" i="7"/>
  <c r="V33" i="6"/>
  <c r="V35" i="6"/>
  <c r="V37" i="6"/>
  <c r="V38" i="6"/>
  <c r="V36" i="6"/>
  <c r="V34" i="6"/>
  <c r="V19" i="6"/>
  <c r="U39" i="6"/>
  <c r="U32" i="7"/>
  <c r="U38" i="7" s="1"/>
  <c r="U33" i="7"/>
  <c r="U39" i="7" s="1"/>
  <c r="U34" i="7"/>
  <c r="U40" i="7" s="1"/>
  <c r="V14" i="7" l="1"/>
  <c r="V39" i="6"/>
  <c r="U35" i="7"/>
  <c r="U41" i="7" s="1"/>
  <c r="V34" i="7"/>
  <c r="V40" i="7" s="1"/>
  <c r="V32" i="7"/>
  <c r="V38" i="7" s="1"/>
  <c r="V33" i="7"/>
  <c r="V39" i="7" s="1"/>
  <c r="V35" i="7" l="1"/>
  <c r="V41" i="7" s="1"/>
</calcChain>
</file>

<file path=xl/sharedStrings.xml><?xml version="1.0" encoding="utf-8"?>
<sst xmlns="http://schemas.openxmlformats.org/spreadsheetml/2006/main" count="324" uniqueCount="67">
  <si>
    <t>Region</t>
  </si>
  <si>
    <t>Country</t>
  </si>
  <si>
    <t>company</t>
  </si>
  <si>
    <t>Location</t>
  </si>
  <si>
    <t>Asia Pacific</t>
  </si>
  <si>
    <t>India</t>
  </si>
  <si>
    <t>Bharat Petroleum Corporation Limited</t>
  </si>
  <si>
    <t xml:space="preserve"> Kochi, India</t>
  </si>
  <si>
    <t>Indian Oil Corporation Limited</t>
  </si>
  <si>
    <t xml:space="preserve"> Gujarat, India</t>
  </si>
  <si>
    <t>2022E</t>
  </si>
  <si>
    <t>2023F</t>
  </si>
  <si>
    <t>2024F</t>
  </si>
  <si>
    <t>2025F</t>
  </si>
  <si>
    <t>2026F</t>
  </si>
  <si>
    <t>2027F</t>
  </si>
  <si>
    <t>2028F</t>
  </si>
  <si>
    <t>2029F</t>
  </si>
  <si>
    <t>2030F</t>
  </si>
  <si>
    <t>2031F</t>
  </si>
  <si>
    <t>2032F</t>
  </si>
  <si>
    <t>2033F</t>
  </si>
  <si>
    <t>2034F</t>
  </si>
  <si>
    <t>2035F</t>
  </si>
  <si>
    <t>Total</t>
  </si>
  <si>
    <t>https://www.bharatpetroleum.in/pdf/pdp-first-consignmentbpclapr-14-f22410.pdf</t>
  </si>
  <si>
    <t>Demand Supply Gap</t>
  </si>
  <si>
    <t>2023E</t>
  </si>
  <si>
    <t xml:space="preserve"> Acrylic acid  Demand By End User Indutry(%)</t>
  </si>
  <si>
    <t>Acrylate Ester</t>
  </si>
  <si>
    <t>Super Absorbent Polymer</t>
  </si>
  <si>
    <t>Water Treatment</t>
  </si>
  <si>
    <t>Detergent</t>
  </si>
  <si>
    <t>Paper</t>
  </si>
  <si>
    <t>Others</t>
  </si>
  <si>
    <t>Total(%)</t>
  </si>
  <si>
    <t>Volume</t>
  </si>
  <si>
    <t xml:space="preserve"> Acrylic Acid Demand By End User Indutry</t>
  </si>
  <si>
    <t>2021E</t>
  </si>
  <si>
    <t>2022F</t>
  </si>
  <si>
    <t>3032F</t>
  </si>
  <si>
    <t>West</t>
  </si>
  <si>
    <t>South</t>
  </si>
  <si>
    <t>North</t>
  </si>
  <si>
    <t>East</t>
  </si>
  <si>
    <t>Value</t>
  </si>
  <si>
    <t>Direct Sale</t>
  </si>
  <si>
    <t>Indirect Sale</t>
  </si>
  <si>
    <t>India Acrylic Acid Demand By Sales Channel (%)</t>
  </si>
  <si>
    <t>India Acrylic Acid Demand By Sales Channel (Thousand tonnes)</t>
  </si>
  <si>
    <t>ASP</t>
  </si>
  <si>
    <t>Value Market USD Million</t>
  </si>
  <si>
    <t>Q1 2022</t>
  </si>
  <si>
    <t>Q2 2022</t>
  </si>
  <si>
    <t>Q3 2022</t>
  </si>
  <si>
    <t>Q4 2022</t>
  </si>
  <si>
    <t>India Crude Acrylic Acid Capacity (Thousand Tonnes)</t>
  </si>
  <si>
    <t>India Crude Acrylic Acid Production (Thousand Tonnes)</t>
  </si>
  <si>
    <t>India Crude Acrylic Acid Import (Thousand Tonnes)</t>
  </si>
  <si>
    <t>India Crude Acrylic Acid Export (Thousand Tonnes)</t>
  </si>
  <si>
    <t>India Crude Acrylic Acid Inventory (Thousand Tonnes)</t>
  </si>
  <si>
    <t>India Crude Acrylic Acid Demand (Thousand Tonnes)</t>
  </si>
  <si>
    <t>India Crude Acrylic Acid Demand (Y-O-Y Growth Rate, %)</t>
  </si>
  <si>
    <t>India Crude Acrylic Acid Demand / Supply Gap (Thousand Tonnes)</t>
  </si>
  <si>
    <t xml:space="preserve"> India Crude Acrylic Acid Demand By Region (%)</t>
  </si>
  <si>
    <t xml:space="preserve">India Crude Acrylic Acid Demand By Region (Thousand Tonnes) </t>
  </si>
  <si>
    <t>Apr 2020 to 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</si>
</sst>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b/>
      <sz val="15"/>
      <color indexed="56"/>
      <name val="Calibri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6" fillId="0" borderId="3" applyNumberFormat="0" applyFill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77">
    <xf numFmtId="0" fontId="0" fillId="0" borderId="0" xfId="0"/>
    <xf numFmtId="0" fontId="2" fillId="2" borderId="1" xfId="0" applyFont="1" applyFill="1" applyBorder="1" applyAlignment="1">
      <alignment horizontal="center"/>
    </xf>
    <xf numFmtId="2" fontId="0" fillId="0" borderId="0" xfId="0" applyNumberFormat="1"/>
    <xf numFmtId="10" fontId="0" fillId="0" borderId="0" xfId="0" applyNumberFormat="1"/>
    <xf numFmtId="0" fontId="0" fillId="0" borderId="1" xfId="0" applyBorder="1"/>
    <xf numFmtId="10" fontId="0" fillId="0" borderId="0" xfId="1" applyNumberFormat="1" applyFont="1"/>
    <xf numFmtId="0" fontId="2" fillId="2" borderId="0" xfId="0" applyFont="1" applyFill="1"/>
    <xf numFmtId="0" fontId="4" fillId="4" borderId="0" xfId="2" applyFont="1" applyFill="1" applyAlignment="1" applyProtection="1">
      <alignment horizontal="center"/>
      <protection locked="0"/>
    </xf>
    <xf numFmtId="0" fontId="5" fillId="5" borderId="1" xfId="2" applyFont="1" applyFill="1" applyBorder="1"/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10" borderId="0" xfId="0" applyFill="1"/>
    <xf numFmtId="0" fontId="8" fillId="11" borderId="4" xfId="3" applyNumberFormat="1" applyFont="1" applyFill="1" applyBorder="1" applyAlignment="1" applyProtection="1">
      <alignment horizontal="center" vertical="center"/>
      <protection locked="0"/>
    </xf>
    <xf numFmtId="0" fontId="8" fillId="11" borderId="5" xfId="3" applyNumberFormat="1" applyFont="1" applyFill="1" applyBorder="1" applyAlignment="1" applyProtection="1">
      <alignment horizontal="center" vertical="center"/>
      <protection locked="0"/>
    </xf>
    <xf numFmtId="0" fontId="8" fillId="11" borderId="6" xfId="3" applyNumberFormat="1" applyFont="1" applyFill="1" applyBorder="1" applyAlignment="1" applyProtection="1">
      <alignment horizontal="center" vertical="center"/>
      <protection locked="0"/>
    </xf>
    <xf numFmtId="0" fontId="8" fillId="11" borderId="0" xfId="3" applyNumberFormat="1" applyFont="1" applyFill="1" applyBorder="1" applyAlignment="1" applyProtection="1">
      <alignment horizontal="center" vertical="center"/>
      <protection locked="0"/>
    </xf>
    <xf numFmtId="0" fontId="5" fillId="5" borderId="7" xfId="4" applyFont="1" applyFill="1" applyBorder="1"/>
    <xf numFmtId="10" fontId="0" fillId="10" borderId="1" xfId="1" applyNumberFormat="1" applyFont="1" applyFill="1" applyBorder="1" applyAlignment="1">
      <alignment horizontal="center" vertical="center"/>
    </xf>
    <xf numFmtId="0" fontId="5" fillId="5" borderId="8" xfId="4" applyFont="1" applyFill="1" applyBorder="1"/>
    <xf numFmtId="0" fontId="5" fillId="5" borderId="9" xfId="4" applyFont="1" applyFill="1" applyBorder="1"/>
    <xf numFmtId="0" fontId="9" fillId="11" borderId="1" xfId="4" applyFont="1" applyFill="1" applyBorder="1"/>
    <xf numFmtId="10" fontId="2" fillId="11" borderId="1" xfId="0" applyNumberFormat="1" applyFont="1" applyFill="1" applyBorder="1"/>
    <xf numFmtId="0" fontId="7" fillId="11" borderId="10" xfId="4" applyFont="1" applyFill="1" applyBorder="1"/>
    <xf numFmtId="0" fontId="5" fillId="5" borderId="11" xfId="4" applyFont="1" applyFill="1" applyBorder="1"/>
    <xf numFmtId="0" fontId="0" fillId="0" borderId="1" xfId="0" applyBorder="1" applyAlignment="1">
      <alignment horizontal="center" vertical="center"/>
    </xf>
    <xf numFmtId="0" fontId="5" fillId="5" borderId="12" xfId="4" applyFont="1" applyFill="1" applyBorder="1"/>
    <xf numFmtId="0" fontId="5" fillId="5" borderId="13" xfId="4" applyFont="1" applyFill="1" applyBorder="1"/>
    <xf numFmtId="0" fontId="2" fillId="3" borderId="0" xfId="0" applyFont="1" applyFill="1"/>
    <xf numFmtId="0" fontId="0" fillId="0" borderId="0" xfId="0" applyAlignment="1">
      <alignment horizontal="center"/>
    </xf>
    <xf numFmtId="0" fontId="4" fillId="4" borderId="0" xfId="3" applyFont="1" applyFill="1" applyBorder="1" applyAlignment="1" applyProtection="1">
      <alignment horizontal="center" vertical="center"/>
      <protection locked="0"/>
    </xf>
    <xf numFmtId="0" fontId="10" fillId="5" borderId="7" xfId="4" applyFont="1" applyFill="1" applyBorder="1" applyAlignment="1">
      <alignment horizontal="left"/>
    </xf>
    <xf numFmtId="10" fontId="5" fillId="5" borderId="1" xfId="5" applyNumberFormat="1" applyFont="1" applyFill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10" fillId="5" borderId="14" xfId="4" applyFont="1" applyFill="1" applyBorder="1" applyAlignment="1">
      <alignment horizontal="left"/>
    </xf>
    <xf numFmtId="0" fontId="5" fillId="5" borderId="0" xfId="4" applyFont="1" applyFill="1"/>
    <xf numFmtId="10" fontId="4" fillId="4" borderId="1" xfId="2" applyNumberFormat="1" applyFont="1" applyFill="1" applyBorder="1" applyAlignment="1" applyProtection="1">
      <alignment horizontal="center"/>
      <protection locked="0"/>
    </xf>
    <xf numFmtId="0" fontId="10" fillId="5" borderId="11" xfId="4" applyFont="1" applyFill="1" applyBorder="1" applyAlignment="1">
      <alignment horizontal="left"/>
    </xf>
    <xf numFmtId="2" fontId="5" fillId="5" borderId="1" xfId="4" applyNumberFormat="1" applyFont="1" applyFill="1" applyBorder="1" applyAlignment="1">
      <alignment horizontal="center"/>
    </xf>
    <xf numFmtId="0" fontId="10" fillId="5" borderId="15" xfId="4" applyFont="1" applyFill="1" applyBorder="1" applyAlignment="1">
      <alignment horizontal="left"/>
    </xf>
    <xf numFmtId="0" fontId="3" fillId="5" borderId="0" xfId="4" applyFill="1"/>
    <xf numFmtId="2" fontId="3" fillId="5" borderId="0" xfId="4" applyNumberFormat="1" applyFill="1" applyAlignment="1">
      <alignment horizontal="center"/>
    </xf>
    <xf numFmtId="0" fontId="11" fillId="3" borderId="0" xfId="4" applyFont="1" applyFill="1"/>
    <xf numFmtId="0" fontId="3" fillId="5" borderId="0" xfId="4" applyFill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9" fillId="3" borderId="0" xfId="2" applyFont="1" applyFill="1"/>
    <xf numFmtId="0" fontId="9" fillId="11" borderId="16" xfId="0" applyFont="1" applyFill="1" applyBorder="1" applyAlignment="1">
      <alignment horizontal="center" vertical="center"/>
    </xf>
    <xf numFmtId="2" fontId="9" fillId="11" borderId="17" xfId="0" applyNumberFormat="1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8" borderId="1" xfId="0" applyFill="1" applyBorder="1"/>
    <xf numFmtId="10" fontId="0" fillId="8" borderId="1" xfId="0" applyNumberFormat="1" applyFill="1" applyBorder="1" applyAlignment="1">
      <alignment horizontal="center" vertical="center"/>
    </xf>
    <xf numFmtId="0" fontId="0" fillId="9" borderId="1" xfId="0" applyFill="1" applyBorder="1"/>
    <xf numFmtId="10" fontId="0" fillId="9" borderId="1" xfId="0" applyNumberFormat="1" applyFill="1" applyBorder="1" applyAlignment="1">
      <alignment horizontal="center" vertical="center"/>
    </xf>
    <xf numFmtId="0" fontId="0" fillId="3" borderId="1" xfId="0" applyFill="1" applyBorder="1"/>
    <xf numFmtId="2" fontId="0" fillId="6" borderId="1" xfId="0" applyNumberFormat="1" applyFill="1" applyBorder="1" applyAlignment="1">
      <alignment horizontal="center" vertical="center"/>
    </xf>
    <xf numFmtId="2" fontId="2" fillId="11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10" borderId="0" xfId="0" applyNumberFormat="1" applyFill="1" applyAlignment="1">
      <alignment horizontal="center"/>
    </xf>
    <xf numFmtId="2" fontId="0" fillId="10" borderId="1" xfId="0" applyNumberForma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10" fontId="0" fillId="10" borderId="1" xfId="0" applyNumberFormat="1" applyFill="1" applyBorder="1" applyAlignment="1">
      <alignment horizontal="center" vertical="center"/>
    </xf>
    <xf numFmtId="0" fontId="7" fillId="11" borderId="2" xfId="3" applyFont="1" applyFill="1" applyBorder="1" applyAlignment="1" applyProtection="1">
      <alignment horizontal="center" vertical="center"/>
      <protection locked="0"/>
    </xf>
    <xf numFmtId="0" fontId="2" fillId="10" borderId="1" xfId="0" applyFont="1" applyFill="1" applyBorder="1" applyAlignment="1">
      <alignment horizontal="center" vertical="center"/>
    </xf>
    <xf numFmtId="0" fontId="9" fillId="10" borderId="1" xfId="4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1" xfId="1" applyNumberFormat="1" applyFont="1" applyFill="1" applyBorder="1" applyAlignment="1">
      <alignment horizontal="center" vertical="center"/>
    </xf>
  </cellXfs>
  <cellStyles count="6">
    <cellStyle name="Heading 1 2" xfId="3" xr:uid="{8F2C851E-1055-478F-B976-3895B6A47F27}"/>
    <cellStyle name="Normal" xfId="0" builtinId="0"/>
    <cellStyle name="Normal 2" xfId="2" xr:uid="{EC62C124-AAA2-496A-88F7-2DEE2B6FDCD4}"/>
    <cellStyle name="Normal 6" xfId="4" xr:uid="{2D409D7C-4278-494F-9FA7-2D6CE9F93089}"/>
    <cellStyle name="Percent" xfId="1" builtinId="5"/>
    <cellStyle name="Percent 3" xfId="5" xr:uid="{F4C2785E-2CEB-4B8D-876B-A97CBE99C9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924D-F2CD-4B27-8EC6-1F458BB90021}">
  <dimension ref="A1:Y11"/>
  <sheetViews>
    <sheetView workbookViewId="0">
      <selection activeCell="C31" sqref="C31"/>
    </sheetView>
  </sheetViews>
  <sheetFormatPr defaultRowHeight="15" x14ac:dyDescent="0.25"/>
  <cols>
    <col min="1" max="1" width="10.85546875" bestFit="1" customWidth="1"/>
    <col min="2" max="2" width="8" bestFit="1" customWidth="1"/>
    <col min="3" max="3" width="35.5703125" bestFit="1" customWidth="1"/>
    <col min="4" max="4" width="13.42578125" bestFit="1" customWidth="1"/>
  </cols>
  <sheetData>
    <row r="1" spans="1:25" x14ac:dyDescent="0.25">
      <c r="A1" s="58" t="s">
        <v>0</v>
      </c>
      <c r="B1" s="58" t="s">
        <v>1</v>
      </c>
      <c r="C1" s="58" t="s">
        <v>2</v>
      </c>
      <c r="D1" s="58" t="s">
        <v>3</v>
      </c>
      <c r="E1" s="58">
        <v>2015</v>
      </c>
      <c r="F1" s="58">
        <v>2016</v>
      </c>
      <c r="G1" s="58">
        <v>2017</v>
      </c>
      <c r="H1" s="58">
        <v>2018</v>
      </c>
      <c r="I1" s="58">
        <v>2019</v>
      </c>
      <c r="J1" s="58">
        <v>2020</v>
      </c>
      <c r="K1" s="58">
        <v>2021</v>
      </c>
      <c r="L1" s="58" t="s">
        <v>10</v>
      </c>
      <c r="M1" s="58" t="s">
        <v>11</v>
      </c>
      <c r="N1" s="58" t="s">
        <v>12</v>
      </c>
      <c r="O1" s="58" t="s">
        <v>13</v>
      </c>
      <c r="P1" s="58" t="s">
        <v>14</v>
      </c>
      <c r="Q1" s="58" t="s">
        <v>15</v>
      </c>
      <c r="R1" s="58" t="s">
        <v>16</v>
      </c>
      <c r="S1" s="58" t="s">
        <v>17</v>
      </c>
      <c r="T1" s="58" t="s">
        <v>18</v>
      </c>
      <c r="U1" s="59" t="s">
        <v>19</v>
      </c>
      <c r="V1" s="59" t="s">
        <v>20</v>
      </c>
      <c r="W1" s="59" t="s">
        <v>21</v>
      </c>
      <c r="X1" s="59" t="s">
        <v>22</v>
      </c>
      <c r="Y1" s="59" t="s">
        <v>23</v>
      </c>
    </row>
    <row r="2" spans="1:25" x14ac:dyDescent="0.25">
      <c r="A2" s="25" t="s">
        <v>4</v>
      </c>
      <c r="B2" s="25" t="s">
        <v>5</v>
      </c>
      <c r="C2" s="60" t="s">
        <v>6</v>
      </c>
      <c r="D2" s="25" t="s">
        <v>7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160</v>
      </c>
      <c r="L2" s="10">
        <v>160</v>
      </c>
      <c r="M2" s="10">
        <v>160</v>
      </c>
      <c r="N2" s="10">
        <v>160</v>
      </c>
      <c r="O2" s="10">
        <v>160</v>
      </c>
      <c r="P2" s="10">
        <v>160</v>
      </c>
      <c r="Q2" s="10">
        <v>160</v>
      </c>
      <c r="R2" s="10">
        <v>160</v>
      </c>
      <c r="S2" s="10">
        <v>160</v>
      </c>
      <c r="T2" s="10">
        <v>160</v>
      </c>
      <c r="U2" s="10">
        <v>160</v>
      </c>
      <c r="V2" s="10">
        <v>160</v>
      </c>
      <c r="W2" s="10">
        <v>160</v>
      </c>
      <c r="X2" s="10">
        <v>160</v>
      </c>
      <c r="Y2" s="10">
        <v>160</v>
      </c>
    </row>
    <row r="3" spans="1:25" x14ac:dyDescent="0.25">
      <c r="A3" s="25" t="s">
        <v>4</v>
      </c>
      <c r="B3" s="25" t="s">
        <v>5</v>
      </c>
      <c r="C3" s="60" t="s">
        <v>8</v>
      </c>
      <c r="D3" s="25" t="s">
        <v>9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90</v>
      </c>
      <c r="O3" s="10">
        <v>90</v>
      </c>
      <c r="P3" s="10">
        <v>90</v>
      </c>
      <c r="Q3" s="10">
        <v>90</v>
      </c>
      <c r="R3" s="10">
        <v>90</v>
      </c>
      <c r="S3" s="10">
        <v>90</v>
      </c>
      <c r="T3" s="10">
        <v>90</v>
      </c>
      <c r="U3" s="10">
        <v>90</v>
      </c>
      <c r="V3" s="10">
        <v>90</v>
      </c>
      <c r="W3" s="10">
        <v>90</v>
      </c>
      <c r="X3" s="10">
        <v>90</v>
      </c>
      <c r="Y3" s="10">
        <v>90</v>
      </c>
    </row>
    <row r="4" spans="1:25" x14ac:dyDescent="0.25">
      <c r="A4" s="61"/>
      <c r="B4" s="61"/>
      <c r="C4" s="61"/>
      <c r="D4" s="61" t="s">
        <v>24</v>
      </c>
      <c r="E4" s="62">
        <f>SUM(E2:E3)</f>
        <v>0</v>
      </c>
      <c r="F4" s="62">
        <f t="shared" ref="F4:Y4" si="0">SUM(F2:F3)</f>
        <v>0</v>
      </c>
      <c r="G4" s="62">
        <f t="shared" si="0"/>
        <v>0</v>
      </c>
      <c r="H4" s="62">
        <f t="shared" si="0"/>
        <v>0</v>
      </c>
      <c r="I4" s="62">
        <f t="shared" si="0"/>
        <v>0</v>
      </c>
      <c r="J4" s="62">
        <f t="shared" si="0"/>
        <v>0</v>
      </c>
      <c r="K4" s="62">
        <f t="shared" si="0"/>
        <v>160</v>
      </c>
      <c r="L4" s="62">
        <f t="shared" si="0"/>
        <v>160</v>
      </c>
      <c r="M4" s="62">
        <f t="shared" si="0"/>
        <v>160</v>
      </c>
      <c r="N4" s="62">
        <f t="shared" si="0"/>
        <v>250</v>
      </c>
      <c r="O4" s="62">
        <f t="shared" si="0"/>
        <v>250</v>
      </c>
      <c r="P4" s="62">
        <f t="shared" si="0"/>
        <v>250</v>
      </c>
      <c r="Q4" s="62">
        <f t="shared" si="0"/>
        <v>250</v>
      </c>
      <c r="R4" s="62">
        <f t="shared" si="0"/>
        <v>250</v>
      </c>
      <c r="S4" s="62">
        <f t="shared" si="0"/>
        <v>250</v>
      </c>
      <c r="T4" s="62">
        <f t="shared" si="0"/>
        <v>250</v>
      </c>
      <c r="U4" s="62">
        <f t="shared" si="0"/>
        <v>250</v>
      </c>
      <c r="V4" s="62">
        <f t="shared" si="0"/>
        <v>250</v>
      </c>
      <c r="W4" s="62">
        <f t="shared" si="0"/>
        <v>250</v>
      </c>
      <c r="X4" s="62">
        <f t="shared" si="0"/>
        <v>250</v>
      </c>
      <c r="Y4" s="62">
        <f t="shared" si="0"/>
        <v>250</v>
      </c>
    </row>
    <row r="6" spans="1:25" x14ac:dyDescent="0.25">
      <c r="K6" t="s">
        <v>66</v>
      </c>
    </row>
    <row r="7" spans="1:25" x14ac:dyDescent="0.25">
      <c r="A7" t="s">
        <v>25</v>
      </c>
    </row>
    <row r="8" spans="1:25" x14ac:dyDescent="0.25">
      <c r="K8">
        <f>K2/12</f>
        <v>13.333333333333334</v>
      </c>
    </row>
    <row r="9" spans="1:25" x14ac:dyDescent="0.25">
      <c r="K9">
        <f>K8*2</f>
        <v>26.666666666666668</v>
      </c>
    </row>
    <row r="10" spans="1:25" x14ac:dyDescent="0.25">
      <c r="K10">
        <f>K9*0.5</f>
        <v>13.333333333333334</v>
      </c>
    </row>
    <row r="11" spans="1:25" x14ac:dyDescent="0.25">
      <c r="K11" s="5">
        <f>K10/K2</f>
        <v>8.3333333333333343E-2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A986-033B-4475-ABA2-9ED9211418D3}">
  <dimension ref="A1:V5"/>
  <sheetViews>
    <sheetView workbookViewId="0">
      <selection activeCell="N20" sqref="N20"/>
    </sheetView>
  </sheetViews>
  <sheetFormatPr defaultRowHeight="15" x14ac:dyDescent="0.25"/>
  <cols>
    <col min="1" max="1" width="35.5703125" bestFit="1" customWidth="1"/>
  </cols>
  <sheetData>
    <row r="1" spans="1:22" x14ac:dyDescent="0.25">
      <c r="A1" s="65" t="s">
        <v>2</v>
      </c>
      <c r="B1" s="65">
        <v>2015</v>
      </c>
      <c r="C1" s="65">
        <v>2016</v>
      </c>
      <c r="D1" s="65">
        <v>2017</v>
      </c>
      <c r="E1" s="65">
        <v>2018</v>
      </c>
      <c r="F1" s="65">
        <v>2019</v>
      </c>
      <c r="G1" s="65">
        <v>2020</v>
      </c>
      <c r="H1" s="65">
        <v>2021</v>
      </c>
      <c r="I1" s="65" t="s">
        <v>10</v>
      </c>
      <c r="J1" s="65" t="s">
        <v>11</v>
      </c>
      <c r="K1" s="65" t="s">
        <v>12</v>
      </c>
      <c r="L1" s="65" t="s">
        <v>13</v>
      </c>
      <c r="M1" s="65" t="s">
        <v>14</v>
      </c>
      <c r="N1" s="65" t="s">
        <v>15</v>
      </c>
      <c r="O1" s="65" t="s">
        <v>16</v>
      </c>
      <c r="P1" s="65" t="s">
        <v>17</v>
      </c>
      <c r="Q1" s="65" t="s">
        <v>18</v>
      </c>
      <c r="R1" s="59" t="s">
        <v>19</v>
      </c>
      <c r="S1" s="59" t="s">
        <v>20</v>
      </c>
      <c r="T1" s="59" t="s">
        <v>21</v>
      </c>
      <c r="U1" s="59" t="s">
        <v>22</v>
      </c>
      <c r="V1" s="59" t="s">
        <v>23</v>
      </c>
    </row>
    <row r="2" spans="1:22" x14ac:dyDescent="0.25">
      <c r="A2" s="25" t="str">
        <f>'Capacity By Location'!C2</f>
        <v>Bharat Petroleum Corporation Limited</v>
      </c>
      <c r="B2" s="10">
        <f>'Capacity By Location'!E2</f>
        <v>0</v>
      </c>
      <c r="C2" s="10">
        <f>'Capacity By Location'!F2</f>
        <v>0</v>
      </c>
      <c r="D2" s="10">
        <f>'Capacity By Location'!G2</f>
        <v>0</v>
      </c>
      <c r="E2" s="10">
        <f>'Capacity By Location'!H2</f>
        <v>0</v>
      </c>
      <c r="F2" s="10">
        <f>'Capacity By Location'!I2</f>
        <v>0</v>
      </c>
      <c r="G2" s="10">
        <f>'Capacity By Location'!J2</f>
        <v>0</v>
      </c>
      <c r="H2" s="10">
        <f>'Capacity By Location'!K2</f>
        <v>160</v>
      </c>
      <c r="I2" s="10">
        <f>'Capacity By Location'!L2</f>
        <v>160</v>
      </c>
      <c r="J2" s="10">
        <f>'Capacity By Location'!M2</f>
        <v>160</v>
      </c>
      <c r="K2" s="10">
        <f>'Capacity By Location'!N2</f>
        <v>160</v>
      </c>
      <c r="L2" s="10">
        <f>'Capacity By Location'!O2</f>
        <v>160</v>
      </c>
      <c r="M2" s="10">
        <f>'Capacity By Location'!P2</f>
        <v>160</v>
      </c>
      <c r="N2" s="10">
        <f>'Capacity By Location'!Q2</f>
        <v>160</v>
      </c>
      <c r="O2" s="10">
        <f>'Capacity By Location'!R2</f>
        <v>160</v>
      </c>
      <c r="P2" s="10">
        <f>'Capacity By Location'!S2</f>
        <v>160</v>
      </c>
      <c r="Q2" s="10">
        <f>'Capacity By Location'!T2</f>
        <v>160</v>
      </c>
      <c r="R2" s="10">
        <f>'Capacity By Location'!U2</f>
        <v>160</v>
      </c>
      <c r="S2" s="10">
        <f>'Capacity By Location'!V2</f>
        <v>160</v>
      </c>
      <c r="T2" s="10">
        <f>'Capacity By Location'!W2</f>
        <v>160</v>
      </c>
      <c r="U2" s="10">
        <f>'Capacity By Location'!X2</f>
        <v>160</v>
      </c>
      <c r="V2" s="10">
        <f>'Capacity By Location'!Y2</f>
        <v>160</v>
      </c>
    </row>
    <row r="3" spans="1:22" x14ac:dyDescent="0.25">
      <c r="A3" s="25" t="str">
        <f>'Capacity By Location'!C3</f>
        <v>Indian Oil Corporation Limited</v>
      </c>
      <c r="B3" s="10">
        <f>'Capacity By Location'!E3</f>
        <v>0</v>
      </c>
      <c r="C3" s="10">
        <f>'Capacity By Location'!F3</f>
        <v>0</v>
      </c>
      <c r="D3" s="10">
        <f>'Capacity By Location'!G3</f>
        <v>0</v>
      </c>
      <c r="E3" s="10">
        <f>'Capacity By Location'!H3</f>
        <v>0</v>
      </c>
      <c r="F3" s="10">
        <f>'Capacity By Location'!I3</f>
        <v>0</v>
      </c>
      <c r="G3" s="10">
        <f>'Capacity By Location'!J3</f>
        <v>0</v>
      </c>
      <c r="H3" s="10">
        <f>'Capacity By Location'!K3</f>
        <v>0</v>
      </c>
      <c r="I3" s="10">
        <f>'Capacity By Location'!L3</f>
        <v>0</v>
      </c>
      <c r="J3" s="10">
        <f>'Capacity By Location'!M3</f>
        <v>0</v>
      </c>
      <c r="K3" s="10">
        <v>90</v>
      </c>
      <c r="L3" s="10">
        <f>'Capacity By Location'!O3</f>
        <v>90</v>
      </c>
      <c r="M3" s="10">
        <f>'Capacity By Location'!P3</f>
        <v>90</v>
      </c>
      <c r="N3" s="10">
        <f>'Capacity By Location'!Q3</f>
        <v>90</v>
      </c>
      <c r="O3" s="10">
        <f>'Capacity By Location'!R3</f>
        <v>90</v>
      </c>
      <c r="P3" s="10">
        <f>'Capacity By Location'!S3</f>
        <v>90</v>
      </c>
      <c r="Q3" s="10">
        <f>'Capacity By Location'!T3</f>
        <v>90</v>
      </c>
      <c r="R3" s="10">
        <f>'Capacity By Location'!U3</f>
        <v>90</v>
      </c>
      <c r="S3" s="10">
        <f>'Capacity By Location'!V3</f>
        <v>90</v>
      </c>
      <c r="T3" s="10">
        <f>'Capacity By Location'!W3</f>
        <v>90</v>
      </c>
      <c r="U3" s="10">
        <f>'Capacity By Location'!X3</f>
        <v>90</v>
      </c>
      <c r="V3" s="10">
        <f>'Capacity By Location'!Y3</f>
        <v>90</v>
      </c>
    </row>
    <row r="4" spans="1:22" x14ac:dyDescent="0.25">
      <c r="A4" s="25" t="s">
        <v>24</v>
      </c>
      <c r="B4" s="10">
        <f>SUM(B2:B3)</f>
        <v>0</v>
      </c>
      <c r="C4" s="10">
        <f t="shared" ref="C4:V4" si="0">SUM(C2:C3)</f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160</v>
      </c>
      <c r="I4" s="10">
        <f t="shared" si="0"/>
        <v>160</v>
      </c>
      <c r="J4" s="10">
        <f t="shared" si="0"/>
        <v>160</v>
      </c>
      <c r="K4" s="10">
        <f t="shared" si="0"/>
        <v>250</v>
      </c>
      <c r="L4" s="10">
        <f t="shared" si="0"/>
        <v>250</v>
      </c>
      <c r="M4" s="10">
        <f t="shared" si="0"/>
        <v>250</v>
      </c>
      <c r="N4" s="10">
        <f t="shared" si="0"/>
        <v>250</v>
      </c>
      <c r="O4" s="10">
        <f t="shared" si="0"/>
        <v>250</v>
      </c>
      <c r="P4" s="10">
        <f t="shared" si="0"/>
        <v>250</v>
      </c>
      <c r="Q4" s="10">
        <f t="shared" si="0"/>
        <v>250</v>
      </c>
      <c r="R4" s="10">
        <f t="shared" si="0"/>
        <v>250</v>
      </c>
      <c r="S4" s="10">
        <f t="shared" si="0"/>
        <v>250</v>
      </c>
      <c r="T4" s="10">
        <f t="shared" si="0"/>
        <v>250</v>
      </c>
      <c r="U4" s="10">
        <f t="shared" si="0"/>
        <v>250</v>
      </c>
      <c r="V4" s="10">
        <f t="shared" si="0"/>
        <v>250</v>
      </c>
    </row>
    <row r="5" spans="1:22" x14ac:dyDescent="0.25">
      <c r="B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D3CF-D369-451F-B7EB-2691E97DAB63}">
  <dimension ref="A1:V9"/>
  <sheetViews>
    <sheetView workbookViewId="0">
      <selection activeCell="Q12" sqref="Q12"/>
    </sheetView>
  </sheetViews>
  <sheetFormatPr defaultRowHeight="15" x14ac:dyDescent="0.25"/>
  <cols>
    <col min="1" max="1" width="35.5703125" bestFit="1" customWidth="1"/>
  </cols>
  <sheetData>
    <row r="1" spans="1:22" x14ac:dyDescent="0.25">
      <c r="A1" s="1" t="s">
        <v>2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x14ac:dyDescent="0.25">
      <c r="A2" s="4" t="str">
        <f>'Capacity By Company'!A2</f>
        <v>Bharat Petroleum Corporation Limited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7.4999999999999997E-2</v>
      </c>
      <c r="I2" s="11">
        <v>0.95</v>
      </c>
      <c r="J2" s="11">
        <v>0.98</v>
      </c>
      <c r="K2" s="11">
        <v>0.98</v>
      </c>
      <c r="L2" s="11">
        <v>0.98</v>
      </c>
      <c r="M2" s="11">
        <v>0.98</v>
      </c>
      <c r="N2" s="11">
        <v>0.98</v>
      </c>
      <c r="O2" s="11">
        <v>1</v>
      </c>
      <c r="P2" s="11">
        <v>1</v>
      </c>
      <c r="Q2" s="11">
        <v>1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</row>
    <row r="3" spans="1:22" x14ac:dyDescent="0.25">
      <c r="A3" s="4" t="str">
        <f>'Capacity By Company'!A3</f>
        <v>Indian Oil Corporation Limited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0.6</v>
      </c>
      <c r="L3" s="11">
        <v>0.8</v>
      </c>
      <c r="M3" s="11">
        <v>0.85</v>
      </c>
      <c r="N3" s="11">
        <v>0.88</v>
      </c>
      <c r="O3" s="11">
        <v>0.9</v>
      </c>
      <c r="P3" s="11">
        <v>0.9</v>
      </c>
      <c r="Q3" s="50">
        <v>0.92</v>
      </c>
      <c r="R3" s="50">
        <v>0.92</v>
      </c>
      <c r="S3" s="50">
        <v>0.95</v>
      </c>
      <c r="T3" s="50">
        <v>0.98</v>
      </c>
      <c r="U3" s="11">
        <v>1</v>
      </c>
      <c r="V3" s="11">
        <v>1</v>
      </c>
    </row>
    <row r="6" spans="1:22" x14ac:dyDescent="0.25">
      <c r="H6">
        <f>160/12</f>
        <v>13.333333333333334</v>
      </c>
    </row>
    <row r="7" spans="1:22" x14ac:dyDescent="0.25">
      <c r="H7">
        <f>H6*0.9</f>
        <v>12</v>
      </c>
      <c r="I7" s="5"/>
    </row>
    <row r="8" spans="1:22" x14ac:dyDescent="0.25">
      <c r="H8">
        <f>20*330*24</f>
        <v>158400</v>
      </c>
    </row>
    <row r="9" spans="1:22" x14ac:dyDescent="0.25">
      <c r="H9" s="5">
        <f>H8/160000</f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E609-FD5F-434A-AB58-08251DFE6012}">
  <dimension ref="A1:V4"/>
  <sheetViews>
    <sheetView topLeftCell="G1" workbookViewId="0">
      <selection activeCell="O11" sqref="O11"/>
    </sheetView>
  </sheetViews>
  <sheetFormatPr defaultRowHeight="15" x14ac:dyDescent="0.25"/>
  <cols>
    <col min="1" max="1" width="35.5703125" bestFit="1" customWidth="1"/>
    <col min="2" max="22" width="9.140625" style="61"/>
  </cols>
  <sheetData>
    <row r="1" spans="1:22" x14ac:dyDescent="0.25">
      <c r="A1" s="1" t="s">
        <v>2</v>
      </c>
      <c r="B1" s="58">
        <v>2015</v>
      </c>
      <c r="C1" s="58">
        <v>2016</v>
      </c>
      <c r="D1" s="58">
        <v>2017</v>
      </c>
      <c r="E1" s="58">
        <v>2018</v>
      </c>
      <c r="F1" s="58">
        <v>2019</v>
      </c>
      <c r="G1" s="58">
        <v>2020</v>
      </c>
      <c r="H1" s="58">
        <v>2021</v>
      </c>
      <c r="I1" s="58" t="s">
        <v>10</v>
      </c>
      <c r="J1" s="58" t="s">
        <v>11</v>
      </c>
      <c r="K1" s="58" t="s">
        <v>12</v>
      </c>
      <c r="L1" s="58" t="s">
        <v>13</v>
      </c>
      <c r="M1" s="58" t="s">
        <v>14</v>
      </c>
      <c r="N1" s="58" t="s">
        <v>15</v>
      </c>
      <c r="O1" s="58" t="s">
        <v>16</v>
      </c>
      <c r="P1" s="58" t="s">
        <v>17</v>
      </c>
      <c r="Q1" s="58" t="s">
        <v>18</v>
      </c>
      <c r="R1" s="58" t="s">
        <v>19</v>
      </c>
      <c r="S1" s="58" t="s">
        <v>20</v>
      </c>
      <c r="T1" s="58" t="s">
        <v>21</v>
      </c>
      <c r="U1" s="58" t="s">
        <v>22</v>
      </c>
      <c r="V1" s="58" t="s">
        <v>23</v>
      </c>
    </row>
    <row r="2" spans="1:22" x14ac:dyDescent="0.25">
      <c r="A2" s="4" t="str">
        <f>'Operating Efficiency'!A2</f>
        <v>Bharat Petroleum Corporation Limited</v>
      </c>
      <c r="B2" s="10">
        <f>'Operating Efficiency'!B2*'Capacity By Company'!B2</f>
        <v>0</v>
      </c>
      <c r="C2" s="10">
        <f>'Operating Efficiency'!C2*'Capacity By Company'!C2</f>
        <v>0</v>
      </c>
      <c r="D2" s="10">
        <f>'Operating Efficiency'!D2*'Capacity By Company'!D2</f>
        <v>0</v>
      </c>
      <c r="E2" s="10">
        <f>'Operating Efficiency'!E2*'Capacity By Company'!E2</f>
        <v>0</v>
      </c>
      <c r="F2" s="10">
        <f>'Operating Efficiency'!F2*'Capacity By Company'!F2</f>
        <v>0</v>
      </c>
      <c r="G2" s="10">
        <f>'Operating Efficiency'!G2*'Capacity By Company'!G2</f>
        <v>0</v>
      </c>
      <c r="H2" s="10">
        <f>'Operating Efficiency'!H2*'Capacity By Company'!H2</f>
        <v>12</v>
      </c>
      <c r="I2" s="10">
        <f>'Operating Efficiency'!I2*'Capacity By Company'!I2</f>
        <v>152</v>
      </c>
      <c r="J2" s="10">
        <f>'Operating Efficiency'!J2*'Capacity By Company'!J2</f>
        <v>156.80000000000001</v>
      </c>
      <c r="K2" s="10">
        <f>'Operating Efficiency'!K2*'Capacity By Company'!K2</f>
        <v>156.80000000000001</v>
      </c>
      <c r="L2" s="10">
        <f>'Operating Efficiency'!L2*'Capacity By Company'!L2</f>
        <v>156.80000000000001</v>
      </c>
      <c r="M2" s="10">
        <f>'Operating Efficiency'!M2*'Capacity By Company'!M2</f>
        <v>156.80000000000001</v>
      </c>
      <c r="N2" s="10">
        <f>'Operating Efficiency'!N2*'Capacity By Company'!N2</f>
        <v>156.80000000000001</v>
      </c>
      <c r="O2" s="10">
        <f>'Operating Efficiency'!O2*'Capacity By Company'!O2</f>
        <v>160</v>
      </c>
      <c r="P2" s="10">
        <f>'Operating Efficiency'!P2*'Capacity By Company'!P2</f>
        <v>160</v>
      </c>
      <c r="Q2" s="10">
        <f>'Operating Efficiency'!Q2*'Capacity By Company'!Q2</f>
        <v>160</v>
      </c>
      <c r="R2" s="10">
        <f>'Operating Efficiency'!R2*'Capacity By Company'!R2</f>
        <v>160</v>
      </c>
      <c r="S2" s="10">
        <f>'Operating Efficiency'!S2*'Capacity By Company'!S2</f>
        <v>160</v>
      </c>
      <c r="T2" s="10">
        <f>'Operating Efficiency'!T2*'Capacity By Company'!T2</f>
        <v>160</v>
      </c>
      <c r="U2" s="10">
        <f>'Operating Efficiency'!U2*'Capacity By Company'!U2</f>
        <v>160</v>
      </c>
      <c r="V2" s="10">
        <f>'Operating Efficiency'!V2*'Capacity By Company'!V2</f>
        <v>160</v>
      </c>
    </row>
    <row r="3" spans="1:22" x14ac:dyDescent="0.25">
      <c r="A3" s="4" t="str">
        <f>'Operating Efficiency'!A3</f>
        <v>Indian Oil Corporation Limited</v>
      </c>
      <c r="B3" s="10">
        <f>'Operating Efficiency'!B3*'Capacity By Company'!B3</f>
        <v>0</v>
      </c>
      <c r="C3" s="10">
        <f>'Operating Efficiency'!C3*'Capacity By Company'!C3</f>
        <v>0</v>
      </c>
      <c r="D3" s="10">
        <f>'Operating Efficiency'!D3*'Capacity By Company'!D3</f>
        <v>0</v>
      </c>
      <c r="E3" s="10">
        <f>'Operating Efficiency'!E3*'Capacity By Company'!E3</f>
        <v>0</v>
      </c>
      <c r="F3" s="10">
        <f>'Operating Efficiency'!F3*'Capacity By Company'!F3</f>
        <v>0</v>
      </c>
      <c r="G3" s="10">
        <f>'Operating Efficiency'!G3*'Capacity By Company'!G3</f>
        <v>0</v>
      </c>
      <c r="H3" s="10">
        <f>'Operating Efficiency'!H3*'Capacity By Company'!H3</f>
        <v>0</v>
      </c>
      <c r="I3" s="10">
        <f>'Operating Efficiency'!I3*'Capacity By Company'!I3</f>
        <v>0</v>
      </c>
      <c r="J3" s="10">
        <f>'Operating Efficiency'!J3*'Capacity By Company'!J3</f>
        <v>0</v>
      </c>
      <c r="K3" s="10">
        <f>'Operating Efficiency'!K3*'Capacity By Company'!K3</f>
        <v>54</v>
      </c>
      <c r="L3" s="10">
        <f>'Operating Efficiency'!L3*'Capacity By Company'!L3</f>
        <v>72</v>
      </c>
      <c r="M3" s="10">
        <f>'Operating Efficiency'!M3*'Capacity By Company'!M3</f>
        <v>76.5</v>
      </c>
      <c r="N3" s="10">
        <f>'Operating Efficiency'!N3*'Capacity By Company'!N3</f>
        <v>79.2</v>
      </c>
      <c r="O3" s="10">
        <f>'Operating Efficiency'!O3*'Capacity By Company'!O3</f>
        <v>81</v>
      </c>
      <c r="P3" s="10">
        <f>'Operating Efficiency'!P3*'Capacity By Company'!P3</f>
        <v>81</v>
      </c>
      <c r="Q3" s="10">
        <f>'Operating Efficiency'!Q3*'Capacity By Company'!Q3</f>
        <v>82.8</v>
      </c>
      <c r="R3" s="10">
        <f>'Operating Efficiency'!R3*'Capacity By Company'!R3</f>
        <v>82.8</v>
      </c>
      <c r="S3" s="10">
        <f>'Operating Efficiency'!S3*'Capacity By Company'!S3</f>
        <v>85.5</v>
      </c>
      <c r="T3" s="10">
        <f>'Operating Efficiency'!T3*'Capacity By Company'!T3</f>
        <v>88.2</v>
      </c>
      <c r="U3" s="10">
        <f>'Operating Efficiency'!U3*'Capacity By Company'!U3</f>
        <v>90</v>
      </c>
      <c r="V3" s="10">
        <f>'Operating Efficiency'!V3*'Capacity By Company'!V3</f>
        <v>90</v>
      </c>
    </row>
    <row r="4" spans="1:22" x14ac:dyDescent="0.25">
      <c r="A4" s="4" t="s">
        <v>24</v>
      </c>
      <c r="B4" s="10">
        <f>SUM(B2:B3)</f>
        <v>0</v>
      </c>
      <c r="C4" s="10">
        <f t="shared" ref="C4:V4" si="0">SUM(C2:C3)</f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12</v>
      </c>
      <c r="I4" s="10">
        <f t="shared" si="0"/>
        <v>152</v>
      </c>
      <c r="J4" s="10">
        <f t="shared" si="0"/>
        <v>156.80000000000001</v>
      </c>
      <c r="K4" s="10">
        <f t="shared" si="0"/>
        <v>210.8</v>
      </c>
      <c r="L4" s="10">
        <f t="shared" si="0"/>
        <v>228.8</v>
      </c>
      <c r="M4" s="10">
        <f t="shared" si="0"/>
        <v>233.3</v>
      </c>
      <c r="N4" s="10">
        <f t="shared" si="0"/>
        <v>236</v>
      </c>
      <c r="O4" s="10">
        <f t="shared" si="0"/>
        <v>241</v>
      </c>
      <c r="P4" s="10">
        <f t="shared" si="0"/>
        <v>241</v>
      </c>
      <c r="Q4" s="10">
        <f t="shared" si="0"/>
        <v>242.8</v>
      </c>
      <c r="R4" s="10">
        <f t="shared" si="0"/>
        <v>242.8</v>
      </c>
      <c r="S4" s="10">
        <f t="shared" si="0"/>
        <v>245.5</v>
      </c>
      <c r="T4" s="10">
        <f t="shared" si="0"/>
        <v>248.2</v>
      </c>
      <c r="U4" s="10">
        <f t="shared" si="0"/>
        <v>250</v>
      </c>
      <c r="V4" s="10">
        <f t="shared" si="0"/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8917-BDEC-4169-8F5B-08D9723EE15A}">
  <dimension ref="A1:V16"/>
  <sheetViews>
    <sheetView topLeftCell="C1" workbookViewId="0">
      <selection activeCell="O31" sqref="O31"/>
    </sheetView>
  </sheetViews>
  <sheetFormatPr defaultRowHeight="15" x14ac:dyDescent="0.25"/>
  <cols>
    <col min="1" max="1" width="59.140625" bestFit="1" customWidth="1"/>
    <col min="2" max="9" width="9.5703125" bestFit="1" customWidth="1"/>
    <col min="19" max="22" width="9.7109375" bestFit="1" customWidth="1"/>
  </cols>
  <sheetData>
    <row r="1" spans="1:22" x14ac:dyDescent="0.25">
      <c r="A1" s="6" t="s">
        <v>26</v>
      </c>
      <c r="B1" s="7">
        <v>2015</v>
      </c>
      <c r="C1" s="7">
        <v>2016</v>
      </c>
      <c r="D1" s="7">
        <v>2017</v>
      </c>
      <c r="E1" s="7">
        <v>2018</v>
      </c>
      <c r="F1" s="7">
        <v>2019</v>
      </c>
      <c r="G1" s="7">
        <v>2020</v>
      </c>
      <c r="H1" s="7">
        <v>2021</v>
      </c>
      <c r="I1" s="7">
        <v>2022</v>
      </c>
      <c r="J1" s="7" t="s">
        <v>27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23</v>
      </c>
    </row>
    <row r="2" spans="1:22" x14ac:dyDescent="0.25">
      <c r="A2" s="8" t="s">
        <v>56</v>
      </c>
      <c r="B2" s="9">
        <f>'Capacity By Company'!B4</f>
        <v>0</v>
      </c>
      <c r="C2" s="9">
        <f>'Capacity By Company'!C4</f>
        <v>0</v>
      </c>
      <c r="D2" s="9">
        <f>'Capacity By Company'!D4</f>
        <v>0</v>
      </c>
      <c r="E2" s="9">
        <f>'Capacity By Company'!E4</f>
        <v>0</v>
      </c>
      <c r="F2" s="9">
        <f>'Capacity By Company'!F4</f>
        <v>0</v>
      </c>
      <c r="G2" s="9">
        <f>'Capacity By Company'!G4</f>
        <v>0</v>
      </c>
      <c r="H2" s="9">
        <f>'Capacity By Company'!H4</f>
        <v>160</v>
      </c>
      <c r="I2" s="9">
        <f>'Capacity By Company'!I4</f>
        <v>160</v>
      </c>
      <c r="J2" s="9">
        <f>'Capacity By Company'!J4</f>
        <v>160</v>
      </c>
      <c r="K2" s="9">
        <f>'Capacity By Company'!K4</f>
        <v>250</v>
      </c>
      <c r="L2" s="9">
        <f>'Capacity By Company'!L4</f>
        <v>250</v>
      </c>
      <c r="M2" s="9">
        <f>'Capacity By Company'!M4</f>
        <v>250</v>
      </c>
      <c r="N2" s="9">
        <f>'Capacity By Company'!N4</f>
        <v>250</v>
      </c>
      <c r="O2" s="9">
        <f>'Capacity By Company'!O4</f>
        <v>250</v>
      </c>
      <c r="P2" s="9">
        <f>'Capacity By Company'!P4</f>
        <v>250</v>
      </c>
      <c r="Q2" s="9">
        <f>'Capacity By Company'!Q4</f>
        <v>250</v>
      </c>
      <c r="R2" s="9">
        <f>'Capacity By Company'!R4</f>
        <v>250</v>
      </c>
      <c r="S2" s="9">
        <f>'Capacity By Company'!S4</f>
        <v>250</v>
      </c>
      <c r="T2" s="9">
        <f>'Capacity By Company'!T4</f>
        <v>250</v>
      </c>
      <c r="U2" s="9">
        <f>'Capacity By Company'!U4</f>
        <v>250</v>
      </c>
      <c r="V2" s="9">
        <f>'Capacity By Company'!V4</f>
        <v>250</v>
      </c>
    </row>
    <row r="3" spans="1:22" x14ac:dyDescent="0.25">
      <c r="A3" s="8" t="s">
        <v>57</v>
      </c>
      <c r="B3" s="9">
        <f>'Production By Company'!B4</f>
        <v>0</v>
      </c>
      <c r="C3" s="9">
        <f>'Production By Company'!C4</f>
        <v>0</v>
      </c>
      <c r="D3" s="9">
        <f>'Production By Company'!D4</f>
        <v>0</v>
      </c>
      <c r="E3" s="9">
        <f>'Production By Company'!E4</f>
        <v>0</v>
      </c>
      <c r="F3" s="9">
        <f>'Production By Company'!F4</f>
        <v>0</v>
      </c>
      <c r="G3" s="9">
        <f>'Production By Company'!G4</f>
        <v>0</v>
      </c>
      <c r="H3" s="9">
        <v>12</v>
      </c>
      <c r="I3" s="9">
        <f>'Production By Company'!I4</f>
        <v>152</v>
      </c>
      <c r="J3" s="9">
        <f>'Production By Company'!J4</f>
        <v>156.80000000000001</v>
      </c>
      <c r="K3" s="9">
        <f>'Production By Company'!K4</f>
        <v>210.8</v>
      </c>
      <c r="L3" s="9">
        <f>'Production By Company'!L4</f>
        <v>228.8</v>
      </c>
      <c r="M3" s="9">
        <f>'Production By Company'!M4</f>
        <v>233.3</v>
      </c>
      <c r="N3" s="9">
        <f>'Production By Company'!N4</f>
        <v>236</v>
      </c>
      <c r="O3" s="9">
        <f>'Production By Company'!O4</f>
        <v>241</v>
      </c>
      <c r="P3" s="9">
        <f>'Production By Company'!P4</f>
        <v>241</v>
      </c>
      <c r="Q3" s="9">
        <f>'Production By Company'!Q4</f>
        <v>242.8</v>
      </c>
      <c r="R3" s="9">
        <f>'Production By Company'!R4</f>
        <v>242.8</v>
      </c>
      <c r="S3" s="9">
        <f>'Production By Company'!S4</f>
        <v>245.5</v>
      </c>
      <c r="T3" s="9">
        <f>'Production By Company'!T4</f>
        <v>248.2</v>
      </c>
      <c r="U3" s="9">
        <f>'Production By Company'!U4</f>
        <v>250</v>
      </c>
      <c r="V3" s="9">
        <f>'Production By Company'!V4</f>
        <v>250</v>
      </c>
    </row>
    <row r="4" spans="1:22" x14ac:dyDescent="0.25">
      <c r="A4" s="8" t="s">
        <v>58</v>
      </c>
      <c r="B4" s="63">
        <v>6.8173552999999973</v>
      </c>
      <c r="C4" s="63">
        <v>7.2231508600000005</v>
      </c>
      <c r="D4" s="63">
        <v>6.4547816000000005</v>
      </c>
      <c r="E4" s="63">
        <v>9.7029590000000034</v>
      </c>
      <c r="F4" s="63">
        <v>20.370284099999996</v>
      </c>
      <c r="G4" s="63">
        <v>33.566137229999995</v>
      </c>
      <c r="H4" s="63">
        <v>31.563649000000002</v>
      </c>
      <c r="I4" s="63">
        <v>36.991201169999997</v>
      </c>
      <c r="J4" s="64">
        <v>35.880000000000003</v>
      </c>
      <c r="K4" s="56">
        <v>0</v>
      </c>
      <c r="L4" s="56">
        <v>0</v>
      </c>
      <c r="M4" s="56">
        <v>0</v>
      </c>
      <c r="N4" s="56">
        <v>0</v>
      </c>
      <c r="O4" s="56">
        <v>0</v>
      </c>
      <c r="P4" s="56">
        <v>0</v>
      </c>
      <c r="Q4" s="56">
        <v>0</v>
      </c>
      <c r="R4" s="56">
        <v>0</v>
      </c>
      <c r="S4" s="56">
        <v>0</v>
      </c>
      <c r="T4" s="56">
        <v>0</v>
      </c>
      <c r="U4" s="56">
        <v>0</v>
      </c>
      <c r="V4" s="56">
        <v>0</v>
      </c>
    </row>
    <row r="5" spans="1:22" x14ac:dyDescent="0.25">
      <c r="A5" s="8" t="s">
        <v>59</v>
      </c>
      <c r="B5" s="64">
        <v>0</v>
      </c>
      <c r="C5" s="64">
        <v>0</v>
      </c>
      <c r="D5" s="64">
        <v>0</v>
      </c>
      <c r="E5" s="64">
        <v>0</v>
      </c>
      <c r="F5" s="64">
        <v>0</v>
      </c>
      <c r="G5" s="64">
        <v>0</v>
      </c>
      <c r="H5" s="64">
        <v>0.27</v>
      </c>
      <c r="I5" s="64">
        <v>0.32</v>
      </c>
      <c r="J5" s="64">
        <v>0.31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  <c r="P5" s="56">
        <v>0</v>
      </c>
      <c r="Q5" s="56">
        <v>0</v>
      </c>
      <c r="R5" s="56">
        <v>0</v>
      </c>
      <c r="S5" s="56">
        <v>0</v>
      </c>
      <c r="T5" s="56">
        <v>0</v>
      </c>
      <c r="U5" s="56">
        <v>0</v>
      </c>
      <c r="V5" s="56">
        <v>0</v>
      </c>
    </row>
    <row r="6" spans="1:22" x14ac:dyDescent="0.25">
      <c r="A6" s="8" t="s">
        <v>60</v>
      </c>
      <c r="B6" s="10">
        <f>B4*0.001</f>
        <v>6.8173552999999977E-3</v>
      </c>
      <c r="C6" s="10">
        <f t="shared" ref="C6:G6" si="0">C4*0.001</f>
        <v>7.2231508600000003E-3</v>
      </c>
      <c r="D6" s="10">
        <f t="shared" si="0"/>
        <v>6.4547816000000008E-3</v>
      </c>
      <c r="E6" s="10">
        <f t="shared" si="0"/>
        <v>9.7029590000000041E-3</v>
      </c>
      <c r="F6" s="10">
        <f t="shared" si="0"/>
        <v>2.0370284099999997E-2</v>
      </c>
      <c r="G6" s="10">
        <f t="shared" si="0"/>
        <v>3.3566137229999994E-2</v>
      </c>
      <c r="H6" s="10">
        <f>H3*0.02</f>
        <v>0.24</v>
      </c>
      <c r="I6" s="10">
        <f>I3*0.02</f>
        <v>3.04</v>
      </c>
      <c r="J6" s="10">
        <f>J3*0.02</f>
        <v>3.1360000000000001</v>
      </c>
      <c r="K6" s="56">
        <v>0</v>
      </c>
      <c r="L6" s="56">
        <v>0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0</v>
      </c>
      <c r="V6" s="56">
        <v>0</v>
      </c>
    </row>
    <row r="7" spans="1:22" x14ac:dyDescent="0.25">
      <c r="A7" s="8" t="s">
        <v>61</v>
      </c>
      <c r="B7" s="10">
        <f>B3+B4-B5-B6</f>
        <v>6.8105379446999974</v>
      </c>
      <c r="C7" s="10">
        <f t="shared" ref="C7:I7" si="1">C3+C4-C5-C6</f>
        <v>7.2159277091400007</v>
      </c>
      <c r="D7" s="10">
        <f t="shared" si="1"/>
        <v>6.4483268184000009</v>
      </c>
      <c r="E7" s="10">
        <f t="shared" si="1"/>
        <v>9.6932560410000033</v>
      </c>
      <c r="F7" s="10">
        <f t="shared" si="1"/>
        <v>20.349913815899995</v>
      </c>
      <c r="G7" s="10">
        <f t="shared" si="1"/>
        <v>33.532571092769999</v>
      </c>
      <c r="H7" s="10">
        <f t="shared" si="1"/>
        <v>43.053648999999993</v>
      </c>
      <c r="I7" s="10">
        <f t="shared" si="1"/>
        <v>185.63120117000003</v>
      </c>
      <c r="J7" s="10">
        <f t="shared" ref="J7" si="2">J3+J4-J5-J6</f>
        <v>189.23400000000001</v>
      </c>
      <c r="K7" s="10">
        <f t="shared" ref="K7:V7" si="3">K8*J7+J7</f>
        <v>199.16878500000001</v>
      </c>
      <c r="L7" s="10">
        <f t="shared" si="3"/>
        <v>209.86414875450001</v>
      </c>
      <c r="M7" s="10">
        <f t="shared" si="3"/>
        <v>221.30174486162025</v>
      </c>
      <c r="N7" s="10">
        <f t="shared" si="3"/>
        <v>233.6282520504125</v>
      </c>
      <c r="O7" s="10">
        <f t="shared" si="3"/>
        <v>246.80488546605577</v>
      </c>
      <c r="P7" s="10">
        <f t="shared" si="3"/>
        <v>260.87276393762096</v>
      </c>
      <c r="Q7" s="10">
        <f t="shared" si="3"/>
        <v>275.92512241682169</v>
      </c>
      <c r="R7" s="10">
        <f t="shared" si="3"/>
        <v>292.06674207820578</v>
      </c>
      <c r="S7" s="10">
        <f t="shared" si="3"/>
        <v>309.32788653502774</v>
      </c>
      <c r="T7" s="10">
        <f t="shared" si="3"/>
        <v>328.19688761366444</v>
      </c>
      <c r="U7" s="10">
        <f t="shared" si="3"/>
        <v>348.44663557942755</v>
      </c>
      <c r="V7" s="10">
        <f t="shared" si="3"/>
        <v>370.22455030314177</v>
      </c>
    </row>
    <row r="8" spans="1:22" x14ac:dyDescent="0.25">
      <c r="A8" s="8" t="s">
        <v>62</v>
      </c>
      <c r="B8" s="10">
        <v>0</v>
      </c>
      <c r="C8" s="11">
        <f>C7/B7-1</f>
        <v>5.952389777895295E-2</v>
      </c>
      <c r="D8" s="11">
        <f t="shared" ref="D8:J8" si="4">D7/C7-1</f>
        <v>-0.1063759119659311</v>
      </c>
      <c r="E8" s="11">
        <f t="shared" si="4"/>
        <v>0.50322034133579385</v>
      </c>
      <c r="F8" s="11">
        <f t="shared" si="4"/>
        <v>1.0993888668394858</v>
      </c>
      <c r="G8" s="11">
        <f t="shared" si="4"/>
        <v>0.6477991698701937</v>
      </c>
      <c r="H8" s="11">
        <f t="shared" si="4"/>
        <v>0.28393521871285454</v>
      </c>
      <c r="I8" s="11">
        <f t="shared" si="4"/>
        <v>3.3116252740853636</v>
      </c>
      <c r="J8" s="11">
        <f t="shared" si="4"/>
        <v>1.9408368891071115E-2</v>
      </c>
      <c r="K8" s="11">
        <v>5.2499999999999998E-2</v>
      </c>
      <c r="L8" s="11">
        <v>5.3699999999999998E-2</v>
      </c>
      <c r="M8" s="11">
        <v>5.45E-2</v>
      </c>
      <c r="N8" s="11">
        <v>5.57E-2</v>
      </c>
      <c r="O8" s="11">
        <v>5.6399999999999999E-2</v>
      </c>
      <c r="P8" s="11">
        <v>5.7000000000000002E-2</v>
      </c>
      <c r="Q8" s="11">
        <v>5.7700000000000001E-2</v>
      </c>
      <c r="R8" s="11">
        <v>5.8500000000000003E-2</v>
      </c>
      <c r="S8" s="11">
        <v>5.91E-2</v>
      </c>
      <c r="T8" s="11">
        <v>6.0999999999999999E-2</v>
      </c>
      <c r="U8" s="11">
        <v>6.1699999999999998E-2</v>
      </c>
      <c r="V8" s="11">
        <v>6.25E-2</v>
      </c>
    </row>
    <row r="9" spans="1:22" x14ac:dyDescent="0.25">
      <c r="A9" s="8" t="s">
        <v>63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f t="shared" ref="K9:V9" si="5">K3-K7</f>
        <v>11.631214999999997</v>
      </c>
      <c r="L9" s="10">
        <f t="shared" si="5"/>
        <v>18.935851245500004</v>
      </c>
      <c r="M9" s="10">
        <f t="shared" si="5"/>
        <v>11.998255138379761</v>
      </c>
      <c r="N9" s="10">
        <f t="shared" si="5"/>
        <v>2.3717479495875011</v>
      </c>
      <c r="O9" s="10">
        <f t="shared" si="5"/>
        <v>-5.8048854660557652</v>
      </c>
      <c r="P9" s="10">
        <f t="shared" si="5"/>
        <v>-19.872763937620959</v>
      </c>
      <c r="Q9" s="10">
        <f t="shared" si="5"/>
        <v>-33.125122416821682</v>
      </c>
      <c r="R9" s="10">
        <f t="shared" si="5"/>
        <v>-49.266742078205766</v>
      </c>
      <c r="S9" s="10">
        <f t="shared" si="5"/>
        <v>-63.827886535027744</v>
      </c>
      <c r="T9" s="10">
        <f t="shared" si="5"/>
        <v>-79.996887613664455</v>
      </c>
      <c r="U9" s="10">
        <f t="shared" si="5"/>
        <v>-98.44663557942755</v>
      </c>
      <c r="V9" s="10">
        <f t="shared" si="5"/>
        <v>-120.22455030314177</v>
      </c>
    </row>
    <row r="10" spans="1:22" x14ac:dyDescent="0.25">
      <c r="B10" s="3">
        <v>3.5000000000000003E-2</v>
      </c>
      <c r="R10" s="3">
        <v>3.5000000000000003E-2</v>
      </c>
      <c r="S10" s="3">
        <v>3.5000000000000003E-2</v>
      </c>
      <c r="T10" s="3">
        <v>3.5000000000000003E-2</v>
      </c>
      <c r="U10" s="3">
        <v>3.5000000000000003E-2</v>
      </c>
      <c r="V10" s="3">
        <v>3.5000000000000003E-2</v>
      </c>
    </row>
    <row r="11" spans="1:22" ht="15.75" thickBot="1" x14ac:dyDescent="0.3">
      <c r="A11" s="45" t="s">
        <v>50</v>
      </c>
      <c r="B11" s="2">
        <f>B10*B14+B14</f>
        <v>1.3589549999999999</v>
      </c>
      <c r="C11" s="2">
        <f t="shared" ref="C11:Q11" si="6">C10*C14+C14</f>
        <v>1.141</v>
      </c>
      <c r="D11" s="2">
        <f t="shared" si="6"/>
        <v>1.4710000000000001</v>
      </c>
      <c r="E11" s="2">
        <f t="shared" si="6"/>
        <v>1.585</v>
      </c>
      <c r="F11" s="2">
        <f t="shared" si="6"/>
        <v>1.48</v>
      </c>
      <c r="G11" s="2">
        <f t="shared" si="6"/>
        <v>1.3160000000000001</v>
      </c>
      <c r="H11" s="2">
        <f t="shared" si="6"/>
        <v>1.998</v>
      </c>
      <c r="I11" s="2">
        <f t="shared" si="6"/>
        <v>2.12</v>
      </c>
      <c r="J11" s="2">
        <f t="shared" si="6"/>
        <v>2.1812</v>
      </c>
      <c r="K11" s="2">
        <f t="shared" si="6"/>
        <v>2.2357300000000002</v>
      </c>
      <c r="L11" s="2">
        <f t="shared" si="6"/>
        <v>2.2916232500000002</v>
      </c>
      <c r="M11" s="2">
        <f t="shared" si="6"/>
        <v>2.34891383125</v>
      </c>
      <c r="N11" s="2">
        <f t="shared" si="6"/>
        <v>2.4076366770312498</v>
      </c>
      <c r="O11" s="2">
        <f t="shared" si="6"/>
        <v>2.4678275939570309</v>
      </c>
      <c r="P11" s="2">
        <f t="shared" si="6"/>
        <v>2.5295232838059563</v>
      </c>
      <c r="Q11" s="2">
        <f t="shared" si="6"/>
        <v>2.5927613659011053</v>
      </c>
      <c r="R11" s="2">
        <f>R10*Q11+Q11</f>
        <v>2.6835080137076441</v>
      </c>
      <c r="S11" s="2">
        <f t="shared" ref="S11:V11" si="7">S10*R11+R11</f>
        <v>2.7774307941874117</v>
      </c>
      <c r="T11" s="2">
        <f t="shared" si="7"/>
        <v>2.8746408719839711</v>
      </c>
      <c r="U11" s="2">
        <f t="shared" si="7"/>
        <v>2.9752533025034102</v>
      </c>
      <c r="V11" s="2">
        <f t="shared" si="7"/>
        <v>3.0793871680910296</v>
      </c>
    </row>
    <row r="12" spans="1:22" ht="15.75" thickBot="1" x14ac:dyDescent="0.3">
      <c r="A12" s="46" t="s">
        <v>51</v>
      </c>
      <c r="B12" s="47">
        <f>B11*B7</f>
        <v>9.2552145926397849</v>
      </c>
      <c r="C12" s="47">
        <f t="shared" ref="C12:V12" si="8">C11*C7</f>
        <v>8.23337351612874</v>
      </c>
      <c r="D12" s="47">
        <f t="shared" si="8"/>
        <v>9.485488749866402</v>
      </c>
      <c r="E12" s="47">
        <f t="shared" si="8"/>
        <v>15.363810824985006</v>
      </c>
      <c r="F12" s="47">
        <f t="shared" si="8"/>
        <v>30.117872447531994</v>
      </c>
      <c r="G12" s="47">
        <f t="shared" si="8"/>
        <v>44.128863558085321</v>
      </c>
      <c r="H12" s="47">
        <f t="shared" si="8"/>
        <v>86.021190701999984</v>
      </c>
      <c r="I12" s="47">
        <f t="shared" si="8"/>
        <v>393.53814648040009</v>
      </c>
      <c r="J12" s="47">
        <f t="shared" si="8"/>
        <v>412.75720080000002</v>
      </c>
      <c r="K12" s="47">
        <f t="shared" si="8"/>
        <v>445.28762768805007</v>
      </c>
      <c r="L12" s="47">
        <f t="shared" si="8"/>
        <v>480.9295626272708</v>
      </c>
      <c r="M12" s="47">
        <f t="shared" si="8"/>
        <v>519.81872938521838</v>
      </c>
      <c r="N12" s="47">
        <f t="shared" si="8"/>
        <v>562.49194842727445</v>
      </c>
      <c r="O12" s="47">
        <f t="shared" si="8"/>
        <v>609.07190667653697</v>
      </c>
      <c r="P12" s="47">
        <f t="shared" si="8"/>
        <v>659.88373049102699</v>
      </c>
      <c r="Q12" s="47">
        <f t="shared" si="8"/>
        <v>715.40799728386833</v>
      </c>
      <c r="R12" s="47">
        <f t="shared" si="8"/>
        <v>783.76344290434884</v>
      </c>
      <c r="S12" s="47">
        <f t="shared" si="8"/>
        <v>859.13679756329566</v>
      </c>
      <c r="T12" s="47">
        <f t="shared" si="8"/>
        <v>943.44818719216971</v>
      </c>
      <c r="U12" s="47">
        <f t="shared" si="8"/>
        <v>1036.7170032538941</v>
      </c>
      <c r="V12" s="47">
        <f t="shared" si="8"/>
        <v>1140.0647295157667</v>
      </c>
    </row>
    <row r="14" spans="1:22" x14ac:dyDescent="0.25">
      <c r="B14" s="2">
        <v>1.3129999999999999</v>
      </c>
      <c r="C14" s="2">
        <v>1.141</v>
      </c>
      <c r="D14" s="2">
        <v>1.4710000000000001</v>
      </c>
      <c r="E14" s="2">
        <v>1.585</v>
      </c>
      <c r="F14" s="2">
        <v>1.48</v>
      </c>
      <c r="G14" s="2">
        <v>1.3160000000000001</v>
      </c>
      <c r="H14" s="2">
        <v>1.998</v>
      </c>
      <c r="I14" s="2">
        <v>2.12</v>
      </c>
      <c r="J14" s="2">
        <v>2.1812</v>
      </c>
      <c r="K14" s="2">
        <v>2.2357300000000002</v>
      </c>
      <c r="L14" s="2">
        <v>2.2916232500000002</v>
      </c>
      <c r="M14" s="2">
        <v>2.34891383125</v>
      </c>
      <c r="N14" s="2">
        <v>2.4076366770312498</v>
      </c>
      <c r="O14" s="2">
        <v>2.4678275939570309</v>
      </c>
      <c r="P14" s="2">
        <v>2.5295232838059563</v>
      </c>
      <c r="Q14" s="2">
        <v>2.5927613659011053</v>
      </c>
    </row>
    <row r="16" spans="1:22" x14ac:dyDescent="0.25">
      <c r="H16" s="5"/>
      <c r="I16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8EF7-AB09-41F6-9A5A-C4FAC97D5A06}">
  <dimension ref="A1:X77"/>
  <sheetViews>
    <sheetView workbookViewId="0">
      <selection activeCell="Q26" sqref="Q26"/>
    </sheetView>
  </sheetViews>
  <sheetFormatPr defaultRowHeight="15" x14ac:dyDescent="0.25"/>
  <cols>
    <col min="1" max="1" width="41.140625" bestFit="1" customWidth="1"/>
    <col min="2" max="22" width="9.140625" style="61"/>
  </cols>
  <sheetData>
    <row r="1" spans="1:24" x14ac:dyDescent="0.25">
      <c r="A1" s="12" t="s">
        <v>36</v>
      </c>
      <c r="I1" s="74">
        <v>0.03</v>
      </c>
    </row>
    <row r="2" spans="1:24" x14ac:dyDescent="0.25">
      <c r="A2" s="48" t="s">
        <v>28</v>
      </c>
      <c r="B2" s="49">
        <v>2015</v>
      </c>
      <c r="C2" s="49">
        <v>2016</v>
      </c>
      <c r="D2" s="49">
        <v>2017</v>
      </c>
      <c r="E2" s="49">
        <v>2018</v>
      </c>
      <c r="F2" s="49">
        <v>2019</v>
      </c>
      <c r="G2" s="49">
        <v>2020</v>
      </c>
      <c r="H2" s="49">
        <v>2021</v>
      </c>
      <c r="I2" s="49">
        <v>2022</v>
      </c>
      <c r="J2" s="49" t="s">
        <v>11</v>
      </c>
      <c r="K2" s="49" t="s">
        <v>12</v>
      </c>
      <c r="L2" s="49" t="s">
        <v>13</v>
      </c>
      <c r="M2" s="49" t="s">
        <v>14</v>
      </c>
      <c r="N2" s="49" t="s">
        <v>15</v>
      </c>
      <c r="O2" s="49" t="s">
        <v>16</v>
      </c>
      <c r="P2" s="49" t="s">
        <v>17</v>
      </c>
      <c r="Q2" s="49" t="s">
        <v>18</v>
      </c>
      <c r="R2" s="49" t="s">
        <v>19</v>
      </c>
      <c r="S2" s="49" t="s">
        <v>20</v>
      </c>
      <c r="T2" s="49" t="s">
        <v>21</v>
      </c>
      <c r="U2" s="49" t="s">
        <v>22</v>
      </c>
      <c r="V2" s="49" t="s">
        <v>23</v>
      </c>
    </row>
    <row r="3" spans="1:24" x14ac:dyDescent="0.25">
      <c r="A3" s="4" t="s">
        <v>29</v>
      </c>
      <c r="B3" s="50">
        <v>0</v>
      </c>
      <c r="C3" s="50">
        <v>0</v>
      </c>
      <c r="D3" s="50">
        <v>0</v>
      </c>
      <c r="E3" s="50">
        <v>0</v>
      </c>
      <c r="F3" s="50">
        <v>0</v>
      </c>
      <c r="G3" s="50">
        <v>0</v>
      </c>
      <c r="H3" s="50">
        <v>0</v>
      </c>
      <c r="I3" s="11">
        <v>0.55559999999999987</v>
      </c>
      <c r="J3" s="11">
        <v>0.53180000000000005</v>
      </c>
      <c r="K3" s="11">
        <v>0.65710000000000002</v>
      </c>
      <c r="L3" s="11">
        <v>0.66449999999999998</v>
      </c>
      <c r="M3" s="11">
        <v>0.64119999999999999</v>
      </c>
      <c r="N3" s="11">
        <v>0.63019999999999998</v>
      </c>
      <c r="O3" s="11">
        <v>0.62</v>
      </c>
      <c r="P3" s="11">
        <v>0.60440000000000005</v>
      </c>
      <c r="Q3" s="11">
        <v>0.58220000000000005</v>
      </c>
      <c r="R3" s="11">
        <v>0.57320000000000004</v>
      </c>
      <c r="S3" s="11">
        <v>0.57299999999999995</v>
      </c>
      <c r="T3" s="11">
        <v>0.57269999999999999</v>
      </c>
      <c r="U3" s="11">
        <v>0.57250000000000001</v>
      </c>
      <c r="V3" s="11">
        <v>0.57199999999999995</v>
      </c>
      <c r="X3" s="4" t="s">
        <v>29</v>
      </c>
    </row>
    <row r="4" spans="1:24" x14ac:dyDescent="0.25">
      <c r="A4" s="4" t="s">
        <v>30</v>
      </c>
      <c r="B4" s="50">
        <v>0</v>
      </c>
      <c r="C4" s="50">
        <v>0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0.11070000000000001</v>
      </c>
      <c r="N4" s="50">
        <v>0.1285</v>
      </c>
      <c r="O4" s="50">
        <v>0.13339999999999999</v>
      </c>
      <c r="P4" s="50">
        <v>0.15840000000000001</v>
      </c>
      <c r="Q4" s="50">
        <v>0.16819999999999999</v>
      </c>
      <c r="R4" s="50">
        <v>0.17399999999999999</v>
      </c>
      <c r="S4" s="50">
        <v>0.17219999999999999</v>
      </c>
      <c r="T4" s="50">
        <v>0.17</v>
      </c>
      <c r="U4" s="50">
        <v>0.1656</v>
      </c>
      <c r="V4" s="50">
        <v>0.16500000000000001</v>
      </c>
      <c r="X4" s="4" t="s">
        <v>30</v>
      </c>
    </row>
    <row r="5" spans="1:24" x14ac:dyDescent="0.25">
      <c r="A5" s="4" t="s">
        <v>31</v>
      </c>
      <c r="B5" s="11">
        <v>0.42559999999999998</v>
      </c>
      <c r="C5" s="18">
        <v>0.42449999999999999</v>
      </c>
      <c r="D5" s="18">
        <v>0.42620000000000002</v>
      </c>
      <c r="E5" s="18">
        <v>0.42230000000000001</v>
      </c>
      <c r="F5" s="18">
        <v>0.42</v>
      </c>
      <c r="G5" s="11">
        <v>0.41639999999999999</v>
      </c>
      <c r="H5" s="11">
        <v>0.41560000000000002</v>
      </c>
      <c r="I5" s="11">
        <v>0.1575</v>
      </c>
      <c r="J5" s="11">
        <v>0.15820000000000001</v>
      </c>
      <c r="K5" s="11">
        <v>0.15870000000000001</v>
      </c>
      <c r="L5" s="11">
        <v>0.159</v>
      </c>
      <c r="M5" s="11">
        <v>0.13800000000000001</v>
      </c>
      <c r="N5" s="11">
        <v>0.13749760890306564</v>
      </c>
      <c r="O5" s="11">
        <v>0.13699681525432295</v>
      </c>
      <c r="P5" s="11">
        <v>0.13649761397438101</v>
      </c>
      <c r="Q5" s="11">
        <v>0.13600000000000004</v>
      </c>
      <c r="R5" s="11">
        <v>0.13523248476271454</v>
      </c>
      <c r="S5" s="11">
        <v>0.13446874567696407</v>
      </c>
      <c r="T5" s="11">
        <v>0.13370876416419838</v>
      </c>
      <c r="U5" s="11">
        <v>0.13295252173727309</v>
      </c>
      <c r="V5" s="11">
        <v>0.13220000000000004</v>
      </c>
      <c r="X5" s="4" t="s">
        <v>31</v>
      </c>
    </row>
    <row r="6" spans="1:24" x14ac:dyDescent="0.25">
      <c r="A6" s="4" t="s">
        <v>32</v>
      </c>
      <c r="B6" s="11">
        <v>0.18729999999999999</v>
      </c>
      <c r="C6" s="18">
        <v>0.18859999999999999</v>
      </c>
      <c r="D6" s="18">
        <v>0.185</v>
      </c>
      <c r="E6" s="18">
        <v>0.18609999999999999</v>
      </c>
      <c r="F6" s="18">
        <v>0.18210000000000001</v>
      </c>
      <c r="G6" s="11">
        <v>0.18099999999999999</v>
      </c>
      <c r="H6" s="11">
        <v>0.1822</v>
      </c>
      <c r="I6" s="11">
        <v>8.8700000000000001E-2</v>
      </c>
      <c r="J6" s="11">
        <v>8.8400000000000006E-2</v>
      </c>
      <c r="K6" s="11">
        <v>8.7499999999999994E-2</v>
      </c>
      <c r="L6" s="11">
        <v>8.6199999999999999E-2</v>
      </c>
      <c r="M6" s="11">
        <v>5.1200000000000016E-2</v>
      </c>
      <c r="N6" s="11">
        <v>5.0798760850702444E-2</v>
      </c>
      <c r="O6" s="11">
        <v>5.040066609310271E-2</v>
      </c>
      <c r="P6" s="11">
        <v>5.0005691085539684E-2</v>
      </c>
      <c r="Q6" s="11">
        <v>4.9613811379461581E-2</v>
      </c>
      <c r="R6" s="11">
        <v>4.922500271791265E-2</v>
      </c>
      <c r="S6" s="11">
        <v>4.8839241034031679E-2</v>
      </c>
      <c r="T6" s="11">
        <v>4.8456502449562275E-2</v>
      </c>
      <c r="U6" s="11">
        <v>4.8076763273374817E-2</v>
      </c>
      <c r="V6" s="11">
        <v>4.770000000000002E-2</v>
      </c>
      <c r="X6" s="4" t="s">
        <v>32</v>
      </c>
    </row>
    <row r="7" spans="1:24" x14ac:dyDescent="0.25">
      <c r="A7" s="4" t="s">
        <v>33</v>
      </c>
      <c r="B7" s="50">
        <v>5.04E-2</v>
      </c>
      <c r="C7" s="70">
        <v>5.3400000000000003E-2</v>
      </c>
      <c r="D7" s="70">
        <v>5.3999999999999999E-2</v>
      </c>
      <c r="E7" s="70">
        <v>5.2200000000000003E-2</v>
      </c>
      <c r="F7" s="70">
        <v>5.0599999999999999E-2</v>
      </c>
      <c r="G7" s="50">
        <v>4.8399999999999999E-2</v>
      </c>
      <c r="H7" s="50">
        <v>4.5999999999999999E-2</v>
      </c>
      <c r="I7" s="50">
        <v>4.7100000000000003E-2</v>
      </c>
      <c r="J7" s="50">
        <v>4.6699999999999998E-2</v>
      </c>
      <c r="K7" s="50">
        <v>4.639999999999999E-2</v>
      </c>
      <c r="L7" s="50">
        <v>4.6025872354839896E-2</v>
      </c>
      <c r="M7" s="50">
        <v>4.3999999999999997E-2</v>
      </c>
      <c r="N7" s="50">
        <v>4.3499999999999997E-2</v>
      </c>
      <c r="O7" s="50">
        <v>4.2700000000000002E-2</v>
      </c>
      <c r="P7" s="50">
        <v>4.1599999999999998E-2</v>
      </c>
      <c r="Q7" s="50">
        <v>4.1000000000000002E-2</v>
      </c>
      <c r="R7" s="50">
        <v>0.04</v>
      </c>
      <c r="S7" s="50">
        <v>3.9199999999999999E-2</v>
      </c>
      <c r="T7" s="50">
        <v>3.8100000000000002E-2</v>
      </c>
      <c r="U7" s="50">
        <v>3.6499999999999998E-2</v>
      </c>
      <c r="V7" s="50">
        <v>3.5499999999999997E-2</v>
      </c>
      <c r="X7" s="4" t="s">
        <v>33</v>
      </c>
    </row>
    <row r="8" spans="1:24" x14ac:dyDescent="0.25">
      <c r="A8" s="51" t="s">
        <v>34</v>
      </c>
      <c r="B8" s="52">
        <f>1-SUM(B3:B7)</f>
        <v>0.3367</v>
      </c>
      <c r="C8" s="52">
        <f t="shared" ref="C8:H8" si="0">1-SUM(C3:C7)</f>
        <v>0.33350000000000002</v>
      </c>
      <c r="D8" s="52">
        <f t="shared" si="0"/>
        <v>0.33479999999999999</v>
      </c>
      <c r="E8" s="52">
        <f t="shared" si="0"/>
        <v>0.33939999999999992</v>
      </c>
      <c r="F8" s="52">
        <f t="shared" si="0"/>
        <v>0.34730000000000005</v>
      </c>
      <c r="G8" s="52">
        <f t="shared" si="0"/>
        <v>0.35420000000000007</v>
      </c>
      <c r="H8" s="52">
        <f t="shared" si="0"/>
        <v>0.35619999999999996</v>
      </c>
      <c r="I8" s="52">
        <f>1-SUM(I3:I7)</f>
        <v>0.15110000000000012</v>
      </c>
      <c r="J8" s="52">
        <f t="shared" ref="J8:V8" si="1">1-SUM(J3:J7)</f>
        <v>0.17489999999999994</v>
      </c>
      <c r="K8" s="52">
        <f t="shared" si="1"/>
        <v>5.02999999999999E-2</v>
      </c>
      <c r="L8" s="52">
        <f t="shared" si="1"/>
        <v>4.4274127645160144E-2</v>
      </c>
      <c r="M8" s="52">
        <f t="shared" si="1"/>
        <v>1.4899999999999913E-2</v>
      </c>
      <c r="N8" s="52">
        <f t="shared" si="1"/>
        <v>9.5036302462320199E-3</v>
      </c>
      <c r="O8" s="52">
        <f t="shared" si="1"/>
        <v>1.650251865257446E-2</v>
      </c>
      <c r="P8" s="52">
        <f t="shared" si="1"/>
        <v>9.096694940079364E-3</v>
      </c>
      <c r="Q8" s="52">
        <f t="shared" si="1"/>
        <v>2.2986188620538361E-2</v>
      </c>
      <c r="R8" s="52">
        <f t="shared" si="1"/>
        <v>2.8342512519372698E-2</v>
      </c>
      <c r="S8" s="52">
        <f t="shared" si="1"/>
        <v>3.2292013289004218E-2</v>
      </c>
      <c r="T8" s="52">
        <f t="shared" si="1"/>
        <v>3.7034733386239305E-2</v>
      </c>
      <c r="U8" s="52">
        <f t="shared" si="1"/>
        <v>4.4370714989352078E-2</v>
      </c>
      <c r="V8" s="52">
        <f t="shared" si="1"/>
        <v>4.7599999999999976E-2</v>
      </c>
      <c r="X8" s="51" t="s">
        <v>34</v>
      </c>
    </row>
    <row r="9" spans="1:24" x14ac:dyDescent="0.25">
      <c r="A9" s="53" t="s">
        <v>35</v>
      </c>
      <c r="B9" s="54">
        <v>1</v>
      </c>
      <c r="C9" s="54">
        <v>1</v>
      </c>
      <c r="D9" s="54">
        <v>1</v>
      </c>
      <c r="E9" s="54">
        <v>1</v>
      </c>
      <c r="F9" s="54">
        <v>1</v>
      </c>
      <c r="G9" s="54">
        <v>1</v>
      </c>
      <c r="H9" s="54">
        <v>1</v>
      </c>
      <c r="I9" s="54">
        <v>1</v>
      </c>
      <c r="J9" s="54">
        <v>1</v>
      </c>
      <c r="K9" s="54">
        <v>1</v>
      </c>
      <c r="L9" s="54">
        <v>1</v>
      </c>
      <c r="M9" s="54">
        <v>1</v>
      </c>
      <c r="N9" s="54">
        <v>1</v>
      </c>
      <c r="O9" s="54">
        <v>1</v>
      </c>
      <c r="P9" s="54">
        <v>1</v>
      </c>
      <c r="Q9" s="54">
        <v>1</v>
      </c>
      <c r="R9" s="54">
        <v>1</v>
      </c>
      <c r="S9" s="54">
        <v>1</v>
      </c>
      <c r="T9" s="54">
        <v>1</v>
      </c>
      <c r="U9" s="54">
        <v>1</v>
      </c>
      <c r="V9" s="54">
        <v>1</v>
      </c>
    </row>
    <row r="10" spans="1:24" x14ac:dyDescent="0.25">
      <c r="K10" s="74"/>
    </row>
    <row r="12" spans="1:24" x14ac:dyDescent="0.25">
      <c r="A12" s="48" t="s">
        <v>37</v>
      </c>
      <c r="B12" s="49">
        <v>2015</v>
      </c>
      <c r="C12" s="49">
        <v>2016</v>
      </c>
      <c r="D12" s="49">
        <v>2017</v>
      </c>
      <c r="E12" s="49">
        <v>2018</v>
      </c>
      <c r="F12" s="49">
        <v>2019</v>
      </c>
      <c r="G12" s="49">
        <v>2020</v>
      </c>
      <c r="H12" s="49">
        <v>2021</v>
      </c>
      <c r="I12" s="49">
        <v>2022</v>
      </c>
      <c r="J12" s="49" t="s">
        <v>11</v>
      </c>
      <c r="K12" s="49" t="s">
        <v>12</v>
      </c>
      <c r="L12" s="49" t="s">
        <v>13</v>
      </c>
      <c r="M12" s="49" t="s">
        <v>14</v>
      </c>
      <c r="N12" s="49" t="s">
        <v>15</v>
      </c>
      <c r="O12" s="49" t="s">
        <v>16</v>
      </c>
      <c r="P12" s="49" t="s">
        <v>17</v>
      </c>
      <c r="Q12" s="49" t="s">
        <v>18</v>
      </c>
      <c r="R12" s="49" t="s">
        <v>19</v>
      </c>
      <c r="S12" s="49" t="s">
        <v>20</v>
      </c>
      <c r="T12" s="49" t="s">
        <v>21</v>
      </c>
      <c r="U12" s="49" t="s">
        <v>22</v>
      </c>
      <c r="V12" s="49" t="s">
        <v>23</v>
      </c>
      <c r="X12">
        <f>104/160</f>
        <v>0.65</v>
      </c>
    </row>
    <row r="13" spans="1:24" x14ac:dyDescent="0.25">
      <c r="A13" s="4" t="str">
        <f>A3</f>
        <v>Acrylate Ester</v>
      </c>
      <c r="B13" s="10">
        <f>ROUND(B3*'Demand Supply Gap'!B$7,2)</f>
        <v>0</v>
      </c>
      <c r="C13" s="10">
        <f>ROUND(C3*'Demand Supply Gap'!C$7,2)</f>
        <v>0</v>
      </c>
      <c r="D13" s="10">
        <f>ROUND(D3*'Demand Supply Gap'!D$7,2)</f>
        <v>0</v>
      </c>
      <c r="E13" s="10">
        <f>ROUND(E3*'Demand Supply Gap'!E$7,2)</f>
        <v>0</v>
      </c>
      <c r="F13" s="10">
        <f>ROUND(F3*'Demand Supply Gap'!F$7,2)</f>
        <v>0</v>
      </c>
      <c r="G13" s="10">
        <f>ROUND(G3*'Demand Supply Gap'!G$7,2)</f>
        <v>0</v>
      </c>
      <c r="H13" s="10">
        <f>ROUND(H3*'Demand Supply Gap'!H$7,2)</f>
        <v>0</v>
      </c>
      <c r="I13" s="10">
        <f>ROUND(I3*'Demand Supply Gap'!I$7,2)</f>
        <v>103.14</v>
      </c>
      <c r="J13" s="10">
        <f>ROUND(J3*'Demand Supply Gap'!J$7,2)</f>
        <v>100.63</v>
      </c>
      <c r="K13" s="10">
        <f>ROUND(K3*'Demand Supply Gap'!K$7,2)</f>
        <v>130.87</v>
      </c>
      <c r="L13" s="10">
        <f>ROUND(L3*'Demand Supply Gap'!L$7,2)</f>
        <v>139.44999999999999</v>
      </c>
      <c r="M13" s="10">
        <f>ROUND(M3*'Demand Supply Gap'!M$7,2)</f>
        <v>141.9</v>
      </c>
      <c r="N13" s="10">
        <f>ROUND(N3*'Demand Supply Gap'!N$7,2)</f>
        <v>147.22999999999999</v>
      </c>
      <c r="O13" s="10">
        <f>ROUND(O3*'Demand Supply Gap'!O$7,2)</f>
        <v>153.02000000000001</v>
      </c>
      <c r="P13" s="10">
        <f>ROUND(P3*'Demand Supply Gap'!P$7,2)</f>
        <v>157.66999999999999</v>
      </c>
      <c r="Q13" s="10">
        <f>ROUND(Q3*'Demand Supply Gap'!Q$7,2)</f>
        <v>160.63999999999999</v>
      </c>
      <c r="R13" s="10">
        <f>ROUND(R3*'Demand Supply Gap'!R$7,2)</f>
        <v>167.41</v>
      </c>
      <c r="S13" s="10">
        <f>ROUND(S3*'Demand Supply Gap'!S$7,2)</f>
        <v>177.24</v>
      </c>
      <c r="T13" s="10">
        <f>ROUND(T3*'Demand Supply Gap'!T$7,2)</f>
        <v>187.96</v>
      </c>
      <c r="U13" s="10">
        <f>ROUND(U3*'Demand Supply Gap'!U$7,2)</f>
        <v>199.49</v>
      </c>
      <c r="V13" s="10">
        <f>ROUND(V3*'Demand Supply Gap'!V$7,2)</f>
        <v>211.77</v>
      </c>
      <c r="X13">
        <f>90/150</f>
        <v>0.6</v>
      </c>
    </row>
    <row r="14" spans="1:24" x14ac:dyDescent="0.25">
      <c r="A14" s="4" t="str">
        <f t="shared" ref="A14:A18" si="2">A4</f>
        <v>Super Absorbent Polymer</v>
      </c>
      <c r="B14" s="10">
        <f>ROUND(B4*'Demand Supply Gap'!B$7,2)</f>
        <v>0</v>
      </c>
      <c r="C14" s="10">
        <f>ROUND(C4*'Demand Supply Gap'!C$7,2)</f>
        <v>0</v>
      </c>
      <c r="D14" s="10">
        <f>ROUND(D4*'Demand Supply Gap'!D$7,2)</f>
        <v>0</v>
      </c>
      <c r="E14" s="10">
        <f>ROUND(E4*'Demand Supply Gap'!E$7,2)</f>
        <v>0</v>
      </c>
      <c r="F14" s="10">
        <f>ROUND(F4*'Demand Supply Gap'!F$7,2)</f>
        <v>0</v>
      </c>
      <c r="G14" s="10">
        <f>ROUND(G4*'Demand Supply Gap'!G$7,2)</f>
        <v>0</v>
      </c>
      <c r="H14" s="10">
        <f>ROUND(H4*'Demand Supply Gap'!H$7,2)</f>
        <v>0</v>
      </c>
      <c r="I14" s="10">
        <f>ROUND(I4*'Demand Supply Gap'!I$7,2)</f>
        <v>0</v>
      </c>
      <c r="J14" s="10">
        <f>ROUND(J4*'Demand Supply Gap'!J$7,2)</f>
        <v>0</v>
      </c>
      <c r="K14" s="10">
        <f>ROUND(K4*'Demand Supply Gap'!K$7,2)</f>
        <v>0</v>
      </c>
      <c r="L14" s="10">
        <f>ROUND(L4*'Demand Supply Gap'!L$7,2)</f>
        <v>0</v>
      </c>
      <c r="M14" s="10">
        <f>ROUND(M4*'Demand Supply Gap'!M$7,2)</f>
        <v>24.5</v>
      </c>
      <c r="N14" s="10">
        <f>ROUND(N4*'Demand Supply Gap'!N$7,2)</f>
        <v>30.02</v>
      </c>
      <c r="O14" s="10">
        <f>ROUND(O4*'Demand Supply Gap'!O$7,2)</f>
        <v>32.92</v>
      </c>
      <c r="P14" s="10">
        <f>ROUND(P4*'Demand Supply Gap'!P$7,2)</f>
        <v>41.32</v>
      </c>
      <c r="Q14" s="10">
        <f>ROUND(Q4*'Demand Supply Gap'!Q$7,2)</f>
        <v>46.41</v>
      </c>
      <c r="R14" s="10">
        <f>ROUND(R4*'Demand Supply Gap'!R$7,2)</f>
        <v>50.82</v>
      </c>
      <c r="S14" s="10">
        <f>ROUND(S4*'Demand Supply Gap'!S$7,2)</f>
        <v>53.27</v>
      </c>
      <c r="T14" s="10">
        <f>ROUND(T4*'Demand Supply Gap'!T$7,2)</f>
        <v>55.79</v>
      </c>
      <c r="U14" s="10">
        <f>ROUND(U4*'Demand Supply Gap'!U$7,2)</f>
        <v>57.7</v>
      </c>
      <c r="V14" s="10">
        <f>ROUND(V4*'Demand Supply Gap'!V$7,2)</f>
        <v>61.09</v>
      </c>
      <c r="X14">
        <f>90*0.65</f>
        <v>58.5</v>
      </c>
    </row>
    <row r="15" spans="1:24" x14ac:dyDescent="0.25">
      <c r="A15" s="4" t="str">
        <f t="shared" si="2"/>
        <v>Water Treatment</v>
      </c>
      <c r="B15" s="10">
        <f>ROUND(B5*'Demand Supply Gap'!B$7,2)</f>
        <v>2.9</v>
      </c>
      <c r="C15" s="10">
        <f>ROUND(C5*'Demand Supply Gap'!C$7,2)</f>
        <v>3.06</v>
      </c>
      <c r="D15" s="10">
        <f>ROUND(D5*'Demand Supply Gap'!D$7,2)</f>
        <v>2.75</v>
      </c>
      <c r="E15" s="10">
        <f>ROUND(E5*'Demand Supply Gap'!E$7,2)</f>
        <v>4.09</v>
      </c>
      <c r="F15" s="10">
        <f>ROUND(F5*'Demand Supply Gap'!F$7,2)</f>
        <v>8.5500000000000007</v>
      </c>
      <c r="G15" s="10">
        <f>ROUND(G5*'Demand Supply Gap'!G$7,2)</f>
        <v>13.96</v>
      </c>
      <c r="H15" s="10">
        <f>ROUND(H5*'Demand Supply Gap'!H$7,2)</f>
        <v>17.89</v>
      </c>
      <c r="I15" s="10">
        <f>ROUND(I5*'Demand Supply Gap'!I$7,2)</f>
        <v>29.24</v>
      </c>
      <c r="J15" s="10">
        <f>ROUND(J5*'Demand Supply Gap'!J$7,2)</f>
        <v>29.94</v>
      </c>
      <c r="K15" s="10">
        <f>ROUND(K5*'Demand Supply Gap'!K$7,2)</f>
        <v>31.61</v>
      </c>
      <c r="L15" s="10">
        <f>ROUND(L5*'Demand Supply Gap'!L$7,2)</f>
        <v>33.369999999999997</v>
      </c>
      <c r="M15" s="10">
        <f>ROUND(M5*'Demand Supply Gap'!M$7,2)</f>
        <v>30.54</v>
      </c>
      <c r="N15" s="10">
        <f>ROUND(N5*'Demand Supply Gap'!N$7,2)</f>
        <v>32.119999999999997</v>
      </c>
      <c r="O15" s="10">
        <f>ROUND(O5*'Demand Supply Gap'!O$7,2)</f>
        <v>33.81</v>
      </c>
      <c r="P15" s="10">
        <f>ROUND(P5*'Demand Supply Gap'!P$7,2)</f>
        <v>35.61</v>
      </c>
      <c r="Q15" s="10">
        <f>ROUND(Q5*'Demand Supply Gap'!Q$7,2)</f>
        <v>37.53</v>
      </c>
      <c r="R15" s="10">
        <f>ROUND(R5*'Demand Supply Gap'!R$7,2)</f>
        <v>39.5</v>
      </c>
      <c r="S15" s="10">
        <f>ROUND(S5*'Demand Supply Gap'!S$7,2)</f>
        <v>41.59</v>
      </c>
      <c r="T15" s="10">
        <f>ROUND(T5*'Demand Supply Gap'!T$7,2)</f>
        <v>43.88</v>
      </c>
      <c r="U15" s="10">
        <f>ROUND(U5*'Demand Supply Gap'!U$7,2)</f>
        <v>46.33</v>
      </c>
      <c r="V15" s="10">
        <f>ROUND(V5*'Demand Supply Gap'!V$7,2)</f>
        <v>48.94</v>
      </c>
      <c r="X15">
        <f>X14+104</f>
        <v>162.5</v>
      </c>
    </row>
    <row r="16" spans="1:24" x14ac:dyDescent="0.25">
      <c r="A16" s="4" t="str">
        <f t="shared" si="2"/>
        <v>Detergent</v>
      </c>
      <c r="B16" s="10">
        <f>ROUND(B6*'Demand Supply Gap'!B$7,2)</f>
        <v>1.28</v>
      </c>
      <c r="C16" s="10">
        <f>ROUND(C6*'Demand Supply Gap'!C$7,2)</f>
        <v>1.36</v>
      </c>
      <c r="D16" s="10">
        <f>ROUND(D6*'Demand Supply Gap'!D$7,2)</f>
        <v>1.19</v>
      </c>
      <c r="E16" s="10">
        <f>ROUND(E6*'Demand Supply Gap'!E$7,2)</f>
        <v>1.8</v>
      </c>
      <c r="F16" s="10">
        <f>ROUND(F6*'Demand Supply Gap'!F$7,2)</f>
        <v>3.71</v>
      </c>
      <c r="G16" s="10">
        <f>ROUND(G6*'Demand Supply Gap'!G$7,2)</f>
        <v>6.07</v>
      </c>
      <c r="H16" s="10">
        <f>ROUND(H6*'Demand Supply Gap'!H$7,2)</f>
        <v>7.84</v>
      </c>
      <c r="I16" s="10">
        <f>ROUND(I6*'Demand Supply Gap'!I$7,2)</f>
        <v>16.47</v>
      </c>
      <c r="J16" s="10">
        <f>ROUND(J6*'Demand Supply Gap'!J$7,2)</f>
        <v>16.73</v>
      </c>
      <c r="K16" s="10">
        <f>ROUND(K6*'Demand Supply Gap'!K$7,2)</f>
        <v>17.43</v>
      </c>
      <c r="L16" s="10">
        <f>ROUND(L6*'Demand Supply Gap'!L$7,2)</f>
        <v>18.09</v>
      </c>
      <c r="M16" s="10">
        <f>ROUND(M6*'Demand Supply Gap'!M$7,2)</f>
        <v>11.33</v>
      </c>
      <c r="N16" s="10">
        <f>ROUND(N6*'Demand Supply Gap'!N$7,2)</f>
        <v>11.87</v>
      </c>
      <c r="O16" s="10">
        <f>ROUND(O6*'Demand Supply Gap'!O$7,2)</f>
        <v>12.44</v>
      </c>
      <c r="P16" s="10">
        <f>ROUND(P6*'Demand Supply Gap'!P$7,2)</f>
        <v>13.05</v>
      </c>
      <c r="Q16" s="10">
        <f>ROUND(Q6*'Demand Supply Gap'!Q$7,2)</f>
        <v>13.69</v>
      </c>
      <c r="R16" s="10">
        <f>ROUND(R6*'Demand Supply Gap'!R$7,2)</f>
        <v>14.38</v>
      </c>
      <c r="S16" s="10">
        <f>ROUND(S6*'Demand Supply Gap'!S$7,2)</f>
        <v>15.11</v>
      </c>
      <c r="T16" s="10">
        <f>ROUND(T6*'Demand Supply Gap'!T$7,2)</f>
        <v>15.9</v>
      </c>
      <c r="U16" s="10">
        <f>ROUND(U6*'Demand Supply Gap'!U$7,2)</f>
        <v>16.75</v>
      </c>
      <c r="V16" s="10">
        <f>ROUND(V6*'Demand Supply Gap'!V$7,2)</f>
        <v>17.66</v>
      </c>
    </row>
    <row r="17" spans="1:22" x14ac:dyDescent="0.25">
      <c r="A17" s="4" t="str">
        <f t="shared" si="2"/>
        <v>Paper</v>
      </c>
      <c r="B17" s="10">
        <f>ROUND(B7*'Demand Supply Gap'!B$7,2)</f>
        <v>0.34</v>
      </c>
      <c r="C17" s="10">
        <f>ROUND(C7*'Demand Supply Gap'!C$7,2)</f>
        <v>0.39</v>
      </c>
      <c r="D17" s="10">
        <f>ROUND(D7*'Demand Supply Gap'!D$7,2)</f>
        <v>0.35</v>
      </c>
      <c r="E17" s="10">
        <f>ROUND(E7*'Demand Supply Gap'!E$7,2)</f>
        <v>0.51</v>
      </c>
      <c r="F17" s="10">
        <f>ROUND(F7*'Demand Supply Gap'!F$7,2)</f>
        <v>1.03</v>
      </c>
      <c r="G17" s="10">
        <f>ROUND(G7*'Demand Supply Gap'!G$7,2)</f>
        <v>1.62</v>
      </c>
      <c r="H17" s="10">
        <f>ROUND(H7*'Demand Supply Gap'!H$7,2)</f>
        <v>1.98</v>
      </c>
      <c r="I17" s="10">
        <f>ROUND(I7*'Demand Supply Gap'!I$7,2)</f>
        <v>8.74</v>
      </c>
      <c r="J17" s="10">
        <f>ROUND(J7*'Demand Supply Gap'!J$7,2)</f>
        <v>8.84</v>
      </c>
      <c r="K17" s="10">
        <f>ROUND(K7*'Demand Supply Gap'!K$7,2)</f>
        <v>9.24</v>
      </c>
      <c r="L17" s="10">
        <f>ROUND(L7*'Demand Supply Gap'!L$7,2)</f>
        <v>9.66</v>
      </c>
      <c r="M17" s="10">
        <f>ROUND(M7*'Demand Supply Gap'!M$7,2)</f>
        <v>9.74</v>
      </c>
      <c r="N17" s="10">
        <f>ROUND(N7*'Demand Supply Gap'!N$7,2)</f>
        <v>10.16</v>
      </c>
      <c r="O17" s="10">
        <f>ROUND(O7*'Demand Supply Gap'!O$7,2)</f>
        <v>10.54</v>
      </c>
      <c r="P17" s="10">
        <f>ROUND(P7*'Demand Supply Gap'!P$7,2)</f>
        <v>10.85</v>
      </c>
      <c r="Q17" s="10">
        <f>ROUND(Q7*'Demand Supply Gap'!Q$7,2)</f>
        <v>11.31</v>
      </c>
      <c r="R17" s="10">
        <f>ROUND(R7*'Demand Supply Gap'!R$7,2)</f>
        <v>11.68</v>
      </c>
      <c r="S17" s="10">
        <f>ROUND(S7*'Demand Supply Gap'!S$7,2)</f>
        <v>12.13</v>
      </c>
      <c r="T17" s="10">
        <f>ROUND(T7*'Demand Supply Gap'!T$7,2)</f>
        <v>12.5</v>
      </c>
      <c r="U17" s="10">
        <f>ROUND(U7*'Demand Supply Gap'!U$7,2)</f>
        <v>12.72</v>
      </c>
      <c r="V17" s="10">
        <f>ROUND(V7*'Demand Supply Gap'!V$7,2)</f>
        <v>13.14</v>
      </c>
    </row>
    <row r="18" spans="1:22" x14ac:dyDescent="0.25">
      <c r="A18" s="4" t="str">
        <f t="shared" si="2"/>
        <v>Others</v>
      </c>
      <c r="B18" s="10">
        <f>ROUND(B8*'Demand Supply Gap'!B$7,2)</f>
        <v>2.29</v>
      </c>
      <c r="C18" s="10">
        <f>ROUND(C8*'Demand Supply Gap'!C$7,2)</f>
        <v>2.41</v>
      </c>
      <c r="D18" s="10">
        <f>ROUND(D8*'Demand Supply Gap'!D$7,2)</f>
        <v>2.16</v>
      </c>
      <c r="E18" s="10">
        <f>ROUND(E8*'Demand Supply Gap'!E$7,2)</f>
        <v>3.29</v>
      </c>
      <c r="F18" s="10">
        <f>ROUND(F8*'Demand Supply Gap'!F$7,2)</f>
        <v>7.07</v>
      </c>
      <c r="G18" s="10">
        <f>ROUND(G8*'Demand Supply Gap'!G$7,2)</f>
        <v>11.88</v>
      </c>
      <c r="H18" s="10">
        <f>ROUND(H8*'Demand Supply Gap'!H$7,2)</f>
        <v>15.34</v>
      </c>
      <c r="I18" s="10">
        <f>ROUND(I8*'Demand Supply Gap'!I$7,2)</f>
        <v>28.05</v>
      </c>
      <c r="J18" s="10">
        <f>ROUND(J8*'Demand Supply Gap'!J$7,2)</f>
        <v>33.1</v>
      </c>
      <c r="K18" s="10">
        <f>ROUND(K8*'Demand Supply Gap'!K$7,2)</f>
        <v>10.02</v>
      </c>
      <c r="L18" s="10">
        <f>ROUND(L8*'Demand Supply Gap'!L$7,2)</f>
        <v>9.2899999999999991</v>
      </c>
      <c r="M18" s="64">
        <f>ROUND(M8*'Demand Supply Gap'!M$7,2)</f>
        <v>3.3</v>
      </c>
      <c r="N18" s="64">
        <f>ROUND(N8*'Demand Supply Gap'!N$7,2)</f>
        <v>2.2200000000000002</v>
      </c>
      <c r="O18" s="64">
        <f>ROUND(O8*'Demand Supply Gap'!O$7,2)</f>
        <v>4.07</v>
      </c>
      <c r="P18" s="64">
        <f>ROUND(P8*'Demand Supply Gap'!P$7,2)</f>
        <v>2.37</v>
      </c>
      <c r="Q18" s="64">
        <f>ROUND(Q8*'Demand Supply Gap'!Q$7,2)</f>
        <v>6.34</v>
      </c>
      <c r="R18" s="10">
        <f>ROUND(R8*'Demand Supply Gap'!R$7,2)</f>
        <v>8.2799999999999994</v>
      </c>
      <c r="S18" s="10">
        <f>ROUND(S8*'Demand Supply Gap'!S$7,2)</f>
        <v>9.99</v>
      </c>
      <c r="T18" s="10">
        <f>ROUND(T8*'Demand Supply Gap'!T$7,2)</f>
        <v>12.15</v>
      </c>
      <c r="U18" s="10">
        <f>ROUND(U8*'Demand Supply Gap'!U$7,2)</f>
        <v>15.46</v>
      </c>
      <c r="V18" s="10">
        <f>ROUND(V8*'Demand Supply Gap'!V$7,2)</f>
        <v>17.62</v>
      </c>
    </row>
    <row r="19" spans="1:22" x14ac:dyDescent="0.25">
      <c r="A19" s="55" t="s">
        <v>24</v>
      </c>
      <c r="B19" s="66">
        <f>SUM(B13:B18)</f>
        <v>6.81</v>
      </c>
      <c r="C19" s="66">
        <f t="shared" ref="C19:V19" si="3">SUM(C13:C18)</f>
        <v>7.22</v>
      </c>
      <c r="D19" s="66">
        <f t="shared" si="3"/>
        <v>6.45</v>
      </c>
      <c r="E19" s="66">
        <f t="shared" si="3"/>
        <v>9.69</v>
      </c>
      <c r="F19" s="66">
        <f t="shared" si="3"/>
        <v>20.36</v>
      </c>
      <c r="G19" s="66">
        <f t="shared" si="3"/>
        <v>33.53</v>
      </c>
      <c r="H19" s="66">
        <f t="shared" si="3"/>
        <v>43.05</v>
      </c>
      <c r="I19" s="66">
        <f t="shared" si="3"/>
        <v>185.64000000000001</v>
      </c>
      <c r="J19" s="66">
        <f t="shared" si="3"/>
        <v>189.23999999999998</v>
      </c>
      <c r="K19" s="66">
        <f t="shared" si="3"/>
        <v>199.17000000000004</v>
      </c>
      <c r="L19" s="66">
        <f t="shared" si="3"/>
        <v>209.85999999999999</v>
      </c>
      <c r="M19" s="66">
        <f t="shared" si="3"/>
        <v>221.31000000000003</v>
      </c>
      <c r="N19" s="66">
        <f t="shared" si="3"/>
        <v>233.62</v>
      </c>
      <c r="O19" s="66">
        <f t="shared" si="3"/>
        <v>246.79999999999998</v>
      </c>
      <c r="P19" s="66">
        <f t="shared" si="3"/>
        <v>260.87</v>
      </c>
      <c r="Q19" s="66">
        <f t="shared" si="3"/>
        <v>275.91999999999996</v>
      </c>
      <c r="R19" s="66">
        <f t="shared" si="3"/>
        <v>292.07</v>
      </c>
      <c r="S19" s="66">
        <f t="shared" si="3"/>
        <v>309.33000000000004</v>
      </c>
      <c r="T19" s="66">
        <f t="shared" si="3"/>
        <v>328.17999999999995</v>
      </c>
      <c r="U19" s="66">
        <f t="shared" si="3"/>
        <v>348.45</v>
      </c>
      <c r="V19" s="66">
        <f t="shared" si="3"/>
        <v>370.22</v>
      </c>
    </row>
    <row r="22" spans="1:22" x14ac:dyDescent="0.25">
      <c r="A22" s="48" t="s">
        <v>28</v>
      </c>
      <c r="B22" s="49">
        <v>2015</v>
      </c>
      <c r="C22" s="49">
        <v>2016</v>
      </c>
      <c r="D22" s="49">
        <v>2017</v>
      </c>
      <c r="E22" s="49">
        <v>2018</v>
      </c>
      <c r="F22" s="49">
        <v>2019</v>
      </c>
      <c r="G22" s="49">
        <v>2020</v>
      </c>
      <c r="H22" s="49">
        <v>2021</v>
      </c>
      <c r="I22" s="49" t="s">
        <v>10</v>
      </c>
      <c r="J22" s="49" t="s">
        <v>11</v>
      </c>
      <c r="K22" s="49" t="s">
        <v>12</v>
      </c>
      <c r="L22" s="49" t="s">
        <v>13</v>
      </c>
      <c r="M22" s="49" t="s">
        <v>14</v>
      </c>
      <c r="N22" s="49" t="s">
        <v>15</v>
      </c>
      <c r="O22" s="49" t="s">
        <v>16</v>
      </c>
      <c r="P22" s="49" t="s">
        <v>17</v>
      </c>
      <c r="Q22" s="49" t="s">
        <v>18</v>
      </c>
      <c r="R22" s="49" t="s">
        <v>19</v>
      </c>
      <c r="S22" s="49" t="s">
        <v>20</v>
      </c>
      <c r="T22" s="49" t="s">
        <v>21</v>
      </c>
      <c r="U22" s="49" t="s">
        <v>22</v>
      </c>
      <c r="V22" s="49" t="s">
        <v>23</v>
      </c>
    </row>
    <row r="23" spans="1:22" x14ac:dyDescent="0.25">
      <c r="A23" s="4" t="s">
        <v>29</v>
      </c>
      <c r="B23" s="50">
        <v>0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f t="shared" ref="I23:V23" si="4">I3-1.45%</f>
        <v>0.54109999999999991</v>
      </c>
      <c r="J23" s="50">
        <f t="shared" si="4"/>
        <v>0.51730000000000009</v>
      </c>
      <c r="K23" s="50">
        <f t="shared" si="4"/>
        <v>0.64260000000000006</v>
      </c>
      <c r="L23" s="50">
        <f t="shared" si="4"/>
        <v>0.65</v>
      </c>
      <c r="M23" s="50">
        <f t="shared" si="4"/>
        <v>0.62670000000000003</v>
      </c>
      <c r="N23" s="50">
        <f t="shared" si="4"/>
        <v>0.61570000000000003</v>
      </c>
      <c r="O23" s="50">
        <f t="shared" si="4"/>
        <v>0.60550000000000004</v>
      </c>
      <c r="P23" s="50">
        <f t="shared" si="4"/>
        <v>0.58990000000000009</v>
      </c>
      <c r="Q23" s="50">
        <f t="shared" si="4"/>
        <v>0.56770000000000009</v>
      </c>
      <c r="R23" s="50">
        <f t="shared" si="4"/>
        <v>0.55870000000000009</v>
      </c>
      <c r="S23" s="50">
        <f t="shared" si="4"/>
        <v>0.5585</v>
      </c>
      <c r="T23" s="50">
        <f t="shared" si="4"/>
        <v>0.55820000000000003</v>
      </c>
      <c r="U23" s="50">
        <f t="shared" si="4"/>
        <v>0.55800000000000005</v>
      </c>
      <c r="V23" s="50">
        <f t="shared" si="4"/>
        <v>0.5575</v>
      </c>
    </row>
    <row r="24" spans="1:22" x14ac:dyDescent="0.25">
      <c r="A24" s="4" t="s">
        <v>30</v>
      </c>
      <c r="B24" s="50">
        <v>0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f t="shared" ref="M24:V24" si="5">M4-1.1%</f>
        <v>9.9700000000000011E-2</v>
      </c>
      <c r="N24" s="50">
        <f t="shared" si="5"/>
        <v>0.11750000000000001</v>
      </c>
      <c r="O24" s="50">
        <f t="shared" si="5"/>
        <v>0.12239999999999999</v>
      </c>
      <c r="P24" s="50">
        <f t="shared" si="5"/>
        <v>0.1474</v>
      </c>
      <c r="Q24" s="50">
        <f t="shared" si="5"/>
        <v>0.15719999999999998</v>
      </c>
      <c r="R24" s="50">
        <f t="shared" si="5"/>
        <v>0.16299999999999998</v>
      </c>
      <c r="S24" s="50">
        <f t="shared" si="5"/>
        <v>0.16119999999999998</v>
      </c>
      <c r="T24" s="50">
        <f t="shared" si="5"/>
        <v>0.159</v>
      </c>
      <c r="U24" s="50">
        <f t="shared" si="5"/>
        <v>0.15459999999999999</v>
      </c>
      <c r="V24" s="50">
        <f t="shared" si="5"/>
        <v>0.154</v>
      </c>
    </row>
    <row r="25" spans="1:22" x14ac:dyDescent="0.25">
      <c r="A25" s="4" t="s">
        <v>31</v>
      </c>
      <c r="B25" s="11">
        <f>B5+0.75%</f>
        <v>0.43309999999999998</v>
      </c>
      <c r="C25" s="11">
        <f t="shared" ref="C25:V25" si="6">C5+0.75%</f>
        <v>0.432</v>
      </c>
      <c r="D25" s="11">
        <f t="shared" si="6"/>
        <v>0.43370000000000003</v>
      </c>
      <c r="E25" s="11">
        <f t="shared" si="6"/>
        <v>0.42980000000000002</v>
      </c>
      <c r="F25" s="11">
        <f t="shared" si="6"/>
        <v>0.42749999999999999</v>
      </c>
      <c r="G25" s="11">
        <f t="shared" si="6"/>
        <v>0.4239</v>
      </c>
      <c r="H25" s="11">
        <f t="shared" si="6"/>
        <v>0.42310000000000003</v>
      </c>
      <c r="I25" s="11">
        <f t="shared" si="6"/>
        <v>0.16500000000000001</v>
      </c>
      <c r="J25" s="11">
        <f t="shared" si="6"/>
        <v>0.16570000000000001</v>
      </c>
      <c r="K25" s="11">
        <f t="shared" si="6"/>
        <v>0.16620000000000001</v>
      </c>
      <c r="L25" s="11">
        <f t="shared" si="6"/>
        <v>0.16650000000000001</v>
      </c>
      <c r="M25" s="11">
        <f t="shared" si="6"/>
        <v>0.14550000000000002</v>
      </c>
      <c r="N25" s="11">
        <f t="shared" si="6"/>
        <v>0.14499760890306565</v>
      </c>
      <c r="O25" s="11">
        <f t="shared" si="6"/>
        <v>0.14449681525432295</v>
      </c>
      <c r="P25" s="11">
        <f t="shared" si="6"/>
        <v>0.14399761397438102</v>
      </c>
      <c r="Q25" s="11">
        <f t="shared" si="6"/>
        <v>0.14350000000000004</v>
      </c>
      <c r="R25" s="11">
        <f t="shared" si="6"/>
        <v>0.14273248476271455</v>
      </c>
      <c r="S25" s="11">
        <f t="shared" si="6"/>
        <v>0.14196874567696408</v>
      </c>
      <c r="T25" s="11">
        <f t="shared" si="6"/>
        <v>0.14120876416419839</v>
      </c>
      <c r="U25" s="11">
        <f t="shared" si="6"/>
        <v>0.1404525217372731</v>
      </c>
      <c r="V25" s="11">
        <f t="shared" si="6"/>
        <v>0.13970000000000005</v>
      </c>
    </row>
    <row r="26" spans="1:22" x14ac:dyDescent="0.25">
      <c r="A26" s="4" t="s">
        <v>32</v>
      </c>
      <c r="B26" s="11">
        <f>B6+0.4%</f>
        <v>0.1913</v>
      </c>
      <c r="C26" s="11">
        <f t="shared" ref="C26:V26" si="7">C6+0.4%</f>
        <v>0.19259999999999999</v>
      </c>
      <c r="D26" s="11">
        <f t="shared" si="7"/>
        <v>0.189</v>
      </c>
      <c r="E26" s="11">
        <f t="shared" si="7"/>
        <v>0.19009999999999999</v>
      </c>
      <c r="F26" s="11">
        <f t="shared" si="7"/>
        <v>0.18610000000000002</v>
      </c>
      <c r="G26" s="11">
        <f t="shared" si="7"/>
        <v>0.185</v>
      </c>
      <c r="H26" s="11">
        <f t="shared" si="7"/>
        <v>0.1862</v>
      </c>
      <c r="I26" s="11">
        <f t="shared" si="7"/>
        <v>9.2700000000000005E-2</v>
      </c>
      <c r="J26" s="11">
        <f t="shared" si="7"/>
        <v>9.240000000000001E-2</v>
      </c>
      <c r="K26" s="11">
        <f t="shared" si="7"/>
        <v>9.1499999999999998E-2</v>
      </c>
      <c r="L26" s="11">
        <f t="shared" si="7"/>
        <v>9.0200000000000002E-2</v>
      </c>
      <c r="M26" s="11">
        <f t="shared" si="7"/>
        <v>5.5200000000000013E-2</v>
      </c>
      <c r="N26" s="11">
        <f t="shared" si="7"/>
        <v>5.4798760850702441E-2</v>
      </c>
      <c r="O26" s="11">
        <f t="shared" si="7"/>
        <v>5.4400666093102706E-2</v>
      </c>
      <c r="P26" s="11">
        <f t="shared" si="7"/>
        <v>5.4005691085539681E-2</v>
      </c>
      <c r="Q26" s="11">
        <f t="shared" si="7"/>
        <v>5.3613811379461584E-2</v>
      </c>
      <c r="R26" s="11">
        <f t="shared" si="7"/>
        <v>5.3225002717912653E-2</v>
      </c>
      <c r="S26" s="11">
        <f t="shared" si="7"/>
        <v>5.2839241034031675E-2</v>
      </c>
      <c r="T26" s="11">
        <f t="shared" si="7"/>
        <v>5.2456502449562278E-2</v>
      </c>
      <c r="U26" s="11">
        <f t="shared" si="7"/>
        <v>5.2076763273374821E-2</v>
      </c>
      <c r="V26" s="11">
        <f t="shared" si="7"/>
        <v>5.1700000000000024E-2</v>
      </c>
    </row>
    <row r="27" spans="1:22" x14ac:dyDescent="0.25">
      <c r="A27" s="4" t="s">
        <v>33</v>
      </c>
      <c r="B27" s="50">
        <f>B7+0.25%</f>
        <v>5.2900000000000003E-2</v>
      </c>
      <c r="C27" s="50">
        <f t="shared" ref="C27:V27" si="8">C7+0.25%</f>
        <v>5.5900000000000005E-2</v>
      </c>
      <c r="D27" s="50">
        <f t="shared" si="8"/>
        <v>5.6500000000000002E-2</v>
      </c>
      <c r="E27" s="50">
        <f t="shared" si="8"/>
        <v>5.4700000000000006E-2</v>
      </c>
      <c r="F27" s="50">
        <f t="shared" si="8"/>
        <v>5.3100000000000001E-2</v>
      </c>
      <c r="G27" s="50">
        <f t="shared" si="8"/>
        <v>5.0900000000000001E-2</v>
      </c>
      <c r="H27" s="50">
        <f t="shared" si="8"/>
        <v>4.8500000000000001E-2</v>
      </c>
      <c r="I27" s="50">
        <f t="shared" si="8"/>
        <v>4.9600000000000005E-2</v>
      </c>
      <c r="J27" s="50">
        <f t="shared" si="8"/>
        <v>4.9200000000000001E-2</v>
      </c>
      <c r="K27" s="50">
        <f t="shared" si="8"/>
        <v>4.8899999999999992E-2</v>
      </c>
      <c r="L27" s="50">
        <f t="shared" si="8"/>
        <v>4.8525872354839898E-2</v>
      </c>
      <c r="M27" s="50">
        <f t="shared" si="8"/>
        <v>4.65E-2</v>
      </c>
      <c r="N27" s="50">
        <f t="shared" si="8"/>
        <v>4.5999999999999999E-2</v>
      </c>
      <c r="O27" s="50">
        <f t="shared" si="8"/>
        <v>4.5200000000000004E-2</v>
      </c>
      <c r="P27" s="50">
        <f t="shared" si="8"/>
        <v>4.41E-2</v>
      </c>
      <c r="Q27" s="50">
        <f t="shared" si="8"/>
        <v>4.3500000000000004E-2</v>
      </c>
      <c r="R27" s="50">
        <f t="shared" si="8"/>
        <v>4.2500000000000003E-2</v>
      </c>
      <c r="S27" s="50">
        <f t="shared" si="8"/>
        <v>4.1700000000000001E-2</v>
      </c>
      <c r="T27" s="50">
        <f t="shared" si="8"/>
        <v>4.0600000000000004E-2</v>
      </c>
      <c r="U27" s="50">
        <f t="shared" si="8"/>
        <v>3.9E-2</v>
      </c>
      <c r="V27" s="50">
        <f t="shared" si="8"/>
        <v>3.7999999999999999E-2</v>
      </c>
    </row>
    <row r="28" spans="1:22" x14ac:dyDescent="0.25">
      <c r="A28" s="51" t="s">
        <v>34</v>
      </c>
      <c r="B28" s="52">
        <f>B29-SUM(B23:B27)</f>
        <v>0.32269999999999999</v>
      </c>
      <c r="C28" s="52">
        <f t="shared" ref="C28:V28" si="9">C29-SUM(C23:C27)</f>
        <v>0.3194999999999999</v>
      </c>
      <c r="D28" s="52">
        <f t="shared" si="9"/>
        <v>0.32079999999999997</v>
      </c>
      <c r="E28" s="52">
        <f t="shared" si="9"/>
        <v>0.32540000000000002</v>
      </c>
      <c r="F28" s="52">
        <f t="shared" si="9"/>
        <v>0.33329999999999993</v>
      </c>
      <c r="G28" s="52">
        <f t="shared" si="9"/>
        <v>0.34020000000000006</v>
      </c>
      <c r="H28" s="52">
        <f t="shared" si="9"/>
        <v>0.34219999999999995</v>
      </c>
      <c r="I28" s="52">
        <f t="shared" si="9"/>
        <v>0.15160000000000007</v>
      </c>
      <c r="J28" s="52">
        <f t="shared" si="9"/>
        <v>0.17539999999999989</v>
      </c>
      <c r="K28" s="52">
        <f t="shared" si="9"/>
        <v>5.0799999999999956E-2</v>
      </c>
      <c r="L28" s="52">
        <f t="shared" si="9"/>
        <v>4.4774127645160089E-2</v>
      </c>
      <c r="M28" s="52">
        <f t="shared" si="9"/>
        <v>2.6399999999999868E-2</v>
      </c>
      <c r="N28" s="52">
        <f t="shared" si="9"/>
        <v>2.1003630246231753E-2</v>
      </c>
      <c r="O28" s="52">
        <f t="shared" si="9"/>
        <v>2.8002518652574415E-2</v>
      </c>
      <c r="P28" s="52">
        <f t="shared" si="9"/>
        <v>2.0596694940079208E-2</v>
      </c>
      <c r="Q28" s="52">
        <f t="shared" si="9"/>
        <v>3.4486188620538205E-2</v>
      </c>
      <c r="R28" s="52">
        <f t="shared" si="9"/>
        <v>3.9842512519372875E-2</v>
      </c>
      <c r="S28" s="52">
        <f t="shared" si="9"/>
        <v>4.3792013289004283E-2</v>
      </c>
      <c r="T28" s="52">
        <f t="shared" si="9"/>
        <v>4.853473338623937E-2</v>
      </c>
      <c r="U28" s="52">
        <f t="shared" si="9"/>
        <v>5.5870714989352033E-2</v>
      </c>
      <c r="V28" s="52">
        <f t="shared" si="9"/>
        <v>5.909999999999993E-2</v>
      </c>
    </row>
    <row r="29" spans="1:22" x14ac:dyDescent="0.25">
      <c r="A29" s="53" t="s">
        <v>35</v>
      </c>
      <c r="B29" s="54">
        <v>1</v>
      </c>
      <c r="C29" s="54">
        <v>1</v>
      </c>
      <c r="D29" s="54">
        <v>1</v>
      </c>
      <c r="E29" s="54">
        <v>1</v>
      </c>
      <c r="F29" s="54">
        <v>1</v>
      </c>
      <c r="G29" s="54">
        <v>1</v>
      </c>
      <c r="H29" s="54">
        <v>1</v>
      </c>
      <c r="I29" s="54">
        <v>1</v>
      </c>
      <c r="J29" s="54">
        <v>1</v>
      </c>
      <c r="K29" s="54">
        <v>1</v>
      </c>
      <c r="L29" s="54">
        <v>1</v>
      </c>
      <c r="M29" s="54">
        <v>1</v>
      </c>
      <c r="N29" s="54">
        <v>1</v>
      </c>
      <c r="O29" s="54">
        <v>1</v>
      </c>
      <c r="P29" s="54">
        <v>1</v>
      </c>
      <c r="Q29" s="54">
        <v>1</v>
      </c>
      <c r="R29" s="54">
        <v>1</v>
      </c>
      <c r="S29" s="54">
        <v>1</v>
      </c>
      <c r="T29" s="54">
        <v>1</v>
      </c>
      <c r="U29" s="54">
        <v>1</v>
      </c>
      <c r="V29" s="54">
        <v>1</v>
      </c>
    </row>
    <row r="32" spans="1:22" x14ac:dyDescent="0.25">
      <c r="A32" s="48" t="s">
        <v>37</v>
      </c>
      <c r="B32" s="49">
        <v>2015</v>
      </c>
      <c r="C32" s="49">
        <v>2016</v>
      </c>
      <c r="D32" s="49">
        <v>2017</v>
      </c>
      <c r="E32" s="49">
        <v>2018</v>
      </c>
      <c r="F32" s="49">
        <v>2019</v>
      </c>
      <c r="G32" s="49">
        <v>2020</v>
      </c>
      <c r="H32" s="49" t="s">
        <v>38</v>
      </c>
      <c r="I32" s="49" t="s">
        <v>39</v>
      </c>
      <c r="J32" s="49" t="s">
        <v>11</v>
      </c>
      <c r="K32" s="49" t="s">
        <v>12</v>
      </c>
      <c r="L32" s="49" t="s">
        <v>13</v>
      </c>
      <c r="M32" s="49" t="s">
        <v>14</v>
      </c>
      <c r="N32" s="49" t="s">
        <v>15</v>
      </c>
      <c r="O32" s="49" t="s">
        <v>16</v>
      </c>
      <c r="P32" s="49" t="s">
        <v>17</v>
      </c>
      <c r="Q32" s="49" t="s">
        <v>18</v>
      </c>
      <c r="R32" s="49" t="s">
        <v>19</v>
      </c>
      <c r="S32" s="49" t="s">
        <v>20</v>
      </c>
      <c r="T32" s="49" t="s">
        <v>21</v>
      </c>
      <c r="U32" s="49" t="s">
        <v>22</v>
      </c>
      <c r="V32" s="49" t="s">
        <v>23</v>
      </c>
    </row>
    <row r="33" spans="1:22" x14ac:dyDescent="0.25">
      <c r="A33" s="4" t="str">
        <f>A23</f>
        <v>Acrylate Ester</v>
      </c>
      <c r="B33" s="10">
        <f>ROUND(B23*'Demand Supply Gap'!B$12,2)</f>
        <v>0</v>
      </c>
      <c r="C33" s="10">
        <f>ROUND(C23*'Demand Supply Gap'!C$12,2)</f>
        <v>0</v>
      </c>
      <c r="D33" s="10">
        <f>ROUND(D23*'Demand Supply Gap'!D$12,2)</f>
        <v>0</v>
      </c>
      <c r="E33" s="10">
        <f>ROUND(E23*'Demand Supply Gap'!E$12,2)</f>
        <v>0</v>
      </c>
      <c r="F33" s="10">
        <f>ROUND(F23*'Demand Supply Gap'!F$12,2)</f>
        <v>0</v>
      </c>
      <c r="G33" s="10">
        <f>ROUND(G23*'Demand Supply Gap'!G$12,2)</f>
        <v>0</v>
      </c>
      <c r="H33" s="10">
        <f>ROUND(H23*'Demand Supply Gap'!H$12,2)</f>
        <v>0</v>
      </c>
      <c r="I33" s="10">
        <f>ROUND(I23*'Demand Supply Gap'!I$12,2)</f>
        <v>212.94</v>
      </c>
      <c r="J33" s="10">
        <f>ROUND(J23*'Demand Supply Gap'!J$12,2)</f>
        <v>213.52</v>
      </c>
      <c r="K33" s="10">
        <f>ROUND(K23*'Demand Supply Gap'!K$12,2)</f>
        <v>286.14</v>
      </c>
      <c r="L33" s="10">
        <f>ROUND(L23*'Demand Supply Gap'!L$12,2)</f>
        <v>312.60000000000002</v>
      </c>
      <c r="M33" s="10">
        <f>ROUND(M23*'Demand Supply Gap'!M$12,2)</f>
        <v>325.77</v>
      </c>
      <c r="N33" s="10">
        <f>ROUND(N23*'Demand Supply Gap'!N$12,2)</f>
        <v>346.33</v>
      </c>
      <c r="O33" s="10">
        <f>ROUND(O23*'Demand Supply Gap'!O$12,2)</f>
        <v>368.79</v>
      </c>
      <c r="P33" s="10">
        <f>ROUND(P23*'Demand Supply Gap'!P$12,2)</f>
        <v>389.27</v>
      </c>
      <c r="Q33" s="10">
        <f>ROUND(Q23*'Demand Supply Gap'!Q$12,2)</f>
        <v>406.14</v>
      </c>
      <c r="R33" s="10">
        <f>ROUND(R23*'Demand Supply Gap'!R$12,2)</f>
        <v>437.89</v>
      </c>
      <c r="S33" s="10">
        <f>ROUND(S23*'Demand Supply Gap'!S$12,2)</f>
        <v>479.83</v>
      </c>
      <c r="T33" s="10">
        <f>ROUND(T23*'Demand Supply Gap'!T$12,2)</f>
        <v>526.63</v>
      </c>
      <c r="U33" s="10">
        <f>ROUND(U23*'Demand Supply Gap'!U$12,2)</f>
        <v>578.49</v>
      </c>
      <c r="V33" s="10">
        <f>ROUND(V23*'Demand Supply Gap'!V$12,2)</f>
        <v>635.59</v>
      </c>
    </row>
    <row r="34" spans="1:22" x14ac:dyDescent="0.25">
      <c r="A34" s="4" t="str">
        <f t="shared" ref="A34:A38" si="10">A24</f>
        <v>Super Absorbent Polymer</v>
      </c>
      <c r="B34" s="10">
        <f>ROUND(B24*'Demand Supply Gap'!B$12,2)</f>
        <v>0</v>
      </c>
      <c r="C34" s="10">
        <f>ROUND(C24*'Demand Supply Gap'!C$12,2)</f>
        <v>0</v>
      </c>
      <c r="D34" s="10">
        <f>ROUND(D24*'Demand Supply Gap'!D$12,2)</f>
        <v>0</v>
      </c>
      <c r="E34" s="10">
        <f>ROUND(E24*'Demand Supply Gap'!E$12,2)</f>
        <v>0</v>
      </c>
      <c r="F34" s="10">
        <f>ROUND(F24*'Demand Supply Gap'!F$12,2)</f>
        <v>0</v>
      </c>
      <c r="G34" s="10">
        <f>ROUND(G24*'Demand Supply Gap'!G$12,2)</f>
        <v>0</v>
      </c>
      <c r="H34" s="10">
        <f>ROUND(H24*'Demand Supply Gap'!H$12,2)</f>
        <v>0</v>
      </c>
      <c r="I34" s="10">
        <f>ROUND(I24*'Demand Supply Gap'!I$12,2)</f>
        <v>0</v>
      </c>
      <c r="J34" s="10">
        <f>ROUND(J24*'Demand Supply Gap'!J$12,2)</f>
        <v>0</v>
      </c>
      <c r="K34" s="10">
        <f>ROUND(K24*'Demand Supply Gap'!K$12,2)</f>
        <v>0</v>
      </c>
      <c r="L34" s="10">
        <f>ROUND(L24*'Demand Supply Gap'!L$12,2)</f>
        <v>0</v>
      </c>
      <c r="M34" s="10">
        <f>ROUND(M24*'Demand Supply Gap'!M$12,2)</f>
        <v>51.83</v>
      </c>
      <c r="N34" s="10">
        <f>ROUND(N24*'Demand Supply Gap'!N$12,2)</f>
        <v>66.09</v>
      </c>
      <c r="O34" s="10">
        <f>ROUND(O24*'Demand Supply Gap'!O$12,2)</f>
        <v>74.55</v>
      </c>
      <c r="P34" s="10">
        <f>ROUND(P24*'Demand Supply Gap'!P$12,2)</f>
        <v>97.27</v>
      </c>
      <c r="Q34" s="10">
        <f>ROUND(Q24*'Demand Supply Gap'!Q$12,2)</f>
        <v>112.46</v>
      </c>
      <c r="R34" s="10">
        <f>ROUND(R24*'Demand Supply Gap'!R$12,2)</f>
        <v>127.75</v>
      </c>
      <c r="S34" s="10">
        <f>ROUND(S24*'Demand Supply Gap'!S$12,2)</f>
        <v>138.49</v>
      </c>
      <c r="T34" s="10">
        <f>ROUND(T24*'Demand Supply Gap'!T$12,2)</f>
        <v>150.01</v>
      </c>
      <c r="U34" s="10">
        <f>ROUND(U24*'Demand Supply Gap'!U$12,2)</f>
        <v>160.28</v>
      </c>
      <c r="V34" s="10">
        <f>ROUND(V24*'Demand Supply Gap'!V$12,2)</f>
        <v>175.57</v>
      </c>
    </row>
    <row r="35" spans="1:22" x14ac:dyDescent="0.25">
      <c r="A35" s="4" t="str">
        <f t="shared" si="10"/>
        <v>Water Treatment</v>
      </c>
      <c r="B35" s="10">
        <f>ROUND(B25*'Demand Supply Gap'!B$12,2)</f>
        <v>4.01</v>
      </c>
      <c r="C35" s="10">
        <f>ROUND(C25*'Demand Supply Gap'!C$12,2)</f>
        <v>3.56</v>
      </c>
      <c r="D35" s="10">
        <f>ROUND(D25*'Demand Supply Gap'!D$12,2)</f>
        <v>4.1100000000000003</v>
      </c>
      <c r="E35" s="10">
        <f>ROUND(E25*'Demand Supply Gap'!E$12,2)</f>
        <v>6.6</v>
      </c>
      <c r="F35" s="10">
        <f>ROUND(F25*'Demand Supply Gap'!F$12,2)</f>
        <v>12.88</v>
      </c>
      <c r="G35" s="10">
        <f>ROUND(G25*'Demand Supply Gap'!G$12,2)</f>
        <v>18.71</v>
      </c>
      <c r="H35" s="10">
        <f>ROUND(H25*'Demand Supply Gap'!H$12,2)</f>
        <v>36.4</v>
      </c>
      <c r="I35" s="10">
        <f>ROUND(I25*'Demand Supply Gap'!I$12,2)</f>
        <v>64.930000000000007</v>
      </c>
      <c r="J35" s="10">
        <f>ROUND(J25*'Demand Supply Gap'!J$12,2)</f>
        <v>68.39</v>
      </c>
      <c r="K35" s="10">
        <f>ROUND(K25*'Demand Supply Gap'!K$12,2)</f>
        <v>74.010000000000005</v>
      </c>
      <c r="L35" s="10">
        <f>ROUND(L25*'Demand Supply Gap'!L$12,2)</f>
        <v>80.069999999999993</v>
      </c>
      <c r="M35" s="10">
        <f>ROUND(M25*'Demand Supply Gap'!M$12,2)</f>
        <v>75.63</v>
      </c>
      <c r="N35" s="10">
        <f>ROUND(N25*'Demand Supply Gap'!N$12,2)</f>
        <v>81.56</v>
      </c>
      <c r="O35" s="10">
        <f>ROUND(O25*'Demand Supply Gap'!O$12,2)</f>
        <v>88.01</v>
      </c>
      <c r="P35" s="10">
        <f>ROUND(P25*'Demand Supply Gap'!P$12,2)</f>
        <v>95.02</v>
      </c>
      <c r="Q35" s="10">
        <f>ROUND(Q25*'Demand Supply Gap'!Q$12,2)</f>
        <v>102.66</v>
      </c>
      <c r="R35" s="10">
        <f>ROUND(R25*'Demand Supply Gap'!R$12,2)</f>
        <v>111.87</v>
      </c>
      <c r="S35" s="10">
        <f>ROUND(S25*'Demand Supply Gap'!S$12,2)</f>
        <v>121.97</v>
      </c>
      <c r="T35" s="10">
        <f>ROUND(T25*'Demand Supply Gap'!T$12,2)</f>
        <v>133.22</v>
      </c>
      <c r="U35" s="10">
        <f>ROUND(U25*'Demand Supply Gap'!U$12,2)</f>
        <v>145.61000000000001</v>
      </c>
      <c r="V35" s="10">
        <f>ROUND(V25*'Demand Supply Gap'!V$12,2)</f>
        <v>159.27000000000001</v>
      </c>
    </row>
    <row r="36" spans="1:22" x14ac:dyDescent="0.25">
      <c r="A36" s="4" t="str">
        <f t="shared" si="10"/>
        <v>Detergent</v>
      </c>
      <c r="B36" s="10">
        <f>ROUND(B26*'Demand Supply Gap'!B$12,2)</f>
        <v>1.77</v>
      </c>
      <c r="C36" s="10">
        <f>ROUND(C26*'Demand Supply Gap'!C$12,2)</f>
        <v>1.59</v>
      </c>
      <c r="D36" s="10">
        <f>ROUND(D26*'Demand Supply Gap'!D$12,2)</f>
        <v>1.79</v>
      </c>
      <c r="E36" s="10">
        <f>ROUND(E26*'Demand Supply Gap'!E$12,2)</f>
        <v>2.92</v>
      </c>
      <c r="F36" s="10">
        <f>ROUND(F26*'Demand Supply Gap'!F$12,2)</f>
        <v>5.6</v>
      </c>
      <c r="G36" s="10">
        <f>ROUND(G26*'Demand Supply Gap'!G$12,2)</f>
        <v>8.16</v>
      </c>
      <c r="H36" s="10">
        <f>ROUND(H26*'Demand Supply Gap'!H$12,2)</f>
        <v>16.02</v>
      </c>
      <c r="I36" s="10">
        <f>ROUND(I26*'Demand Supply Gap'!I$12,2)</f>
        <v>36.479999999999997</v>
      </c>
      <c r="J36" s="10">
        <f>ROUND(J26*'Demand Supply Gap'!J$12,2)</f>
        <v>38.14</v>
      </c>
      <c r="K36" s="10">
        <f>ROUND(K26*'Demand Supply Gap'!K$12,2)</f>
        <v>40.74</v>
      </c>
      <c r="L36" s="10">
        <f>ROUND(L26*'Demand Supply Gap'!L$12,2)</f>
        <v>43.38</v>
      </c>
      <c r="M36" s="10">
        <f>ROUND(M26*'Demand Supply Gap'!M$12,2)</f>
        <v>28.69</v>
      </c>
      <c r="N36" s="10">
        <f>ROUND(N26*'Demand Supply Gap'!N$12,2)</f>
        <v>30.82</v>
      </c>
      <c r="O36" s="10">
        <f>ROUND(O26*'Demand Supply Gap'!O$12,2)</f>
        <v>33.130000000000003</v>
      </c>
      <c r="P36" s="10">
        <f>ROUND(P26*'Demand Supply Gap'!P$12,2)</f>
        <v>35.64</v>
      </c>
      <c r="Q36" s="10">
        <f>ROUND(Q26*'Demand Supply Gap'!Q$12,2)</f>
        <v>38.36</v>
      </c>
      <c r="R36" s="10">
        <f>ROUND(R26*'Demand Supply Gap'!R$12,2)</f>
        <v>41.72</v>
      </c>
      <c r="S36" s="10">
        <f>ROUND(S26*'Demand Supply Gap'!S$12,2)</f>
        <v>45.4</v>
      </c>
      <c r="T36" s="10">
        <f>ROUND(T26*'Demand Supply Gap'!T$12,2)</f>
        <v>49.49</v>
      </c>
      <c r="U36" s="10">
        <f>ROUND(U26*'Demand Supply Gap'!U$12,2)</f>
        <v>53.99</v>
      </c>
      <c r="V36" s="10">
        <f>ROUND(V26*'Demand Supply Gap'!V$12,2)</f>
        <v>58.94</v>
      </c>
    </row>
    <row r="37" spans="1:22" x14ac:dyDescent="0.25">
      <c r="A37" s="4" t="str">
        <f t="shared" si="10"/>
        <v>Paper</v>
      </c>
      <c r="B37" s="10">
        <f>ROUND(B27*'Demand Supply Gap'!B$12,2)</f>
        <v>0.49</v>
      </c>
      <c r="C37" s="10">
        <f>ROUND(C27*'Demand Supply Gap'!C$12,2)</f>
        <v>0.46</v>
      </c>
      <c r="D37" s="10">
        <f>ROUND(D27*'Demand Supply Gap'!D$12,2)</f>
        <v>0.54</v>
      </c>
      <c r="E37" s="10">
        <f>ROUND(E27*'Demand Supply Gap'!E$12,2)</f>
        <v>0.84</v>
      </c>
      <c r="F37" s="10">
        <f>ROUND(F27*'Demand Supply Gap'!F$12,2)</f>
        <v>1.6</v>
      </c>
      <c r="G37" s="10">
        <f>ROUND(G27*'Demand Supply Gap'!G$12,2)</f>
        <v>2.25</v>
      </c>
      <c r="H37" s="10">
        <f>ROUND(H27*'Demand Supply Gap'!H$12,2)</f>
        <v>4.17</v>
      </c>
      <c r="I37" s="10">
        <f>ROUND(I27*'Demand Supply Gap'!I$12,2)</f>
        <v>19.52</v>
      </c>
      <c r="J37" s="10">
        <f>ROUND(J27*'Demand Supply Gap'!J$12,2)</f>
        <v>20.309999999999999</v>
      </c>
      <c r="K37" s="10">
        <f>ROUND(K27*'Demand Supply Gap'!K$12,2)</f>
        <v>21.77</v>
      </c>
      <c r="L37" s="10">
        <f>ROUND(L27*'Demand Supply Gap'!L$12,2)</f>
        <v>23.34</v>
      </c>
      <c r="M37" s="10">
        <f>ROUND(M27*'Demand Supply Gap'!M$12,2)</f>
        <v>24.17</v>
      </c>
      <c r="N37" s="10">
        <f>ROUND(N27*'Demand Supply Gap'!N$12,2)</f>
        <v>25.87</v>
      </c>
      <c r="O37" s="10">
        <f>ROUND(O27*'Demand Supply Gap'!O$12,2)</f>
        <v>27.53</v>
      </c>
      <c r="P37" s="10">
        <f>ROUND(P27*'Demand Supply Gap'!P$12,2)</f>
        <v>29.1</v>
      </c>
      <c r="Q37" s="10">
        <f>ROUND(Q27*'Demand Supply Gap'!Q$12,2)</f>
        <v>31.12</v>
      </c>
      <c r="R37" s="10">
        <f>ROUND(R27*'Demand Supply Gap'!R$12,2)</f>
        <v>33.31</v>
      </c>
      <c r="S37" s="10">
        <f>ROUND(S27*'Demand Supply Gap'!S$12,2)</f>
        <v>35.83</v>
      </c>
      <c r="T37" s="10">
        <f>ROUND(T27*'Demand Supply Gap'!T$12,2)</f>
        <v>38.299999999999997</v>
      </c>
      <c r="U37" s="10">
        <f>ROUND(U27*'Demand Supply Gap'!U$12,2)</f>
        <v>40.43</v>
      </c>
      <c r="V37" s="10">
        <f>ROUND(V27*'Demand Supply Gap'!V$12,2)</f>
        <v>43.32</v>
      </c>
    </row>
    <row r="38" spans="1:22" x14ac:dyDescent="0.25">
      <c r="A38" s="4" t="str">
        <f t="shared" si="10"/>
        <v>Others</v>
      </c>
      <c r="B38" s="10">
        <f>ROUND(B28*'Demand Supply Gap'!B$12,2)</f>
        <v>2.99</v>
      </c>
      <c r="C38" s="10">
        <f>ROUND(C28*'Demand Supply Gap'!C$12,2)</f>
        <v>2.63</v>
      </c>
      <c r="D38" s="10">
        <f>ROUND(D28*'Demand Supply Gap'!D$12,2)</f>
        <v>3.04</v>
      </c>
      <c r="E38" s="10">
        <f>ROUND(E28*'Demand Supply Gap'!E$12,2)</f>
        <v>5</v>
      </c>
      <c r="F38" s="10">
        <f>ROUND(F28*'Demand Supply Gap'!F$12,2)</f>
        <v>10.039999999999999</v>
      </c>
      <c r="G38" s="10">
        <f>ROUND(G28*'Demand Supply Gap'!G$12,2)</f>
        <v>15.01</v>
      </c>
      <c r="H38" s="10">
        <f>ROUND(H28*'Demand Supply Gap'!H$12,2)</f>
        <v>29.44</v>
      </c>
      <c r="I38" s="10">
        <f>ROUND(I28*'Demand Supply Gap'!I$12,2)</f>
        <v>59.66</v>
      </c>
      <c r="J38" s="10">
        <f>ROUND(J28*'Demand Supply Gap'!J$12,2)</f>
        <v>72.400000000000006</v>
      </c>
      <c r="K38" s="10">
        <f>ROUND(K28*'Demand Supply Gap'!K$12,2)</f>
        <v>22.62</v>
      </c>
      <c r="L38" s="10">
        <f>ROUND(L28*'Demand Supply Gap'!L$12,2)</f>
        <v>21.53</v>
      </c>
      <c r="M38" s="10">
        <f>ROUND(M28*'Demand Supply Gap'!M$12,2)</f>
        <v>13.72</v>
      </c>
      <c r="N38" s="10">
        <f>ROUND(N28*'Demand Supply Gap'!N$12,2)</f>
        <v>11.81</v>
      </c>
      <c r="O38" s="10">
        <f>ROUND(O28*'Demand Supply Gap'!O$12,2)</f>
        <v>17.059999999999999</v>
      </c>
      <c r="P38" s="10">
        <f>ROUND(P28*'Demand Supply Gap'!P$12,2)</f>
        <v>13.59</v>
      </c>
      <c r="Q38" s="10">
        <f>ROUND(Q28*'Demand Supply Gap'!Q$12,2)</f>
        <v>24.67</v>
      </c>
      <c r="R38" s="10">
        <f>ROUND(R28*'Demand Supply Gap'!R$12,2)</f>
        <v>31.23</v>
      </c>
      <c r="S38" s="10">
        <f>ROUND(S28*'Demand Supply Gap'!S$12,2)</f>
        <v>37.619999999999997</v>
      </c>
      <c r="T38" s="10">
        <f>ROUND(T28*'Demand Supply Gap'!T$12,2)</f>
        <v>45.79</v>
      </c>
      <c r="U38" s="10">
        <f>ROUND(U28*'Demand Supply Gap'!U$12,2)</f>
        <v>57.92</v>
      </c>
      <c r="V38" s="10">
        <f>ROUND(V28*'Demand Supply Gap'!V$12,2)</f>
        <v>67.38</v>
      </c>
    </row>
    <row r="39" spans="1:22" x14ac:dyDescent="0.25">
      <c r="A39" s="55" t="s">
        <v>24</v>
      </c>
      <c r="B39" s="66">
        <f>SUM(B33:B38)</f>
        <v>9.26</v>
      </c>
      <c r="C39" s="66">
        <f t="shared" ref="C39:V39" si="11">SUM(C33:C38)</f>
        <v>8.24</v>
      </c>
      <c r="D39" s="66">
        <f t="shared" si="11"/>
        <v>9.48</v>
      </c>
      <c r="E39" s="66">
        <f t="shared" si="11"/>
        <v>15.36</v>
      </c>
      <c r="F39" s="66">
        <f t="shared" si="11"/>
        <v>30.12</v>
      </c>
      <c r="G39" s="66">
        <f t="shared" si="11"/>
        <v>44.13</v>
      </c>
      <c r="H39" s="66">
        <f t="shared" si="11"/>
        <v>86.03</v>
      </c>
      <c r="I39" s="66">
        <f t="shared" si="11"/>
        <v>393.53</v>
      </c>
      <c r="J39" s="66">
        <f t="shared" si="11"/>
        <v>412.76</v>
      </c>
      <c r="K39" s="66">
        <f t="shared" si="11"/>
        <v>445.28</v>
      </c>
      <c r="L39" s="66">
        <f t="shared" si="11"/>
        <v>480.91999999999996</v>
      </c>
      <c r="M39" s="66">
        <f t="shared" si="11"/>
        <v>519.80999999999995</v>
      </c>
      <c r="N39" s="66">
        <f t="shared" si="11"/>
        <v>562.4799999999999</v>
      </c>
      <c r="O39" s="66">
        <f t="shared" si="11"/>
        <v>609.06999999999994</v>
      </c>
      <c r="P39" s="66">
        <f t="shared" si="11"/>
        <v>659.89</v>
      </c>
      <c r="Q39" s="66">
        <f t="shared" si="11"/>
        <v>715.41</v>
      </c>
      <c r="R39" s="66">
        <f t="shared" si="11"/>
        <v>783.77</v>
      </c>
      <c r="S39" s="66">
        <f t="shared" si="11"/>
        <v>859.14</v>
      </c>
      <c r="T39" s="66">
        <f t="shared" si="11"/>
        <v>943.43999999999994</v>
      </c>
      <c r="U39" s="66">
        <f t="shared" si="11"/>
        <v>1036.72</v>
      </c>
      <c r="V39" s="66">
        <f t="shared" si="11"/>
        <v>1140.0700000000002</v>
      </c>
    </row>
    <row r="48" spans="1:22" x14ac:dyDescent="0.25">
      <c r="A48" s="10">
        <v>7.31</v>
      </c>
      <c r="B48" s="67"/>
    </row>
    <row r="49" spans="1:13" x14ac:dyDescent="0.25">
      <c r="A49" s="10">
        <v>7.98</v>
      </c>
      <c r="C49" s="61" t="s">
        <v>52</v>
      </c>
      <c r="D49" s="61" t="s">
        <v>53</v>
      </c>
      <c r="E49" s="61" t="s">
        <v>54</v>
      </c>
      <c r="F49" s="61" t="s">
        <v>55</v>
      </c>
      <c r="G49" s="61">
        <v>2022</v>
      </c>
    </row>
    <row r="50" spans="1:13" x14ac:dyDescent="0.25">
      <c r="A50" s="10">
        <v>8.51</v>
      </c>
      <c r="C50" s="61">
        <v>14</v>
      </c>
      <c r="D50" s="61">
        <v>15.27</v>
      </c>
      <c r="E50" s="61">
        <v>16.29</v>
      </c>
      <c r="F50" s="61">
        <v>18.07</v>
      </c>
      <c r="G50" s="61">
        <v>63.62</v>
      </c>
      <c r="I50" s="68">
        <f>C50/$G50</f>
        <v>0.22005658597925182</v>
      </c>
      <c r="J50" s="68">
        <f>D50/$G50</f>
        <v>0.24001886199308395</v>
      </c>
      <c r="K50" s="68">
        <f>E50/$G50</f>
        <v>0.25605155611442942</v>
      </c>
      <c r="L50" s="68">
        <f>M50-SUM(I50:K50)</f>
        <v>0.28387299591323478</v>
      </c>
      <c r="M50" s="69">
        <v>1</v>
      </c>
    </row>
    <row r="51" spans="1:13" x14ac:dyDescent="0.25">
      <c r="A51" s="10">
        <v>9.44</v>
      </c>
      <c r="C51" s="61">
        <v>0</v>
      </c>
      <c r="D51" s="61">
        <v>0</v>
      </c>
      <c r="E51" s="61">
        <v>0</v>
      </c>
      <c r="F51" s="61">
        <v>0</v>
      </c>
      <c r="G51" s="61">
        <v>0</v>
      </c>
      <c r="I51" s="68">
        <v>0</v>
      </c>
      <c r="J51" s="68">
        <v>0</v>
      </c>
      <c r="K51" s="68">
        <v>0</v>
      </c>
      <c r="L51" s="68">
        <v>0</v>
      </c>
      <c r="M51" s="69">
        <v>1</v>
      </c>
    </row>
    <row r="52" spans="1:13" x14ac:dyDescent="0.25">
      <c r="A52" s="10">
        <v>33.229999999999997</v>
      </c>
      <c r="C52" s="61">
        <v>4.6900000000000004</v>
      </c>
      <c r="D52" s="61">
        <v>4.62</v>
      </c>
      <c r="E52" s="61">
        <v>4.75</v>
      </c>
      <c r="F52" s="61">
        <v>4.63</v>
      </c>
      <c r="G52" s="61">
        <v>18.690000000000001</v>
      </c>
      <c r="I52" s="68">
        <f>C52/$G52</f>
        <v>0.25093632958801498</v>
      </c>
      <c r="J52" s="68">
        <f>D52/$G52</f>
        <v>0.24719101123595505</v>
      </c>
      <c r="K52" s="68">
        <f>E52/$G52</f>
        <v>0.25414660246120918</v>
      </c>
      <c r="L52" s="68">
        <f>M52-SUM(I52:K52)</f>
        <v>0.24772605671482073</v>
      </c>
      <c r="M52" s="69">
        <v>1</v>
      </c>
    </row>
    <row r="53" spans="1:13" x14ac:dyDescent="0.25">
      <c r="A53" s="10">
        <v>0</v>
      </c>
      <c r="C53" s="61">
        <v>2.72</v>
      </c>
      <c r="D53" s="61">
        <v>2.63</v>
      </c>
      <c r="E53" s="61">
        <v>2.74</v>
      </c>
      <c r="F53" s="61">
        <v>2.74</v>
      </c>
      <c r="G53" s="61">
        <v>10.82</v>
      </c>
      <c r="I53" s="68">
        <f>C53/$G53</f>
        <v>0.25138632162661739</v>
      </c>
      <c r="J53" s="68">
        <f>D53/$G53</f>
        <v>0.24306839186691312</v>
      </c>
      <c r="K53" s="68">
        <f>E53/$G53</f>
        <v>0.25323475046210719</v>
      </c>
      <c r="L53" s="68">
        <f>M53-SUM(I53:K53)</f>
        <v>0.25231053604436227</v>
      </c>
      <c r="M53" s="69">
        <v>1</v>
      </c>
    </row>
    <row r="54" spans="1:13" x14ac:dyDescent="0.25">
      <c r="A54" s="10">
        <v>0</v>
      </c>
      <c r="C54" s="61">
        <v>1.54</v>
      </c>
      <c r="D54" s="61">
        <v>1.49</v>
      </c>
      <c r="E54" s="61">
        <v>1.57</v>
      </c>
      <c r="F54" s="61">
        <v>1.55</v>
      </c>
      <c r="G54" s="61">
        <v>6.15</v>
      </c>
      <c r="I54" s="68">
        <f>C54/$G54</f>
        <v>0.25040650406504067</v>
      </c>
      <c r="J54" s="68">
        <f>D54/$G54</f>
        <v>0.24227642276422762</v>
      </c>
      <c r="K54" s="68">
        <f>E54/$G54</f>
        <v>0.25528455284552842</v>
      </c>
      <c r="L54" s="68">
        <f>M54-SUM(I54:K54)</f>
        <v>0.25203252032520329</v>
      </c>
      <c r="M54" s="69">
        <v>1</v>
      </c>
    </row>
    <row r="55" spans="1:13" x14ac:dyDescent="0.25">
      <c r="A55" s="10">
        <v>0</v>
      </c>
      <c r="C55" s="61">
        <v>6.18</v>
      </c>
      <c r="D55" s="61">
        <v>5.95</v>
      </c>
      <c r="E55" s="61">
        <v>6.24</v>
      </c>
      <c r="F55" s="61">
        <v>6.29</v>
      </c>
      <c r="G55" s="61">
        <v>24.65</v>
      </c>
      <c r="I55" s="68">
        <f>C55/$G55</f>
        <v>0.25070993914807305</v>
      </c>
      <c r="J55" s="68">
        <f>D55/$G55</f>
        <v>0.2413793103448276</v>
      </c>
      <c r="K55" s="68">
        <f>E55/$G55</f>
        <v>0.25314401622718052</v>
      </c>
      <c r="L55" s="68">
        <f>M55-SUM(I55:K55)</f>
        <v>0.25476673427991881</v>
      </c>
      <c r="M55" s="69">
        <v>1</v>
      </c>
    </row>
    <row r="56" spans="1:13" x14ac:dyDescent="0.25">
      <c r="A56" s="10">
        <v>0</v>
      </c>
    </row>
    <row r="57" spans="1:13" x14ac:dyDescent="0.25">
      <c r="A57" s="10">
        <v>0</v>
      </c>
    </row>
    <row r="58" spans="1:13" x14ac:dyDescent="0.25">
      <c r="A58" s="10">
        <v>2.5099999999999998</v>
      </c>
    </row>
    <row r="59" spans="1:13" x14ac:dyDescent="0.25">
      <c r="A59" s="10">
        <v>2.46</v>
      </c>
    </row>
    <row r="60" spans="1:13" x14ac:dyDescent="0.25">
      <c r="A60" s="10">
        <v>2.5299999999999998</v>
      </c>
    </row>
    <row r="61" spans="1:13" x14ac:dyDescent="0.25">
      <c r="A61" s="10">
        <v>2.46</v>
      </c>
    </row>
    <row r="62" spans="1:13" x14ac:dyDescent="0.25">
      <c r="A62" s="10">
        <v>9.9600000000000009</v>
      </c>
    </row>
    <row r="63" spans="1:13" x14ac:dyDescent="0.25">
      <c r="A63" s="10">
        <v>1.4</v>
      </c>
    </row>
    <row r="64" spans="1:13" x14ac:dyDescent="0.25">
      <c r="A64" s="10">
        <v>1.36</v>
      </c>
    </row>
    <row r="65" spans="1:1" x14ac:dyDescent="0.25">
      <c r="A65" s="10">
        <v>1.42</v>
      </c>
    </row>
    <row r="66" spans="1:1" x14ac:dyDescent="0.25">
      <c r="A66" s="10">
        <v>1.43</v>
      </c>
    </row>
    <row r="67" spans="1:1" x14ac:dyDescent="0.25">
      <c r="A67" s="10">
        <v>5.61</v>
      </c>
    </row>
    <row r="68" spans="1:1" x14ac:dyDescent="0.25">
      <c r="A68" s="10">
        <v>0.73</v>
      </c>
    </row>
    <row r="69" spans="1:1" x14ac:dyDescent="0.25">
      <c r="A69" s="10">
        <v>0.72</v>
      </c>
    </row>
    <row r="70" spans="1:1" x14ac:dyDescent="0.25">
      <c r="A70" s="10">
        <v>0.76</v>
      </c>
    </row>
    <row r="71" spans="1:1" x14ac:dyDescent="0.25">
      <c r="A71" s="10">
        <v>0.77</v>
      </c>
    </row>
    <row r="72" spans="1:1" x14ac:dyDescent="0.25">
      <c r="A72" s="10">
        <v>2.98</v>
      </c>
    </row>
    <row r="73" spans="1:1" x14ac:dyDescent="0.25">
      <c r="A73" s="10">
        <v>2.89</v>
      </c>
    </row>
    <row r="74" spans="1:1" x14ac:dyDescent="0.25">
      <c r="A74" s="10">
        <v>2.76</v>
      </c>
    </row>
    <row r="75" spans="1:1" x14ac:dyDescent="0.25">
      <c r="A75" s="10">
        <v>2.9</v>
      </c>
    </row>
    <row r="76" spans="1:1" x14ac:dyDescent="0.25">
      <c r="A76" s="10">
        <v>2.91</v>
      </c>
    </row>
    <row r="77" spans="1:1" x14ac:dyDescent="0.25">
      <c r="A77" s="10">
        <v>11.45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86D9-FB78-41BF-87B2-E095B466DC7A}">
  <dimension ref="A1:W76"/>
  <sheetViews>
    <sheetView tabSelected="1" workbookViewId="0">
      <selection activeCell="J31" sqref="J31"/>
    </sheetView>
  </sheetViews>
  <sheetFormatPr defaultRowHeight="15" x14ac:dyDescent="0.25"/>
  <cols>
    <col min="1" max="1" width="37.5703125" bestFit="1" customWidth="1"/>
  </cols>
  <sheetData>
    <row r="1" spans="1:23" ht="15.75" thickBot="1" x14ac:dyDescent="0.3">
      <c r="A1" s="72" t="s">
        <v>36</v>
      </c>
    </row>
    <row r="2" spans="1:23" ht="15.75" thickBot="1" x14ac:dyDescent="0.3">
      <c r="A2" s="71" t="s">
        <v>64</v>
      </c>
      <c r="B2" s="13">
        <v>2015</v>
      </c>
      <c r="C2" s="13">
        <v>2016</v>
      </c>
      <c r="D2" s="13">
        <v>2017</v>
      </c>
      <c r="E2" s="13">
        <v>2018</v>
      </c>
      <c r="F2" s="13">
        <v>2019</v>
      </c>
      <c r="G2" s="13">
        <v>2020</v>
      </c>
      <c r="H2" s="13">
        <v>2021</v>
      </c>
      <c r="I2" s="13" t="s">
        <v>10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4" t="s">
        <v>17</v>
      </c>
      <c r="Q2" s="15" t="s">
        <v>18</v>
      </c>
      <c r="R2" s="16" t="s">
        <v>19</v>
      </c>
      <c r="S2" s="16" t="s">
        <v>40</v>
      </c>
      <c r="T2" s="16" t="s">
        <v>21</v>
      </c>
      <c r="U2" s="16" t="s">
        <v>22</v>
      </c>
      <c r="V2" s="16" t="s">
        <v>23</v>
      </c>
    </row>
    <row r="3" spans="1:23" x14ac:dyDescent="0.25">
      <c r="A3" s="17" t="s">
        <v>41</v>
      </c>
      <c r="B3" s="11">
        <v>0.65700000000000003</v>
      </c>
      <c r="C3" s="11">
        <v>0.6583</v>
      </c>
      <c r="D3" s="11">
        <v>0.65269999999999995</v>
      </c>
      <c r="E3" s="11">
        <v>0.65149999999999997</v>
      </c>
      <c r="F3" s="11">
        <v>0.65</v>
      </c>
      <c r="G3" s="11">
        <v>0.64810000000000001</v>
      </c>
      <c r="H3" s="11">
        <v>0.57250000000000001</v>
      </c>
      <c r="I3" s="76">
        <v>0.17868763328004919</v>
      </c>
      <c r="J3" s="76">
        <v>0.19597565150041557</v>
      </c>
      <c r="K3" s="76">
        <v>0.32923261206926768</v>
      </c>
      <c r="L3" s="76">
        <v>0.33513156969266378</v>
      </c>
      <c r="M3" s="11">
        <v>0.3377</v>
      </c>
      <c r="N3" s="11">
        <v>0.33800000000000002</v>
      </c>
      <c r="O3" s="11">
        <v>0.33839999999999998</v>
      </c>
      <c r="P3" s="11">
        <v>0.3387</v>
      </c>
      <c r="Q3" s="11">
        <v>0.33900000000000002</v>
      </c>
      <c r="R3" s="11">
        <v>0.3392</v>
      </c>
      <c r="S3" s="11">
        <v>0.33950000000000002</v>
      </c>
      <c r="T3" s="11">
        <v>0.33979999999999999</v>
      </c>
      <c r="U3" s="11">
        <v>0.34</v>
      </c>
      <c r="V3" s="11">
        <v>0.3402</v>
      </c>
    </row>
    <row r="4" spans="1:23" x14ac:dyDescent="0.25">
      <c r="A4" s="19" t="s">
        <v>42</v>
      </c>
      <c r="B4" s="11">
        <v>0.10589999999999999</v>
      </c>
      <c r="C4" s="11">
        <v>0.1048</v>
      </c>
      <c r="D4" s="11">
        <v>0.10840000000000005</v>
      </c>
      <c r="E4" s="11">
        <v>0.11140000000000005</v>
      </c>
      <c r="F4" s="11">
        <v>0.11539999999999995</v>
      </c>
      <c r="G4" s="11">
        <v>0.11930000000000007</v>
      </c>
      <c r="H4" s="11">
        <v>0.22229999999999994</v>
      </c>
      <c r="I4" s="76">
        <v>0.749981679386447</v>
      </c>
      <c r="J4" s="76">
        <v>0.72771199186262525</v>
      </c>
      <c r="K4" s="76">
        <v>0.58672998833807699</v>
      </c>
      <c r="L4" s="76">
        <v>0.56606567229234939</v>
      </c>
      <c r="M4" s="11">
        <v>0.5582999999999998</v>
      </c>
      <c r="N4" s="11">
        <v>0.55849999999999977</v>
      </c>
      <c r="O4" s="11">
        <v>0.55879999999999974</v>
      </c>
      <c r="P4" s="11">
        <v>0.55899999999999983</v>
      </c>
      <c r="Q4" s="11">
        <v>0.55919999999999981</v>
      </c>
      <c r="R4" s="11">
        <v>0.55949999999999978</v>
      </c>
      <c r="S4" s="11">
        <v>0.55979999999999974</v>
      </c>
      <c r="T4" s="11">
        <v>0.55999999999999983</v>
      </c>
      <c r="U4" s="11">
        <v>0.56019999999999981</v>
      </c>
      <c r="V4" s="11">
        <v>0.56049999999999978</v>
      </c>
    </row>
    <row r="5" spans="1:23" x14ac:dyDescent="0.25">
      <c r="A5" s="19" t="s">
        <v>43</v>
      </c>
      <c r="B5" s="11">
        <v>0.13200000000000001</v>
      </c>
      <c r="C5" s="11">
        <v>0.13250000000000001</v>
      </c>
      <c r="D5" s="11">
        <v>0.13650000000000001</v>
      </c>
      <c r="E5" s="11">
        <v>0.1384</v>
      </c>
      <c r="F5" s="11">
        <v>0.14000000000000001</v>
      </c>
      <c r="G5" s="11">
        <v>0.14050000000000001</v>
      </c>
      <c r="H5" s="11">
        <v>0.1225</v>
      </c>
      <c r="I5" s="76">
        <v>5.0476428213266825E-2</v>
      </c>
      <c r="J5" s="76">
        <v>5.5217394751031885E-2</v>
      </c>
      <c r="K5" s="76">
        <v>6.268316398303278E-2</v>
      </c>
      <c r="L5" s="76">
        <v>7.6485374781015872E-2</v>
      </c>
      <c r="M5" s="76">
        <v>7.6700000000000004E-2</v>
      </c>
      <c r="N5" s="76">
        <v>7.6999999999999999E-2</v>
      </c>
      <c r="O5" s="76">
        <v>7.7200000000000005E-2</v>
      </c>
      <c r="P5" s="76">
        <v>7.7399999999999997E-2</v>
      </c>
      <c r="Q5" s="76">
        <v>7.7600000000000002E-2</v>
      </c>
      <c r="R5" s="76">
        <v>7.7799999999999994E-2</v>
      </c>
      <c r="S5" s="76">
        <v>7.8E-2</v>
      </c>
      <c r="T5" s="76">
        <v>7.8200000000000006E-2</v>
      </c>
      <c r="U5" s="76">
        <v>7.8399999999999997E-2</v>
      </c>
      <c r="V5" s="76">
        <v>7.8600000000000003E-2</v>
      </c>
    </row>
    <row r="6" spans="1:23" x14ac:dyDescent="0.25">
      <c r="A6" s="20" t="s">
        <v>44</v>
      </c>
      <c r="B6" s="11">
        <f>B7-SUM(B3:B5)</f>
        <v>0.10509999999999997</v>
      </c>
      <c r="C6" s="11">
        <f t="shared" ref="C6:V6" si="0">C7-SUM(C3:C5)</f>
        <v>0.10440000000000005</v>
      </c>
      <c r="D6" s="11">
        <f t="shared" si="0"/>
        <v>0.10240000000000005</v>
      </c>
      <c r="E6" s="11">
        <f t="shared" si="0"/>
        <v>9.870000000000001E-2</v>
      </c>
      <c r="F6" s="11">
        <f t="shared" si="0"/>
        <v>9.4600000000000017E-2</v>
      </c>
      <c r="G6" s="11">
        <f t="shared" si="0"/>
        <v>9.2099999999999849E-2</v>
      </c>
      <c r="H6" s="11">
        <f t="shared" si="0"/>
        <v>8.2699999999999996E-2</v>
      </c>
      <c r="I6" s="11">
        <f t="shared" si="0"/>
        <v>2.0854259120236973E-2</v>
      </c>
      <c r="J6" s="11">
        <f t="shared" si="0"/>
        <v>2.1094961885927299E-2</v>
      </c>
      <c r="K6" s="11">
        <f t="shared" si="0"/>
        <v>2.1354235609622574E-2</v>
      </c>
      <c r="L6" s="11">
        <f t="shared" si="0"/>
        <v>2.2317383233970922E-2</v>
      </c>
      <c r="M6" s="11">
        <f t="shared" si="0"/>
        <v>2.7300000000000213E-2</v>
      </c>
      <c r="N6" s="11">
        <f t="shared" si="0"/>
        <v>2.650000000000019E-2</v>
      </c>
      <c r="O6" s="11">
        <f t="shared" si="0"/>
        <v>2.5600000000000178E-2</v>
      </c>
      <c r="P6" s="11">
        <f t="shared" si="0"/>
        <v>2.4900000000000144E-2</v>
      </c>
      <c r="Q6" s="11">
        <f t="shared" si="0"/>
        <v>2.420000000000011E-2</v>
      </c>
      <c r="R6" s="11">
        <f t="shared" si="0"/>
        <v>2.3500000000000187E-2</v>
      </c>
      <c r="S6" s="11">
        <f t="shared" si="0"/>
        <v>2.2700000000000276E-2</v>
      </c>
      <c r="T6" s="11">
        <f t="shared" si="0"/>
        <v>2.2000000000000131E-2</v>
      </c>
      <c r="U6" s="11">
        <f t="shared" si="0"/>
        <v>2.1400000000000086E-2</v>
      </c>
      <c r="V6" s="11">
        <f t="shared" si="0"/>
        <v>2.0700000000000163E-2</v>
      </c>
    </row>
    <row r="7" spans="1:23" x14ac:dyDescent="0.25">
      <c r="A7" s="21" t="s">
        <v>24</v>
      </c>
      <c r="B7" s="22">
        <v>1</v>
      </c>
      <c r="C7" s="22">
        <v>1</v>
      </c>
      <c r="D7" s="22">
        <v>1</v>
      </c>
      <c r="E7" s="22">
        <v>1</v>
      </c>
      <c r="F7" s="22">
        <v>1</v>
      </c>
      <c r="G7" s="22">
        <v>1</v>
      </c>
      <c r="H7" s="22">
        <v>1</v>
      </c>
      <c r="I7" s="22">
        <v>1</v>
      </c>
      <c r="J7" s="22">
        <v>1</v>
      </c>
      <c r="K7" s="22">
        <v>1</v>
      </c>
      <c r="L7" s="22">
        <v>1</v>
      </c>
      <c r="M7" s="22">
        <v>1</v>
      </c>
      <c r="N7" s="22">
        <v>1</v>
      </c>
      <c r="O7" s="22">
        <v>1</v>
      </c>
      <c r="P7" s="22">
        <v>1</v>
      </c>
      <c r="Q7" s="22">
        <v>1</v>
      </c>
      <c r="R7" s="22">
        <v>1</v>
      </c>
      <c r="S7" s="22">
        <v>1</v>
      </c>
      <c r="T7" s="22">
        <v>1</v>
      </c>
      <c r="U7" s="22">
        <v>1</v>
      </c>
      <c r="V7" s="22">
        <v>1</v>
      </c>
    </row>
    <row r="8" spans="1:23" x14ac:dyDescent="0.25">
      <c r="K8" s="2">
        <f>'Production By Company'!K3</f>
        <v>54</v>
      </c>
      <c r="L8" s="2">
        <f>'Production By Company'!L3</f>
        <v>72</v>
      </c>
      <c r="M8" s="2">
        <f>'Production By Company'!M3</f>
        <v>76.5</v>
      </c>
      <c r="N8" s="2">
        <f>'Production By Company'!N3</f>
        <v>79.2</v>
      </c>
      <c r="O8" s="2">
        <f>'Production By Company'!O3</f>
        <v>81</v>
      </c>
      <c r="P8" s="2">
        <f>'Production By Company'!P3</f>
        <v>81</v>
      </c>
      <c r="Q8" s="2">
        <f>'Production By Company'!Q3</f>
        <v>82.8</v>
      </c>
      <c r="R8" s="2">
        <f>'Production By Company'!R3</f>
        <v>82.8</v>
      </c>
      <c r="S8" s="2">
        <f>'Production By Company'!S3</f>
        <v>85.5</v>
      </c>
      <c r="T8" s="2">
        <f>'Production By Company'!T3</f>
        <v>88.2</v>
      </c>
      <c r="U8" s="2">
        <f>'Production By Company'!U3</f>
        <v>90</v>
      </c>
      <c r="V8" s="2">
        <f>'Production By Company'!V3</f>
        <v>90</v>
      </c>
    </row>
    <row r="9" spans="1:23" ht="15.75" thickBot="1" x14ac:dyDescent="0.3">
      <c r="I9" s="2">
        <f>'Production By Company'!I2</f>
        <v>152</v>
      </c>
      <c r="J9" s="2">
        <f>'Production By Company'!J2</f>
        <v>156.80000000000001</v>
      </c>
      <c r="K9" s="2">
        <f>'Production By Company'!K2</f>
        <v>156.80000000000001</v>
      </c>
      <c r="L9" s="2">
        <f>'Production By Company'!L2</f>
        <v>156.80000000000001</v>
      </c>
      <c r="M9" s="2">
        <f>'Production By Company'!M2</f>
        <v>156.80000000000001</v>
      </c>
      <c r="N9" s="2">
        <f>'Production By Company'!N2</f>
        <v>156.80000000000001</v>
      </c>
      <c r="O9" s="2">
        <f>'Production By Company'!O2</f>
        <v>160</v>
      </c>
      <c r="P9" s="2">
        <f>'Production By Company'!P2</f>
        <v>160</v>
      </c>
      <c r="Q9" s="2">
        <f>'Production By Company'!Q2</f>
        <v>160</v>
      </c>
      <c r="R9" s="2">
        <f>'Production By Company'!R2</f>
        <v>160</v>
      </c>
      <c r="S9" s="2">
        <f>'Production By Company'!S2</f>
        <v>160</v>
      </c>
      <c r="T9" s="2">
        <f>'Production By Company'!T2</f>
        <v>160</v>
      </c>
      <c r="U9" s="2">
        <f>'Production By Company'!U2</f>
        <v>160</v>
      </c>
      <c r="V9" s="2">
        <f>'Production By Company'!V2</f>
        <v>160</v>
      </c>
    </row>
    <row r="10" spans="1:23" ht="15.75" thickBot="1" x14ac:dyDescent="0.3">
      <c r="A10" s="23" t="s">
        <v>65</v>
      </c>
      <c r="B10" s="13">
        <v>2015</v>
      </c>
      <c r="C10" s="13">
        <v>2016</v>
      </c>
      <c r="D10" s="13">
        <v>2017</v>
      </c>
      <c r="E10" s="13">
        <v>2018</v>
      </c>
      <c r="F10" s="13">
        <v>2019</v>
      </c>
      <c r="G10" s="13">
        <v>2020</v>
      </c>
      <c r="H10" s="13">
        <v>2021</v>
      </c>
      <c r="I10" s="13" t="s">
        <v>10</v>
      </c>
      <c r="J10" s="13" t="s">
        <v>11</v>
      </c>
      <c r="K10" s="13" t="s">
        <v>12</v>
      </c>
      <c r="L10" s="13" t="s">
        <v>13</v>
      </c>
      <c r="M10" s="13" t="s">
        <v>14</v>
      </c>
      <c r="N10" s="13" t="s">
        <v>15</v>
      </c>
      <c r="O10" s="13" t="s">
        <v>16</v>
      </c>
      <c r="P10" s="14" t="s">
        <v>17</v>
      </c>
      <c r="Q10" s="15" t="s">
        <v>18</v>
      </c>
      <c r="R10" s="16" t="s">
        <v>19</v>
      </c>
      <c r="S10" s="16" t="s">
        <v>40</v>
      </c>
      <c r="T10" s="16" t="s">
        <v>21</v>
      </c>
      <c r="U10" s="16" t="s">
        <v>22</v>
      </c>
      <c r="V10" s="16" t="s">
        <v>23</v>
      </c>
    </row>
    <row r="11" spans="1:23" x14ac:dyDescent="0.25">
      <c r="A11" s="24" t="s">
        <v>41</v>
      </c>
      <c r="B11" s="25">
        <f>ROUND(B3*B$15,2)</f>
        <v>4.47</v>
      </c>
      <c r="C11" s="25">
        <f t="shared" ref="C11:H13" si="1">ROUND(C3*C$15,2)</f>
        <v>4.75</v>
      </c>
      <c r="D11" s="25">
        <f t="shared" si="1"/>
        <v>4.21</v>
      </c>
      <c r="E11" s="25">
        <f t="shared" si="1"/>
        <v>6.32</v>
      </c>
      <c r="F11" s="25">
        <f t="shared" si="1"/>
        <v>13.23</v>
      </c>
      <c r="G11" s="25">
        <f t="shared" si="1"/>
        <v>21.73</v>
      </c>
      <c r="H11" s="25">
        <f t="shared" si="1"/>
        <v>24.65</v>
      </c>
      <c r="I11" s="25">
        <v>33.17</v>
      </c>
      <c r="J11" s="25">
        <f>ROUND(J3*J$15,2)</f>
        <v>37.090000000000003</v>
      </c>
      <c r="K11" s="25">
        <f t="shared" ref="K11:V11" si="2">ROUND(K3*K$15,2)</f>
        <v>65.569999999999993</v>
      </c>
      <c r="L11" s="25">
        <f t="shared" si="2"/>
        <v>70.33</v>
      </c>
      <c r="M11" s="25">
        <f t="shared" si="2"/>
        <v>74.73</v>
      </c>
      <c r="N11" s="25">
        <f t="shared" si="2"/>
        <v>78.97</v>
      </c>
      <c r="O11" s="25">
        <f t="shared" si="2"/>
        <v>83.52</v>
      </c>
      <c r="P11" s="25">
        <f t="shared" si="2"/>
        <v>88.36</v>
      </c>
      <c r="Q11" s="25">
        <f t="shared" si="2"/>
        <v>93.54</v>
      </c>
      <c r="R11" s="25">
        <f t="shared" si="2"/>
        <v>99.07</v>
      </c>
      <c r="S11" s="25">
        <f t="shared" si="2"/>
        <v>105.02</v>
      </c>
      <c r="T11" s="25">
        <f t="shared" si="2"/>
        <v>111.52</v>
      </c>
      <c r="U11" s="25">
        <f t="shared" si="2"/>
        <v>118.47</v>
      </c>
      <c r="V11" s="25">
        <f t="shared" si="2"/>
        <v>125.95</v>
      </c>
      <c r="W11" s="75"/>
    </row>
    <row r="12" spans="1:23" x14ac:dyDescent="0.25">
      <c r="A12" s="26" t="s">
        <v>42</v>
      </c>
      <c r="B12" s="25">
        <f t="shared" ref="B12:H13" si="3">ROUND(B4*B$15,2)</f>
        <v>0.72</v>
      </c>
      <c r="C12" s="25">
        <f t="shared" si="3"/>
        <v>0.76</v>
      </c>
      <c r="D12" s="25">
        <f t="shared" si="3"/>
        <v>0.7</v>
      </c>
      <c r="E12" s="25">
        <f t="shared" si="3"/>
        <v>1.08</v>
      </c>
      <c r="F12" s="25">
        <f t="shared" si="3"/>
        <v>2.35</v>
      </c>
      <c r="G12" s="25">
        <f t="shared" si="3"/>
        <v>4</v>
      </c>
      <c r="H12" s="25">
        <f t="shared" si="3"/>
        <v>9.57</v>
      </c>
      <c r="I12" s="25">
        <v>139.22</v>
      </c>
      <c r="J12" s="25">
        <f t="shared" ref="J12:V13" si="4">ROUND(J4*J$15,2)</f>
        <v>137.71</v>
      </c>
      <c r="K12" s="25">
        <f t="shared" si="4"/>
        <v>116.86</v>
      </c>
      <c r="L12" s="25">
        <f t="shared" si="4"/>
        <v>118.8</v>
      </c>
      <c r="M12" s="25">
        <f t="shared" si="4"/>
        <v>123.55</v>
      </c>
      <c r="N12" s="25">
        <f t="shared" si="4"/>
        <v>130.47999999999999</v>
      </c>
      <c r="O12" s="25">
        <f t="shared" si="4"/>
        <v>137.91</v>
      </c>
      <c r="P12" s="25">
        <f t="shared" si="4"/>
        <v>145.83000000000001</v>
      </c>
      <c r="Q12" s="25">
        <f t="shared" si="4"/>
        <v>154.30000000000001</v>
      </c>
      <c r="R12" s="25">
        <f t="shared" si="4"/>
        <v>163.41</v>
      </c>
      <c r="S12" s="25">
        <f t="shared" si="4"/>
        <v>173.16</v>
      </c>
      <c r="T12" s="25">
        <f t="shared" si="4"/>
        <v>183.79</v>
      </c>
      <c r="U12" s="25">
        <f t="shared" si="4"/>
        <v>195.2</v>
      </c>
      <c r="V12" s="25">
        <f t="shared" si="4"/>
        <v>207.51</v>
      </c>
    </row>
    <row r="13" spans="1:23" x14ac:dyDescent="0.25">
      <c r="A13" s="26" t="s">
        <v>43</v>
      </c>
      <c r="B13" s="25">
        <f t="shared" si="3"/>
        <v>0.9</v>
      </c>
      <c r="C13" s="25">
        <f t="shared" si="1"/>
        <v>0.96</v>
      </c>
      <c r="D13" s="25">
        <f t="shared" si="1"/>
        <v>0.88</v>
      </c>
      <c r="E13" s="25">
        <f t="shared" si="1"/>
        <v>1.34</v>
      </c>
      <c r="F13" s="25">
        <f t="shared" si="1"/>
        <v>2.85</v>
      </c>
      <c r="G13" s="25">
        <f t="shared" si="1"/>
        <v>4.71</v>
      </c>
      <c r="H13" s="25">
        <f t="shared" si="1"/>
        <v>5.27</v>
      </c>
      <c r="I13" s="25">
        <v>9.3699999999999992</v>
      </c>
      <c r="J13" s="25">
        <f t="shared" si="4"/>
        <v>10.45</v>
      </c>
      <c r="K13" s="25">
        <f t="shared" si="4"/>
        <v>12.48</v>
      </c>
      <c r="L13" s="25">
        <f t="shared" si="4"/>
        <v>16.05</v>
      </c>
      <c r="M13" s="25">
        <f t="shared" si="4"/>
        <v>16.97</v>
      </c>
      <c r="N13" s="25">
        <f t="shared" si="4"/>
        <v>17.989999999999998</v>
      </c>
      <c r="O13" s="25">
        <f t="shared" si="4"/>
        <v>19.05</v>
      </c>
      <c r="P13" s="25">
        <f t="shared" si="4"/>
        <v>20.190000000000001</v>
      </c>
      <c r="Q13" s="25">
        <f t="shared" si="4"/>
        <v>21.41</v>
      </c>
      <c r="R13" s="25">
        <f t="shared" si="4"/>
        <v>22.72</v>
      </c>
      <c r="S13" s="25">
        <f t="shared" si="4"/>
        <v>24.13</v>
      </c>
      <c r="T13" s="25">
        <f t="shared" si="4"/>
        <v>25.66</v>
      </c>
      <c r="U13" s="25">
        <f t="shared" si="4"/>
        <v>27.32</v>
      </c>
      <c r="V13" s="25">
        <f t="shared" si="4"/>
        <v>29.1</v>
      </c>
    </row>
    <row r="14" spans="1:23" ht="15.75" thickBot="1" x14ac:dyDescent="0.3">
      <c r="A14" s="27" t="s">
        <v>44</v>
      </c>
      <c r="B14" s="10">
        <f>B15-SUM(B11:B13)</f>
        <v>0.72053794469999755</v>
      </c>
      <c r="C14" s="10">
        <f t="shared" ref="C14:V14" si="5">C15-SUM(C11:C13)</f>
        <v>0.74592770914000095</v>
      </c>
      <c r="D14" s="10">
        <f t="shared" si="5"/>
        <v>0.65832681840000085</v>
      </c>
      <c r="E14" s="10">
        <f t="shared" si="5"/>
        <v>0.95325604100000305</v>
      </c>
      <c r="F14" s="10">
        <f t="shared" si="5"/>
        <v>1.9199138158999958</v>
      </c>
      <c r="G14" s="10">
        <f t="shared" si="5"/>
        <v>3.0925710927699974</v>
      </c>
      <c r="H14" s="10">
        <f t="shared" si="5"/>
        <v>3.5636489999999981</v>
      </c>
      <c r="I14" s="10">
        <f t="shared" si="5"/>
        <v>3.8712011700000346</v>
      </c>
      <c r="J14" s="10">
        <f t="shared" si="5"/>
        <v>3.9840000000000089</v>
      </c>
      <c r="K14" s="10">
        <f t="shared" si="5"/>
        <v>4.2587850000000174</v>
      </c>
      <c r="L14" s="10">
        <f t="shared" si="5"/>
        <v>4.6841487545000007</v>
      </c>
      <c r="M14" s="10">
        <f t="shared" si="5"/>
        <v>6.05174486162025</v>
      </c>
      <c r="N14" s="10">
        <f t="shared" si="5"/>
        <v>6.1882520504125011</v>
      </c>
      <c r="O14" s="10">
        <f t="shared" si="5"/>
        <v>6.324885466055747</v>
      </c>
      <c r="P14" s="10">
        <f t="shared" si="5"/>
        <v>6.492763937620964</v>
      </c>
      <c r="Q14" s="10">
        <f t="shared" si="5"/>
        <v>6.6751224168216368</v>
      </c>
      <c r="R14" s="10">
        <f t="shared" si="5"/>
        <v>6.866742078205732</v>
      </c>
      <c r="S14" s="10">
        <f t="shared" si="5"/>
        <v>7.017886535027742</v>
      </c>
      <c r="T14" s="10">
        <f t="shared" si="5"/>
        <v>7.2268876136644167</v>
      </c>
      <c r="U14" s="10">
        <f t="shared" si="5"/>
        <v>7.4566355794275978</v>
      </c>
      <c r="V14" s="10">
        <f t="shared" si="5"/>
        <v>7.6645503031417661</v>
      </c>
    </row>
    <row r="15" spans="1:23" x14ac:dyDescent="0.25">
      <c r="A15" s="21" t="s">
        <v>24</v>
      </c>
      <c r="B15" s="57">
        <f>'Demand Supply Gap'!B7</f>
        <v>6.8105379446999974</v>
      </c>
      <c r="C15" s="57">
        <f>'Demand Supply Gap'!C7</f>
        <v>7.2159277091400007</v>
      </c>
      <c r="D15" s="57">
        <f>'Demand Supply Gap'!D7</f>
        <v>6.4483268184000009</v>
      </c>
      <c r="E15" s="57">
        <f>'Demand Supply Gap'!E7</f>
        <v>9.6932560410000033</v>
      </c>
      <c r="F15" s="57">
        <f>'Demand Supply Gap'!F7</f>
        <v>20.349913815899995</v>
      </c>
      <c r="G15" s="57">
        <f>'Demand Supply Gap'!G7</f>
        <v>33.532571092769999</v>
      </c>
      <c r="H15" s="57">
        <f>'Demand Supply Gap'!H7</f>
        <v>43.053648999999993</v>
      </c>
      <c r="I15" s="57">
        <f>'Demand Supply Gap'!I7</f>
        <v>185.63120117000003</v>
      </c>
      <c r="J15" s="57">
        <f>'Demand Supply Gap'!J7</f>
        <v>189.23400000000001</v>
      </c>
      <c r="K15" s="57">
        <f>'Demand Supply Gap'!K7</f>
        <v>199.16878500000001</v>
      </c>
      <c r="L15" s="57">
        <f>'Demand Supply Gap'!L7</f>
        <v>209.86414875450001</v>
      </c>
      <c r="M15" s="57">
        <f>'Demand Supply Gap'!M7</f>
        <v>221.30174486162025</v>
      </c>
      <c r="N15" s="57">
        <f>'Demand Supply Gap'!N7</f>
        <v>233.6282520504125</v>
      </c>
      <c r="O15" s="57">
        <f>'Demand Supply Gap'!O7</f>
        <v>246.80488546605577</v>
      </c>
      <c r="P15" s="57">
        <f>'Demand Supply Gap'!P7</f>
        <v>260.87276393762096</v>
      </c>
      <c r="Q15" s="57">
        <f>'Demand Supply Gap'!Q7</f>
        <v>275.92512241682169</v>
      </c>
      <c r="R15" s="57">
        <f>'Demand Supply Gap'!R7</f>
        <v>292.06674207820578</v>
      </c>
      <c r="S15" s="57">
        <f>'Demand Supply Gap'!S7</f>
        <v>309.32788653502774</v>
      </c>
      <c r="T15" s="57">
        <f>'Demand Supply Gap'!T7</f>
        <v>328.19688761366444</v>
      </c>
      <c r="U15" s="57">
        <f>'Demand Supply Gap'!U7</f>
        <v>348.44663557942755</v>
      </c>
      <c r="V15" s="57">
        <f>'Demand Supply Gap'!V7</f>
        <v>370.22455030314177</v>
      </c>
    </row>
    <row r="16" spans="1:23" x14ac:dyDescent="0.25">
      <c r="B16">
        <v>6.8105379446999974</v>
      </c>
      <c r="C16">
        <v>7.2159277091400007</v>
      </c>
      <c r="D16">
        <v>6.4483268184000009</v>
      </c>
      <c r="E16">
        <v>9.6932560410000033</v>
      </c>
      <c r="F16">
        <v>20.349913815899995</v>
      </c>
      <c r="G16">
        <v>33.532571092769999</v>
      </c>
      <c r="H16">
        <v>43.053648999999993</v>
      </c>
      <c r="I16">
        <v>185.63120117000003</v>
      </c>
      <c r="J16">
        <v>195.22833427048903</v>
      </c>
      <c r="K16">
        <v>205.47782181968969</v>
      </c>
      <c r="L16">
        <v>216.51198085140703</v>
      </c>
      <c r="M16" s="25">
        <v>228.31188380780873</v>
      </c>
      <c r="N16" s="25">
        <v>241.02885573590368</v>
      </c>
      <c r="O16" s="25">
        <v>254.62288319940865</v>
      </c>
      <c r="P16" s="25">
        <v>269.13638754177492</v>
      </c>
      <c r="Q16" s="25">
        <v>284.66555710293534</v>
      </c>
      <c r="R16" s="25">
        <v>301.31849219345708</v>
      </c>
      <c r="S16" s="25">
        <v>319.12641508209038</v>
      </c>
      <c r="T16" s="25">
        <v>338.59312640209788</v>
      </c>
      <c r="U16" s="25">
        <v>359.48432230110734</v>
      </c>
      <c r="V16" s="25">
        <v>381.95209244492656</v>
      </c>
    </row>
    <row r="17" spans="1:22" x14ac:dyDescent="0.25">
      <c r="M17" s="61"/>
      <c r="N17" s="61"/>
      <c r="O17" s="61"/>
      <c r="P17" s="61"/>
      <c r="Q17" s="61"/>
      <c r="R17" s="61"/>
      <c r="S17" s="61"/>
      <c r="T17" s="61"/>
      <c r="U17" s="61"/>
      <c r="V17" s="61"/>
    </row>
    <row r="18" spans="1:22" x14ac:dyDescent="0.25">
      <c r="M18" s="61"/>
      <c r="N18" s="61"/>
      <c r="O18" s="61"/>
      <c r="P18" s="61"/>
      <c r="Q18" s="61"/>
      <c r="R18" s="61"/>
      <c r="S18" s="61"/>
      <c r="T18" s="61"/>
      <c r="U18" s="61"/>
      <c r="V18" s="61"/>
    </row>
    <row r="19" spans="1:22" x14ac:dyDescent="0.25">
      <c r="M19" s="61"/>
      <c r="N19" s="61"/>
      <c r="O19" s="61"/>
      <c r="P19" s="61"/>
      <c r="Q19" s="61"/>
      <c r="R19" s="61"/>
      <c r="S19" s="61"/>
      <c r="T19" s="61"/>
      <c r="U19" s="61"/>
      <c r="V19" s="61"/>
    </row>
    <row r="20" spans="1:22" x14ac:dyDescent="0.25">
      <c r="M20" s="61"/>
      <c r="N20" s="61"/>
      <c r="O20" s="61"/>
      <c r="P20" s="61"/>
      <c r="Q20" s="61"/>
      <c r="R20" s="61"/>
      <c r="S20" s="61"/>
      <c r="T20" s="61"/>
      <c r="U20" s="61"/>
      <c r="V20" s="61"/>
    </row>
    <row r="21" spans="1:22" x14ac:dyDescent="0.25">
      <c r="M21" s="61"/>
      <c r="N21" s="61"/>
      <c r="O21" s="61"/>
      <c r="P21" s="61"/>
      <c r="Q21" s="61"/>
      <c r="R21" s="61"/>
      <c r="S21" s="61"/>
      <c r="T21" s="61"/>
      <c r="U21" s="61"/>
      <c r="V21" s="61"/>
    </row>
    <row r="22" spans="1:22" ht="15.75" thickBot="1" x14ac:dyDescent="0.3">
      <c r="A22" s="73" t="s">
        <v>45</v>
      </c>
    </row>
    <row r="23" spans="1:22" ht="15.75" thickBot="1" x14ac:dyDescent="0.3">
      <c r="A23" s="71" t="s">
        <v>64</v>
      </c>
      <c r="B23" s="13">
        <v>2015</v>
      </c>
      <c r="C23" s="13">
        <v>2016</v>
      </c>
      <c r="D23" s="13">
        <v>2017</v>
      </c>
      <c r="E23" s="13">
        <v>2018</v>
      </c>
      <c r="F23" s="13">
        <v>2019</v>
      </c>
      <c r="G23" s="13">
        <v>2020</v>
      </c>
      <c r="H23" s="13">
        <v>2021</v>
      </c>
      <c r="I23" s="13" t="s">
        <v>10</v>
      </c>
      <c r="J23" s="13" t="s">
        <v>11</v>
      </c>
      <c r="K23" s="13" t="s">
        <v>12</v>
      </c>
      <c r="L23" s="13" t="s">
        <v>13</v>
      </c>
      <c r="M23" s="13" t="s">
        <v>14</v>
      </c>
      <c r="N23" s="13" t="s">
        <v>15</v>
      </c>
      <c r="O23" s="13" t="s">
        <v>16</v>
      </c>
      <c r="P23" s="14" t="s">
        <v>17</v>
      </c>
      <c r="Q23" s="15" t="s">
        <v>18</v>
      </c>
      <c r="R23" s="16" t="s">
        <v>19</v>
      </c>
      <c r="S23" s="16" t="s">
        <v>40</v>
      </c>
      <c r="T23" s="16" t="s">
        <v>21</v>
      </c>
      <c r="U23" s="16" t="s">
        <v>22</v>
      </c>
      <c r="V23" s="16" t="s">
        <v>23</v>
      </c>
    </row>
    <row r="24" spans="1:22" x14ac:dyDescent="0.25">
      <c r="A24" s="17" t="s">
        <v>41</v>
      </c>
      <c r="B24" s="11">
        <f t="shared" ref="B24:V24" si="6">B3-0.67%</f>
        <v>0.65029999999999999</v>
      </c>
      <c r="C24" s="11">
        <f t="shared" si="6"/>
        <v>0.65159999999999996</v>
      </c>
      <c r="D24" s="11">
        <f t="shared" si="6"/>
        <v>0.64599999999999991</v>
      </c>
      <c r="E24" s="11">
        <f t="shared" si="6"/>
        <v>0.64479999999999993</v>
      </c>
      <c r="F24" s="11">
        <f t="shared" si="6"/>
        <v>0.64329999999999998</v>
      </c>
      <c r="G24" s="11">
        <f t="shared" si="6"/>
        <v>0.64139999999999997</v>
      </c>
      <c r="H24" s="11">
        <f t="shared" si="6"/>
        <v>0.56579999999999997</v>
      </c>
      <c r="I24" s="11">
        <f t="shared" si="6"/>
        <v>0.17198763328004918</v>
      </c>
      <c r="J24" s="11">
        <f t="shared" si="6"/>
        <v>0.18927565150041556</v>
      </c>
      <c r="K24" s="11">
        <f t="shared" si="6"/>
        <v>0.3225326120692677</v>
      </c>
      <c r="L24" s="11">
        <f t="shared" si="6"/>
        <v>0.32843156969266379</v>
      </c>
      <c r="M24" s="11">
        <f t="shared" si="6"/>
        <v>0.33100000000000002</v>
      </c>
      <c r="N24" s="11">
        <f t="shared" si="6"/>
        <v>0.33130000000000004</v>
      </c>
      <c r="O24" s="11">
        <f t="shared" si="6"/>
        <v>0.33169999999999999</v>
      </c>
      <c r="P24" s="11">
        <f t="shared" si="6"/>
        <v>0.33200000000000002</v>
      </c>
      <c r="Q24" s="11">
        <f t="shared" si="6"/>
        <v>0.33230000000000004</v>
      </c>
      <c r="R24" s="11">
        <f t="shared" si="6"/>
        <v>0.33250000000000002</v>
      </c>
      <c r="S24" s="11">
        <f t="shared" si="6"/>
        <v>0.33280000000000004</v>
      </c>
      <c r="T24" s="11">
        <f t="shared" si="6"/>
        <v>0.33310000000000001</v>
      </c>
      <c r="U24" s="11">
        <f t="shared" si="6"/>
        <v>0.33330000000000004</v>
      </c>
      <c r="V24" s="11">
        <f t="shared" si="6"/>
        <v>0.33350000000000002</v>
      </c>
    </row>
    <row r="25" spans="1:22" x14ac:dyDescent="0.25">
      <c r="A25" s="19" t="s">
        <v>42</v>
      </c>
      <c r="B25" s="11">
        <f t="shared" ref="B25:H25" si="7">B4+0.71%</f>
        <v>0.11299999999999999</v>
      </c>
      <c r="C25" s="11">
        <f t="shared" si="7"/>
        <v>0.1119</v>
      </c>
      <c r="D25" s="11">
        <f t="shared" si="7"/>
        <v>0.11550000000000005</v>
      </c>
      <c r="E25" s="11">
        <f t="shared" si="7"/>
        <v>0.11850000000000005</v>
      </c>
      <c r="F25" s="11">
        <f t="shared" si="7"/>
        <v>0.12249999999999994</v>
      </c>
      <c r="G25" s="11">
        <f t="shared" si="7"/>
        <v>0.12640000000000007</v>
      </c>
      <c r="H25" s="11">
        <f t="shared" si="7"/>
        <v>0.22939999999999994</v>
      </c>
      <c r="I25" s="11">
        <f t="shared" ref="I25:V25" si="8">I4-0.71%</f>
        <v>0.742881679386447</v>
      </c>
      <c r="J25" s="11">
        <f t="shared" si="8"/>
        <v>0.72061199186262526</v>
      </c>
      <c r="K25" s="11">
        <f t="shared" si="8"/>
        <v>0.579629988338077</v>
      </c>
      <c r="L25" s="11">
        <f t="shared" si="8"/>
        <v>0.55896567229234939</v>
      </c>
      <c r="M25" s="11">
        <f t="shared" si="8"/>
        <v>0.5511999999999998</v>
      </c>
      <c r="N25" s="11">
        <f t="shared" si="8"/>
        <v>0.55139999999999978</v>
      </c>
      <c r="O25" s="11">
        <f t="shared" si="8"/>
        <v>0.55169999999999975</v>
      </c>
      <c r="P25" s="11">
        <f t="shared" si="8"/>
        <v>0.55189999999999984</v>
      </c>
      <c r="Q25" s="11">
        <f t="shared" si="8"/>
        <v>0.55209999999999981</v>
      </c>
      <c r="R25" s="11">
        <f t="shared" si="8"/>
        <v>0.55239999999999978</v>
      </c>
      <c r="S25" s="11">
        <f t="shared" si="8"/>
        <v>0.55269999999999975</v>
      </c>
      <c r="T25" s="11">
        <f t="shared" si="8"/>
        <v>0.55289999999999984</v>
      </c>
      <c r="U25" s="11">
        <f t="shared" si="8"/>
        <v>0.55309999999999981</v>
      </c>
      <c r="V25" s="11">
        <f t="shared" si="8"/>
        <v>0.55339999999999978</v>
      </c>
    </row>
    <row r="26" spans="1:22" x14ac:dyDescent="0.25">
      <c r="A26" s="19" t="s">
        <v>43</v>
      </c>
      <c r="B26" s="11">
        <f t="shared" ref="B26:V26" si="9">B5+0.32%</f>
        <v>0.13520000000000001</v>
      </c>
      <c r="C26" s="11">
        <f t="shared" si="9"/>
        <v>0.13570000000000002</v>
      </c>
      <c r="D26" s="11">
        <f t="shared" si="9"/>
        <v>0.13970000000000002</v>
      </c>
      <c r="E26" s="11">
        <f t="shared" si="9"/>
        <v>0.1416</v>
      </c>
      <c r="F26" s="11">
        <f t="shared" si="9"/>
        <v>0.14320000000000002</v>
      </c>
      <c r="G26" s="11">
        <f t="shared" si="9"/>
        <v>0.14370000000000002</v>
      </c>
      <c r="H26" s="11">
        <f t="shared" si="9"/>
        <v>0.12570000000000001</v>
      </c>
      <c r="I26" s="11">
        <f t="shared" si="9"/>
        <v>5.3676428213266826E-2</v>
      </c>
      <c r="J26" s="11">
        <f t="shared" si="9"/>
        <v>5.8417394751031887E-2</v>
      </c>
      <c r="K26" s="11">
        <f t="shared" si="9"/>
        <v>6.5883163983032775E-2</v>
      </c>
      <c r="L26" s="11">
        <f t="shared" si="9"/>
        <v>7.9685374781015866E-2</v>
      </c>
      <c r="M26" s="11">
        <f t="shared" si="9"/>
        <v>7.9899999999999999E-2</v>
      </c>
      <c r="N26" s="11">
        <f t="shared" si="9"/>
        <v>8.0199999999999994E-2</v>
      </c>
      <c r="O26" s="11">
        <f t="shared" si="9"/>
        <v>8.0399999999999999E-2</v>
      </c>
      <c r="P26" s="11">
        <f t="shared" si="9"/>
        <v>8.0599999999999991E-2</v>
      </c>
      <c r="Q26" s="11">
        <f t="shared" si="9"/>
        <v>8.0799999999999997E-2</v>
      </c>
      <c r="R26" s="11">
        <f t="shared" si="9"/>
        <v>8.0999999999999989E-2</v>
      </c>
      <c r="S26" s="11">
        <f t="shared" si="9"/>
        <v>8.1199999999999994E-2</v>
      </c>
      <c r="T26" s="11">
        <f t="shared" si="9"/>
        <v>8.14E-2</v>
      </c>
      <c r="U26" s="11">
        <f t="shared" si="9"/>
        <v>8.1599999999999992E-2</v>
      </c>
      <c r="V26" s="11">
        <f t="shared" si="9"/>
        <v>8.1799999999999998E-2</v>
      </c>
    </row>
    <row r="27" spans="1:22" x14ac:dyDescent="0.25">
      <c r="A27" s="20" t="s">
        <v>44</v>
      </c>
      <c r="B27" s="11">
        <f>B28-SUM(B24:B26)</f>
        <v>0.10150000000000003</v>
      </c>
      <c r="C27" s="11">
        <f t="shared" ref="C27:V27" si="10">C28-SUM(C24:C26)</f>
        <v>0.1008</v>
      </c>
      <c r="D27" s="11">
        <f t="shared" si="10"/>
        <v>9.8799999999999999E-2</v>
      </c>
      <c r="E27" s="11">
        <f t="shared" si="10"/>
        <v>9.5099999999999962E-2</v>
      </c>
      <c r="F27" s="11">
        <f t="shared" si="10"/>
        <v>9.1000000000000081E-2</v>
      </c>
      <c r="G27" s="11">
        <f t="shared" si="10"/>
        <v>8.8499999999999912E-2</v>
      </c>
      <c r="H27" s="11">
        <f t="shared" si="10"/>
        <v>7.9100000000000059E-2</v>
      </c>
      <c r="I27" s="11">
        <f t="shared" si="10"/>
        <v>3.1454259120237027E-2</v>
      </c>
      <c r="J27" s="11">
        <f t="shared" si="10"/>
        <v>3.1694961885927242E-2</v>
      </c>
      <c r="K27" s="11">
        <f t="shared" si="10"/>
        <v>3.1954235609622628E-2</v>
      </c>
      <c r="L27" s="11">
        <f t="shared" si="10"/>
        <v>3.2917383233970976E-2</v>
      </c>
      <c r="M27" s="11">
        <f t="shared" si="10"/>
        <v>3.7900000000000156E-2</v>
      </c>
      <c r="N27" s="11">
        <f t="shared" si="10"/>
        <v>3.7100000000000133E-2</v>
      </c>
      <c r="O27" s="11">
        <f t="shared" si="10"/>
        <v>3.6200000000000232E-2</v>
      </c>
      <c r="P27" s="11">
        <f t="shared" si="10"/>
        <v>3.5500000000000087E-2</v>
      </c>
      <c r="Q27" s="11">
        <f t="shared" si="10"/>
        <v>3.4800000000000164E-2</v>
      </c>
      <c r="R27" s="11">
        <f t="shared" si="10"/>
        <v>3.4100000000000241E-2</v>
      </c>
      <c r="S27" s="11">
        <f t="shared" si="10"/>
        <v>3.3300000000000329E-2</v>
      </c>
      <c r="T27" s="11">
        <f t="shared" si="10"/>
        <v>3.2600000000000073E-2</v>
      </c>
      <c r="U27" s="11">
        <f t="shared" si="10"/>
        <v>3.2000000000000139E-2</v>
      </c>
      <c r="V27" s="11">
        <f t="shared" si="10"/>
        <v>3.1300000000000217E-2</v>
      </c>
    </row>
    <row r="28" spans="1:22" x14ac:dyDescent="0.25">
      <c r="A28" s="21" t="s">
        <v>24</v>
      </c>
      <c r="B28" s="22">
        <v>1</v>
      </c>
      <c r="C28" s="22">
        <v>1</v>
      </c>
      <c r="D28" s="22">
        <v>1</v>
      </c>
      <c r="E28" s="22">
        <v>1</v>
      </c>
      <c r="F28" s="22">
        <v>1</v>
      </c>
      <c r="G28" s="22">
        <v>1</v>
      </c>
      <c r="H28" s="22">
        <v>1</v>
      </c>
      <c r="I28" s="22">
        <v>1</v>
      </c>
      <c r="J28" s="22">
        <v>1</v>
      </c>
      <c r="K28" s="22">
        <v>1</v>
      </c>
      <c r="L28" s="22">
        <v>1</v>
      </c>
      <c r="M28" s="22">
        <v>1</v>
      </c>
      <c r="N28" s="22">
        <v>1</v>
      </c>
      <c r="O28" s="22">
        <v>1</v>
      </c>
      <c r="P28" s="22">
        <v>1</v>
      </c>
      <c r="Q28" s="22">
        <v>1</v>
      </c>
      <c r="R28" s="22">
        <v>1</v>
      </c>
      <c r="S28" s="22">
        <v>1</v>
      </c>
      <c r="T28" s="22">
        <v>1</v>
      </c>
      <c r="U28" s="22">
        <v>1</v>
      </c>
      <c r="V28" s="22">
        <v>1</v>
      </c>
    </row>
    <row r="30" spans="1:22" ht="15.75" thickBot="1" x14ac:dyDescent="0.3"/>
    <row r="31" spans="1:22" ht="15.75" thickBot="1" x14ac:dyDescent="0.3">
      <c r="A31" s="23" t="s">
        <v>65</v>
      </c>
      <c r="B31" s="13">
        <v>2015</v>
      </c>
      <c r="C31" s="13">
        <v>2016</v>
      </c>
      <c r="D31" s="13">
        <v>2017</v>
      </c>
      <c r="E31" s="13">
        <v>2018</v>
      </c>
      <c r="F31" s="13">
        <v>2019</v>
      </c>
      <c r="G31" s="13">
        <v>2020</v>
      </c>
      <c r="H31" s="13">
        <v>2021</v>
      </c>
      <c r="I31" s="13" t="s">
        <v>10</v>
      </c>
      <c r="J31" s="13" t="s">
        <v>11</v>
      </c>
      <c r="K31" s="13" t="s">
        <v>12</v>
      </c>
      <c r="L31" s="13" t="s">
        <v>13</v>
      </c>
      <c r="M31" s="13" t="s">
        <v>14</v>
      </c>
      <c r="N31" s="13" t="s">
        <v>15</v>
      </c>
      <c r="O31" s="13" t="s">
        <v>16</v>
      </c>
      <c r="P31" s="14" t="s">
        <v>17</v>
      </c>
      <c r="Q31" s="15" t="s">
        <v>18</v>
      </c>
      <c r="R31" s="16" t="s">
        <v>19</v>
      </c>
      <c r="S31" s="16" t="s">
        <v>40</v>
      </c>
      <c r="T31" s="16" t="s">
        <v>21</v>
      </c>
      <c r="U31" s="16" t="s">
        <v>22</v>
      </c>
      <c r="V31" s="16" t="s">
        <v>23</v>
      </c>
    </row>
    <row r="32" spans="1:22" x14ac:dyDescent="0.25">
      <c r="A32" s="24" t="s">
        <v>41</v>
      </c>
      <c r="B32" s="25">
        <f>ROUND(B24*B$36,2)</f>
        <v>6.02</v>
      </c>
      <c r="C32" s="25">
        <f t="shared" ref="C32:V32" si="11">ROUND(C24*C$36,2)</f>
        <v>5.36</v>
      </c>
      <c r="D32" s="25">
        <f t="shared" si="11"/>
        <v>6.13</v>
      </c>
      <c r="E32" s="25">
        <f t="shared" si="11"/>
        <v>9.91</v>
      </c>
      <c r="F32" s="25">
        <f t="shared" si="11"/>
        <v>19.37</v>
      </c>
      <c r="G32" s="25">
        <f t="shared" si="11"/>
        <v>28.3</v>
      </c>
      <c r="H32" s="25">
        <f t="shared" si="11"/>
        <v>48.67</v>
      </c>
      <c r="I32" s="25">
        <f t="shared" si="11"/>
        <v>67.680000000000007</v>
      </c>
      <c r="J32" s="25">
        <f t="shared" si="11"/>
        <v>78.12</v>
      </c>
      <c r="K32" s="25">
        <f t="shared" si="11"/>
        <v>143.62</v>
      </c>
      <c r="L32" s="25">
        <f t="shared" si="11"/>
        <v>157.94999999999999</v>
      </c>
      <c r="M32" s="25">
        <f t="shared" si="11"/>
        <v>172.06</v>
      </c>
      <c r="N32" s="25">
        <f t="shared" si="11"/>
        <v>186.35</v>
      </c>
      <c r="O32" s="25">
        <f t="shared" si="11"/>
        <v>202.03</v>
      </c>
      <c r="P32" s="25">
        <f t="shared" si="11"/>
        <v>219.08</v>
      </c>
      <c r="Q32" s="25">
        <f t="shared" si="11"/>
        <v>237.73</v>
      </c>
      <c r="R32" s="25">
        <f t="shared" si="11"/>
        <v>260.60000000000002</v>
      </c>
      <c r="S32" s="25">
        <f t="shared" si="11"/>
        <v>285.92</v>
      </c>
      <c r="T32" s="25">
        <f t="shared" si="11"/>
        <v>314.26</v>
      </c>
      <c r="U32" s="25">
        <f t="shared" si="11"/>
        <v>345.54</v>
      </c>
      <c r="V32" s="25">
        <f t="shared" si="11"/>
        <v>380.21</v>
      </c>
    </row>
    <row r="33" spans="1:22" x14ac:dyDescent="0.25">
      <c r="A33" s="26" t="s">
        <v>42</v>
      </c>
      <c r="B33" s="25">
        <f t="shared" ref="B33:V33" si="12">ROUND(B25*B$36,2)</f>
        <v>1.05</v>
      </c>
      <c r="C33" s="25">
        <f t="shared" si="12"/>
        <v>0.92</v>
      </c>
      <c r="D33" s="25">
        <f t="shared" si="12"/>
        <v>1.1000000000000001</v>
      </c>
      <c r="E33" s="25">
        <f t="shared" si="12"/>
        <v>1.82</v>
      </c>
      <c r="F33" s="25">
        <f t="shared" si="12"/>
        <v>3.69</v>
      </c>
      <c r="G33" s="25">
        <f t="shared" si="12"/>
        <v>5.58</v>
      </c>
      <c r="H33" s="25">
        <f t="shared" si="12"/>
        <v>19.73</v>
      </c>
      <c r="I33" s="25">
        <f t="shared" si="12"/>
        <v>292.35000000000002</v>
      </c>
      <c r="J33" s="25">
        <f t="shared" si="12"/>
        <v>297.44</v>
      </c>
      <c r="K33" s="25">
        <f t="shared" si="12"/>
        <v>258.10000000000002</v>
      </c>
      <c r="L33" s="25">
        <f t="shared" si="12"/>
        <v>268.82</v>
      </c>
      <c r="M33" s="25">
        <f t="shared" si="12"/>
        <v>286.52</v>
      </c>
      <c r="N33" s="25">
        <f t="shared" si="12"/>
        <v>310.16000000000003</v>
      </c>
      <c r="O33" s="25">
        <f t="shared" si="12"/>
        <v>336.02</v>
      </c>
      <c r="P33" s="25">
        <f t="shared" si="12"/>
        <v>364.19</v>
      </c>
      <c r="Q33" s="25">
        <f t="shared" si="12"/>
        <v>394.98</v>
      </c>
      <c r="R33" s="25">
        <f t="shared" si="12"/>
        <v>432.95</v>
      </c>
      <c r="S33" s="25">
        <f t="shared" si="12"/>
        <v>474.84</v>
      </c>
      <c r="T33" s="25">
        <f t="shared" si="12"/>
        <v>521.63</v>
      </c>
      <c r="U33" s="25">
        <f t="shared" si="12"/>
        <v>573.41</v>
      </c>
      <c r="V33" s="25">
        <f t="shared" si="12"/>
        <v>630.91</v>
      </c>
    </row>
    <row r="34" spans="1:22" x14ac:dyDescent="0.25">
      <c r="A34" s="26" t="s">
        <v>43</v>
      </c>
      <c r="B34" s="25">
        <f t="shared" ref="B34:V34" si="13">ROUND(B26*B$36,2)</f>
        <v>1.25</v>
      </c>
      <c r="C34" s="25">
        <f t="shared" si="13"/>
        <v>1.1200000000000001</v>
      </c>
      <c r="D34" s="25">
        <f t="shared" si="13"/>
        <v>1.33</v>
      </c>
      <c r="E34" s="25">
        <f t="shared" si="13"/>
        <v>2.1800000000000002</v>
      </c>
      <c r="F34" s="25">
        <f t="shared" si="13"/>
        <v>4.3099999999999996</v>
      </c>
      <c r="G34" s="25">
        <f t="shared" si="13"/>
        <v>6.34</v>
      </c>
      <c r="H34" s="25">
        <f t="shared" si="13"/>
        <v>10.81</v>
      </c>
      <c r="I34" s="25">
        <f t="shared" si="13"/>
        <v>21.12</v>
      </c>
      <c r="J34" s="25">
        <f t="shared" si="13"/>
        <v>24.11</v>
      </c>
      <c r="K34" s="25">
        <f t="shared" si="13"/>
        <v>29.34</v>
      </c>
      <c r="L34" s="25">
        <f t="shared" si="13"/>
        <v>38.32</v>
      </c>
      <c r="M34" s="25">
        <f t="shared" si="13"/>
        <v>41.53</v>
      </c>
      <c r="N34" s="25">
        <f t="shared" si="13"/>
        <v>45.11</v>
      </c>
      <c r="O34" s="25">
        <f t="shared" si="13"/>
        <v>48.97</v>
      </c>
      <c r="P34" s="25">
        <f t="shared" si="13"/>
        <v>53.19</v>
      </c>
      <c r="Q34" s="25">
        <f t="shared" si="13"/>
        <v>57.8</v>
      </c>
      <c r="R34" s="25">
        <f t="shared" si="13"/>
        <v>63.48</v>
      </c>
      <c r="S34" s="25">
        <f t="shared" si="13"/>
        <v>69.760000000000005</v>
      </c>
      <c r="T34" s="25">
        <f t="shared" si="13"/>
        <v>76.8</v>
      </c>
      <c r="U34" s="25">
        <f t="shared" si="13"/>
        <v>84.6</v>
      </c>
      <c r="V34" s="25">
        <f t="shared" si="13"/>
        <v>93.26</v>
      </c>
    </row>
    <row r="35" spans="1:22" ht="15.75" thickBot="1" x14ac:dyDescent="0.3">
      <c r="A35" s="27" t="s">
        <v>44</v>
      </c>
      <c r="B35" s="10">
        <f>B36-SUM(B32:B34)</f>
        <v>0.93521459263978457</v>
      </c>
      <c r="C35" s="10">
        <f t="shared" ref="C35:V35" si="14">C36-SUM(C32:C34)</f>
        <v>0.83337351612873967</v>
      </c>
      <c r="D35" s="10">
        <f t="shared" si="14"/>
        <v>0.92548874986640151</v>
      </c>
      <c r="E35" s="10">
        <f t="shared" si="14"/>
        <v>1.4538108249850055</v>
      </c>
      <c r="F35" s="10">
        <f t="shared" si="14"/>
        <v>2.7478724475319929</v>
      </c>
      <c r="G35" s="10">
        <f t="shared" si="14"/>
        <v>3.9088635580853222</v>
      </c>
      <c r="H35" s="10">
        <f t="shared" si="14"/>
        <v>6.8111907019999762</v>
      </c>
      <c r="I35" s="10">
        <f t="shared" si="14"/>
        <v>12.388146480400053</v>
      </c>
      <c r="J35" s="10">
        <f t="shared" si="14"/>
        <v>13.087200800000005</v>
      </c>
      <c r="K35" s="10">
        <f t="shared" si="14"/>
        <v>14.227627688050063</v>
      </c>
      <c r="L35" s="10">
        <f t="shared" si="14"/>
        <v>15.839562627270823</v>
      </c>
      <c r="M35" s="10">
        <f t="shared" si="14"/>
        <v>19.708729385218362</v>
      </c>
      <c r="N35" s="10">
        <f t="shared" si="14"/>
        <v>20.871948427274447</v>
      </c>
      <c r="O35" s="10">
        <f t="shared" si="14"/>
        <v>22.051906676536987</v>
      </c>
      <c r="P35" s="10">
        <f t="shared" si="14"/>
        <v>23.423730491026959</v>
      </c>
      <c r="Q35" s="10">
        <f t="shared" si="14"/>
        <v>24.897997283868335</v>
      </c>
      <c r="R35" s="10">
        <f t="shared" si="14"/>
        <v>26.733442904348863</v>
      </c>
      <c r="S35" s="10">
        <f t="shared" si="14"/>
        <v>28.616797563295677</v>
      </c>
      <c r="T35" s="10">
        <f t="shared" si="14"/>
        <v>30.758187192169771</v>
      </c>
      <c r="U35" s="10">
        <f t="shared" si="14"/>
        <v>33.167003253893995</v>
      </c>
      <c r="V35" s="10">
        <f t="shared" si="14"/>
        <v>35.684729515766776</v>
      </c>
    </row>
    <row r="36" spans="1:22" x14ac:dyDescent="0.25">
      <c r="A36" s="21" t="s">
        <v>24</v>
      </c>
      <c r="B36" s="57">
        <f>'Demand Supply Gap'!B12</f>
        <v>9.2552145926397849</v>
      </c>
      <c r="C36" s="57">
        <f>'Demand Supply Gap'!C12</f>
        <v>8.23337351612874</v>
      </c>
      <c r="D36" s="57">
        <f>'Demand Supply Gap'!D12</f>
        <v>9.485488749866402</v>
      </c>
      <c r="E36" s="57">
        <f>'Demand Supply Gap'!E12</f>
        <v>15.363810824985006</v>
      </c>
      <c r="F36" s="57">
        <f>'Demand Supply Gap'!F12</f>
        <v>30.117872447531994</v>
      </c>
      <c r="G36" s="57">
        <f>'Demand Supply Gap'!G12</f>
        <v>44.128863558085321</v>
      </c>
      <c r="H36" s="57">
        <f>'Demand Supply Gap'!H12</f>
        <v>86.021190701999984</v>
      </c>
      <c r="I36" s="57">
        <f>'Demand Supply Gap'!I12</f>
        <v>393.53814648040009</v>
      </c>
      <c r="J36" s="57">
        <f>'Demand Supply Gap'!J12</f>
        <v>412.75720080000002</v>
      </c>
      <c r="K36" s="57">
        <f>'Demand Supply Gap'!K12</f>
        <v>445.28762768805007</v>
      </c>
      <c r="L36" s="57">
        <f>'Demand Supply Gap'!L12</f>
        <v>480.9295626272708</v>
      </c>
      <c r="M36" s="57">
        <f>'Demand Supply Gap'!M12</f>
        <v>519.81872938521838</v>
      </c>
      <c r="N36" s="57">
        <f>'Demand Supply Gap'!N12</f>
        <v>562.49194842727445</v>
      </c>
      <c r="O36" s="57">
        <f>'Demand Supply Gap'!O12</f>
        <v>609.07190667653697</v>
      </c>
      <c r="P36" s="57">
        <f>'Demand Supply Gap'!P12</f>
        <v>659.88373049102699</v>
      </c>
      <c r="Q36" s="57">
        <f>'Demand Supply Gap'!Q12</f>
        <v>715.40799728386833</v>
      </c>
      <c r="R36" s="57">
        <f>'Demand Supply Gap'!R12</f>
        <v>783.76344290434884</v>
      </c>
      <c r="S36" s="57">
        <f>'Demand Supply Gap'!S12</f>
        <v>859.13679756329566</v>
      </c>
      <c r="T36" s="57">
        <f>'Demand Supply Gap'!T12</f>
        <v>943.44818719216971</v>
      </c>
      <c r="U36" s="57">
        <f>'Demand Supply Gap'!U12</f>
        <v>1036.7170032538941</v>
      </c>
      <c r="V36" s="57">
        <f>'Demand Supply Gap'!V12</f>
        <v>1140.0647295157667</v>
      </c>
    </row>
    <row r="38" spans="1:22" x14ac:dyDescent="0.25">
      <c r="B38">
        <f t="shared" ref="B38:V38" si="15">B32/B11</f>
        <v>1.3467561521252795</v>
      </c>
      <c r="C38">
        <f t="shared" si="15"/>
        <v>1.128421052631579</v>
      </c>
      <c r="D38">
        <f t="shared" si="15"/>
        <v>1.4560570071258907</v>
      </c>
      <c r="E38">
        <f t="shared" si="15"/>
        <v>1.5680379746835442</v>
      </c>
      <c r="F38">
        <f t="shared" si="15"/>
        <v>1.4640967498110355</v>
      </c>
      <c r="G38">
        <f t="shared" si="15"/>
        <v>1.3023469857340082</v>
      </c>
      <c r="H38">
        <f t="shared" si="15"/>
        <v>1.9744421906693714</v>
      </c>
      <c r="I38">
        <f t="shared" si="15"/>
        <v>2.0403979499547784</v>
      </c>
      <c r="J38">
        <f t="shared" si="15"/>
        <v>2.1062280938258291</v>
      </c>
      <c r="K38">
        <f t="shared" si="15"/>
        <v>2.1903309440292822</v>
      </c>
      <c r="L38">
        <f t="shared" si="15"/>
        <v>2.2458410351201477</v>
      </c>
      <c r="M38">
        <f t="shared" si="15"/>
        <v>2.3024220527231365</v>
      </c>
      <c r="N38">
        <f t="shared" si="15"/>
        <v>2.3597568696973532</v>
      </c>
      <c r="O38">
        <f t="shared" si="15"/>
        <v>2.4189415708812261</v>
      </c>
      <c r="P38">
        <f t="shared" si="15"/>
        <v>2.4794024445450433</v>
      </c>
      <c r="Q38">
        <f t="shared" si="15"/>
        <v>2.5414795809279451</v>
      </c>
      <c r="R38">
        <f t="shared" si="15"/>
        <v>2.6304633087715761</v>
      </c>
      <c r="S38">
        <f t="shared" si="15"/>
        <v>2.7225290420872219</v>
      </c>
      <c r="T38">
        <f t="shared" si="15"/>
        <v>2.8179698708751793</v>
      </c>
      <c r="U38">
        <f t="shared" si="15"/>
        <v>2.9166877690554571</v>
      </c>
      <c r="V38">
        <f t="shared" si="15"/>
        <v>3.0187375942834458</v>
      </c>
    </row>
    <row r="39" spans="1:22" x14ac:dyDescent="0.25">
      <c r="B39">
        <f t="shared" ref="B39:V39" si="16">B33/B12</f>
        <v>1.4583333333333335</v>
      </c>
      <c r="C39">
        <f t="shared" si="16"/>
        <v>1.2105263157894737</v>
      </c>
      <c r="D39">
        <f t="shared" si="16"/>
        <v>1.5714285714285716</v>
      </c>
      <c r="E39">
        <f t="shared" si="16"/>
        <v>1.6851851851851851</v>
      </c>
      <c r="F39">
        <f t="shared" si="16"/>
        <v>1.5702127659574467</v>
      </c>
      <c r="G39">
        <f t="shared" si="16"/>
        <v>1.395</v>
      </c>
      <c r="H39">
        <f t="shared" si="16"/>
        <v>2.0616509926854754</v>
      </c>
      <c r="I39">
        <f t="shared" si="16"/>
        <v>2.0999138054877173</v>
      </c>
      <c r="J39">
        <f t="shared" si="16"/>
        <v>2.1599012417398882</v>
      </c>
      <c r="K39">
        <f t="shared" si="16"/>
        <v>2.2086257059729593</v>
      </c>
      <c r="L39">
        <f t="shared" si="16"/>
        <v>2.2627946127946128</v>
      </c>
      <c r="M39">
        <f t="shared" si="16"/>
        <v>2.3190611088628086</v>
      </c>
      <c r="N39">
        <f t="shared" si="16"/>
        <v>2.3770692826486823</v>
      </c>
      <c r="O39">
        <f t="shared" si="16"/>
        <v>2.4365165687767383</v>
      </c>
      <c r="P39">
        <f t="shared" si="16"/>
        <v>2.4973599396557633</v>
      </c>
      <c r="Q39">
        <f t="shared" si="16"/>
        <v>2.5598185353208036</v>
      </c>
      <c r="R39">
        <f t="shared" si="16"/>
        <v>2.649470656630561</v>
      </c>
      <c r="S39">
        <f t="shared" si="16"/>
        <v>2.742203742203742</v>
      </c>
      <c r="T39">
        <f t="shared" si="16"/>
        <v>2.83818488492301</v>
      </c>
      <c r="U39">
        <f t="shared" si="16"/>
        <v>2.9375512295081969</v>
      </c>
      <c r="V39">
        <f t="shared" si="16"/>
        <v>3.0403835959712784</v>
      </c>
    </row>
    <row r="40" spans="1:22" x14ac:dyDescent="0.25">
      <c r="B40">
        <f t="shared" ref="B40:V40" si="17">B34/B13</f>
        <v>1.3888888888888888</v>
      </c>
      <c r="C40">
        <f t="shared" si="17"/>
        <v>1.1666666666666667</v>
      </c>
      <c r="D40">
        <f t="shared" si="17"/>
        <v>1.5113636363636365</v>
      </c>
      <c r="E40">
        <f t="shared" si="17"/>
        <v>1.6268656716417911</v>
      </c>
      <c r="F40">
        <f t="shared" si="17"/>
        <v>1.5122807017543858</v>
      </c>
      <c r="G40">
        <f t="shared" si="17"/>
        <v>1.346072186836518</v>
      </c>
      <c r="H40">
        <f t="shared" si="17"/>
        <v>2.0512333965844407</v>
      </c>
      <c r="I40">
        <f t="shared" si="17"/>
        <v>2.2540021344717185</v>
      </c>
      <c r="J40">
        <f t="shared" si="17"/>
        <v>2.307177033492823</v>
      </c>
      <c r="K40">
        <f t="shared" si="17"/>
        <v>2.3509615384615383</v>
      </c>
      <c r="L40">
        <f t="shared" si="17"/>
        <v>2.3875389408099688</v>
      </c>
      <c r="M40">
        <f t="shared" si="17"/>
        <v>2.4472598703594581</v>
      </c>
      <c r="N40">
        <f t="shared" si="17"/>
        <v>2.5075041689827682</v>
      </c>
      <c r="O40">
        <f t="shared" si="17"/>
        <v>2.5706036745406822</v>
      </c>
      <c r="P40">
        <f t="shared" si="17"/>
        <v>2.6344725111441303</v>
      </c>
      <c r="Q40">
        <f t="shared" si="17"/>
        <v>2.6996730499766461</v>
      </c>
      <c r="R40">
        <f t="shared" si="17"/>
        <v>2.7940140845070425</v>
      </c>
      <c r="S40">
        <f t="shared" si="17"/>
        <v>2.8910070451719854</v>
      </c>
      <c r="T40">
        <f t="shared" si="17"/>
        <v>2.9929851909586906</v>
      </c>
      <c r="U40">
        <f t="shared" si="17"/>
        <v>3.0966325036603219</v>
      </c>
      <c r="V40">
        <f t="shared" si="17"/>
        <v>3.204810996563574</v>
      </c>
    </row>
    <row r="41" spans="1:22" x14ac:dyDescent="0.25">
      <c r="B41">
        <f t="shared" ref="B41:V41" si="18">B35/B14</f>
        <v>1.2979394069651247</v>
      </c>
      <c r="C41">
        <f t="shared" si="18"/>
        <v>1.1172309406357317</v>
      </c>
      <c r="D41">
        <f t="shared" si="18"/>
        <v>1.4058196081327989</v>
      </c>
      <c r="E41">
        <f t="shared" si="18"/>
        <v>1.5251000386631706</v>
      </c>
      <c r="F41">
        <f t="shared" si="18"/>
        <v>1.4312478116336049</v>
      </c>
      <c r="G41">
        <f t="shared" si="18"/>
        <v>1.2639526920573316</v>
      </c>
      <c r="H41">
        <f t="shared" si="18"/>
        <v>1.9112967360141193</v>
      </c>
      <c r="I41">
        <f t="shared" si="18"/>
        <v>3.2000782021875507</v>
      </c>
      <c r="J41">
        <f t="shared" si="18"/>
        <v>3.2849399598393516</v>
      </c>
      <c r="K41">
        <f t="shared" si="18"/>
        <v>3.3407715317983899</v>
      </c>
      <c r="L41">
        <f t="shared" si="18"/>
        <v>3.3815242549788711</v>
      </c>
      <c r="M41">
        <f t="shared" si="18"/>
        <v>3.2567019654463243</v>
      </c>
      <c r="N41">
        <f t="shared" si="18"/>
        <v>3.3728342441842116</v>
      </c>
      <c r="O41">
        <f t="shared" si="18"/>
        <v>3.4865305933023869</v>
      </c>
      <c r="P41">
        <f t="shared" si="18"/>
        <v>3.6076670453553756</v>
      </c>
      <c r="Q41">
        <f t="shared" si="18"/>
        <v>3.7299686401442105</v>
      </c>
      <c r="R41">
        <f t="shared" si="18"/>
        <v>3.8931770845446207</v>
      </c>
      <c r="S41">
        <f t="shared" si="18"/>
        <v>4.0776945338832773</v>
      </c>
      <c r="T41">
        <f t="shared" si="18"/>
        <v>4.2560765901510589</v>
      </c>
      <c r="U41">
        <f t="shared" si="18"/>
        <v>4.4479850061869364</v>
      </c>
      <c r="V41">
        <f t="shared" si="18"/>
        <v>4.6558151625855064</v>
      </c>
    </row>
    <row r="46" spans="1:22" x14ac:dyDescent="0.25">
      <c r="I46" s="25">
        <v>105.81</v>
      </c>
      <c r="J46" s="25">
        <v>105.87</v>
      </c>
      <c r="K46" s="25">
        <v>94.95</v>
      </c>
      <c r="L46" s="25">
        <v>100.25</v>
      </c>
      <c r="M46" s="25">
        <v>105.87</v>
      </c>
      <c r="N46" s="25">
        <v>110.11</v>
      </c>
      <c r="O46" s="25">
        <v>114.61</v>
      </c>
      <c r="P46" s="25">
        <v>119.35</v>
      </c>
      <c r="Q46" s="25">
        <v>124.37</v>
      </c>
      <c r="R46" s="25">
        <v>129.71</v>
      </c>
      <c r="S46" s="25">
        <v>135.34</v>
      </c>
      <c r="T46" s="25">
        <v>141.47999999999999</v>
      </c>
      <c r="U46" s="25">
        <v>147.99</v>
      </c>
      <c r="V46" s="25">
        <v>154.91999999999999</v>
      </c>
    </row>
    <row r="47" spans="1:22" x14ac:dyDescent="0.25">
      <c r="I47" s="25">
        <v>46.44</v>
      </c>
      <c r="J47" s="25">
        <v>59.9</v>
      </c>
      <c r="K47" s="25">
        <v>82.58</v>
      </c>
      <c r="L47" s="25">
        <v>93.14</v>
      </c>
      <c r="M47" s="25">
        <v>102.23</v>
      </c>
      <c r="N47" s="25">
        <v>109.87</v>
      </c>
      <c r="O47" s="25">
        <v>118.02</v>
      </c>
      <c r="P47" s="25">
        <v>126.77</v>
      </c>
      <c r="Q47" s="25">
        <v>136.15</v>
      </c>
      <c r="R47" s="25">
        <v>146.30000000000001</v>
      </c>
      <c r="S47" s="25">
        <v>157.26</v>
      </c>
      <c r="T47" s="25">
        <v>169.31</v>
      </c>
      <c r="U47" s="25">
        <v>182.3</v>
      </c>
      <c r="V47" s="25">
        <v>196.29</v>
      </c>
    </row>
    <row r="48" spans="1:22" x14ac:dyDescent="0.25">
      <c r="I48" s="25">
        <v>20.100000000000001</v>
      </c>
      <c r="J48" s="25">
        <v>18.04</v>
      </c>
      <c r="K48" s="25">
        <v>17.36</v>
      </c>
      <c r="L48" s="25">
        <v>13.88</v>
      </c>
      <c r="M48" s="25">
        <v>12.73</v>
      </c>
      <c r="N48" s="25">
        <v>13.28</v>
      </c>
      <c r="O48" s="25">
        <v>13.88</v>
      </c>
      <c r="P48" s="25">
        <v>14.53</v>
      </c>
      <c r="Q48" s="25">
        <v>15.26</v>
      </c>
      <c r="R48" s="25">
        <v>15.97</v>
      </c>
      <c r="S48" s="25">
        <v>16.79</v>
      </c>
      <c r="T48" s="25">
        <v>17.64</v>
      </c>
      <c r="U48" s="25">
        <v>18.59</v>
      </c>
      <c r="V48" s="25">
        <v>19.59</v>
      </c>
    </row>
    <row r="49" spans="9:22" x14ac:dyDescent="0.25">
      <c r="I49" s="10">
        <v>13.281201170000031</v>
      </c>
      <c r="J49" s="10">
        <v>11.418334270489026</v>
      </c>
      <c r="K49" s="10">
        <v>10.587821819689708</v>
      </c>
      <c r="L49" s="10">
        <v>9.2419808514070496</v>
      </c>
      <c r="M49" s="10">
        <v>7.481883807808714</v>
      </c>
      <c r="N49" s="10">
        <v>7.7688557359036565</v>
      </c>
      <c r="O49" s="10">
        <v>8.1128831994086568</v>
      </c>
      <c r="P49" s="10">
        <v>8.4863875417749455</v>
      </c>
      <c r="Q49" s="10">
        <v>8.8855571029353655</v>
      </c>
      <c r="R49" s="10">
        <v>9.3384921934570571</v>
      </c>
      <c r="S49" s="10">
        <v>9.7364150820903319</v>
      </c>
      <c r="T49" s="10">
        <v>10.16312640209793</v>
      </c>
      <c r="U49" s="10">
        <v>10.604322301107345</v>
      </c>
      <c r="V49" s="10">
        <v>11.152092444926609</v>
      </c>
    </row>
    <row r="50" spans="9:22" x14ac:dyDescent="0.25">
      <c r="I50" s="57">
        <v>185.63120117000003</v>
      </c>
      <c r="J50" s="57">
        <v>195.22833427048903</v>
      </c>
      <c r="K50" s="57">
        <v>205.47782181968969</v>
      </c>
      <c r="L50" s="57">
        <v>216.51198085140703</v>
      </c>
      <c r="M50" s="57">
        <v>228.31188380780873</v>
      </c>
      <c r="N50" s="57">
        <v>241.02885573590368</v>
      </c>
      <c r="O50" s="57">
        <v>254.62288319940865</v>
      </c>
      <c r="P50" s="57">
        <v>269.13638754177492</v>
      </c>
      <c r="Q50" s="57">
        <v>284.66555710293534</v>
      </c>
      <c r="R50" s="57">
        <v>301.31849219345708</v>
      </c>
      <c r="S50" s="57">
        <v>319.12641508209038</v>
      </c>
      <c r="T50" s="57">
        <v>338.59312640209788</v>
      </c>
      <c r="U50" s="57">
        <v>359.48432230110734</v>
      </c>
      <c r="V50" s="57">
        <v>381.95209244492656</v>
      </c>
    </row>
    <row r="52" spans="9:22" ht="15.75" thickBot="1" x14ac:dyDescent="0.3"/>
    <row r="53" spans="9:22" x14ac:dyDescent="0.25">
      <c r="I53" s="13" t="s">
        <v>10</v>
      </c>
      <c r="J53" s="13" t="s">
        <v>11</v>
      </c>
      <c r="K53" s="13" t="s">
        <v>12</v>
      </c>
      <c r="L53" s="13" t="s">
        <v>13</v>
      </c>
      <c r="M53" s="13" t="s">
        <v>14</v>
      </c>
      <c r="N53" s="13" t="s">
        <v>15</v>
      </c>
      <c r="O53" s="13" t="s">
        <v>16</v>
      </c>
      <c r="P53" s="14" t="s">
        <v>17</v>
      </c>
      <c r="Q53" s="15" t="s">
        <v>18</v>
      </c>
      <c r="R53" s="16" t="s">
        <v>19</v>
      </c>
      <c r="S53" s="16" t="s">
        <v>40</v>
      </c>
      <c r="T53" s="16" t="s">
        <v>21</v>
      </c>
      <c r="U53" s="16" t="s">
        <v>22</v>
      </c>
      <c r="V53" s="16" t="s">
        <v>23</v>
      </c>
    </row>
    <row r="54" spans="9:22" x14ac:dyDescent="0.25">
      <c r="I54" s="11">
        <v>0.56329999999999991</v>
      </c>
      <c r="J54" s="11">
        <v>0.53559999999999997</v>
      </c>
      <c r="K54" s="11">
        <v>0.45540000000000003</v>
      </c>
      <c r="L54" s="11">
        <v>0.45630000000000004</v>
      </c>
      <c r="M54" s="11">
        <v>0.45700000000000002</v>
      </c>
      <c r="N54" s="11">
        <v>0.45015374610691394</v>
      </c>
      <c r="O54" s="11">
        <v>0.44340857306862319</v>
      </c>
      <c r="P54" s="11">
        <v>0.43676298848660361</v>
      </c>
      <c r="Q54" s="11">
        <v>0.43021552199670499</v>
      </c>
      <c r="R54" s="11">
        <v>0.42376472494382667</v>
      </c>
      <c r="S54" s="11">
        <v>0.41740917006139644</v>
      </c>
      <c r="T54" s="11">
        <v>0.41114745115558166</v>
      </c>
      <c r="U54" s="11">
        <v>0.40497818279416264</v>
      </c>
      <c r="V54" s="11">
        <v>0.3989000000000002</v>
      </c>
    </row>
    <row r="55" spans="9:22" x14ac:dyDescent="0.25">
      <c r="I55" s="11">
        <v>0.25730000000000008</v>
      </c>
      <c r="J55" s="11">
        <v>0.31389999999999996</v>
      </c>
      <c r="K55" s="11">
        <v>0.40899999999999992</v>
      </c>
      <c r="L55" s="11">
        <v>0.43729999999999991</v>
      </c>
      <c r="M55" s="11">
        <v>0.45487874777297022</v>
      </c>
      <c r="N55" s="11">
        <v>0.46294625389308608</v>
      </c>
      <c r="O55" s="11">
        <v>0.47059142693137679</v>
      </c>
      <c r="P55" s="11">
        <v>0.47813701151339638</v>
      </c>
      <c r="Q55" s="11">
        <v>0.48538447800329498</v>
      </c>
      <c r="R55" s="11">
        <v>0.49263527505617333</v>
      </c>
      <c r="S55" s="11">
        <v>0.49989082993860356</v>
      </c>
      <c r="T55" s="11">
        <v>0.50715254884441829</v>
      </c>
      <c r="U55" s="11">
        <v>0.51422181720583737</v>
      </c>
      <c r="V55" s="11">
        <v>0.5209999999999998</v>
      </c>
    </row>
    <row r="56" spans="9:22" x14ac:dyDescent="0.25">
      <c r="I56" s="11">
        <v>0.1051</v>
      </c>
      <c r="J56" s="11">
        <v>8.9200000000000002E-2</v>
      </c>
      <c r="K56" s="11">
        <v>8.1300000000000011E-2</v>
      </c>
      <c r="L56" s="11">
        <v>6.0900000000000003E-2</v>
      </c>
      <c r="M56" s="11">
        <v>5.2539373886485052E-2</v>
      </c>
      <c r="N56" s="11">
        <v>5.1900000000000002E-2</v>
      </c>
      <c r="O56" s="11">
        <v>5.1299999999999998E-2</v>
      </c>
      <c r="P56" s="11">
        <v>5.0799999999999998E-2</v>
      </c>
      <c r="Q56" s="11">
        <v>5.04E-2</v>
      </c>
      <c r="R56" s="11">
        <v>4.9799999999999997E-2</v>
      </c>
      <c r="S56" s="11">
        <v>4.9399999999999999E-2</v>
      </c>
      <c r="T56" s="11">
        <v>4.8899999999999999E-2</v>
      </c>
      <c r="U56" s="11">
        <v>4.8500000000000001E-2</v>
      </c>
      <c r="V56" s="11">
        <v>4.8099999999999997E-2</v>
      </c>
    </row>
    <row r="57" spans="9:22" x14ac:dyDescent="0.25">
      <c r="I57" s="11">
        <v>7.4300000000000033E-2</v>
      </c>
      <c r="J57" s="11">
        <v>6.1300000000000132E-2</v>
      </c>
      <c r="K57" s="11">
        <v>5.4300000000000015E-2</v>
      </c>
      <c r="L57" s="11">
        <v>4.5500000000000096E-2</v>
      </c>
      <c r="M57" s="11">
        <v>3.5581878340544826E-2</v>
      </c>
      <c r="N57" s="11">
        <v>3.499999999999992E-2</v>
      </c>
      <c r="O57" s="11">
        <v>3.4700000000000064E-2</v>
      </c>
      <c r="P57" s="11">
        <v>3.4299999999999997E-2</v>
      </c>
      <c r="Q57" s="11">
        <v>3.400000000000003E-2</v>
      </c>
      <c r="R57" s="11">
        <v>3.3800000000000052E-2</v>
      </c>
      <c r="S57" s="11">
        <v>3.3299999999999996E-2</v>
      </c>
      <c r="T57" s="11">
        <v>3.2800000000000162E-2</v>
      </c>
      <c r="U57" s="11">
        <v>3.2299999999999995E-2</v>
      </c>
      <c r="V57" s="11">
        <v>3.2000000000000028E-2</v>
      </c>
    </row>
    <row r="58" spans="9:22" x14ac:dyDescent="0.25">
      <c r="I58" s="22">
        <v>1</v>
      </c>
      <c r="J58" s="22">
        <v>1</v>
      </c>
      <c r="K58" s="22">
        <v>1</v>
      </c>
      <c r="L58" s="22">
        <v>1</v>
      </c>
      <c r="M58" s="22">
        <v>1</v>
      </c>
      <c r="N58" s="22">
        <v>1</v>
      </c>
      <c r="O58" s="22">
        <v>1</v>
      </c>
      <c r="P58" s="22">
        <v>1</v>
      </c>
      <c r="Q58" s="22">
        <v>1</v>
      </c>
      <c r="R58" s="22">
        <v>1</v>
      </c>
      <c r="S58" s="22">
        <v>1</v>
      </c>
      <c r="T58" s="22">
        <v>1</v>
      </c>
      <c r="U58" s="22">
        <v>1</v>
      </c>
      <c r="V58" s="22">
        <v>1</v>
      </c>
    </row>
    <row r="60" spans="9:22" ht="15.75" thickBot="1" x14ac:dyDescent="0.3"/>
    <row r="61" spans="9:22" x14ac:dyDescent="0.25">
      <c r="I61" s="13" t="s">
        <v>10</v>
      </c>
      <c r="J61" s="13" t="s">
        <v>11</v>
      </c>
      <c r="K61" s="13" t="s">
        <v>12</v>
      </c>
      <c r="L61" s="13" t="s">
        <v>13</v>
      </c>
      <c r="M61" s="13" t="s">
        <v>14</v>
      </c>
      <c r="N61" s="13" t="s">
        <v>15</v>
      </c>
      <c r="O61" s="13" t="s">
        <v>16</v>
      </c>
      <c r="P61" s="14" t="s">
        <v>17</v>
      </c>
      <c r="Q61" s="15" t="s">
        <v>18</v>
      </c>
      <c r="R61" s="16" t="s">
        <v>19</v>
      </c>
      <c r="S61" s="16" t="s">
        <v>40</v>
      </c>
      <c r="T61" s="16" t="s">
        <v>21</v>
      </c>
      <c r="U61" s="16" t="s">
        <v>22</v>
      </c>
      <c r="V61" s="16" t="s">
        <v>23</v>
      </c>
    </row>
    <row r="62" spans="9:22" x14ac:dyDescent="0.25">
      <c r="I62" s="25">
        <v>221.68</v>
      </c>
      <c r="J62" s="25">
        <v>228.08</v>
      </c>
      <c r="K62" s="25">
        <v>209.21</v>
      </c>
      <c r="L62" s="25">
        <v>226.4</v>
      </c>
      <c r="M62" s="25">
        <v>245.08</v>
      </c>
      <c r="N62" s="25">
        <v>261.23</v>
      </c>
      <c r="O62" s="25">
        <v>278.62</v>
      </c>
      <c r="P62" s="25">
        <v>297.33999999999997</v>
      </c>
      <c r="Q62" s="25">
        <v>317.52999999999997</v>
      </c>
      <c r="R62" s="25">
        <v>342.65</v>
      </c>
      <c r="S62" s="25">
        <v>369.97</v>
      </c>
      <c r="T62" s="25">
        <v>400.18</v>
      </c>
      <c r="U62" s="25">
        <v>433.15</v>
      </c>
      <c r="V62" s="25">
        <v>469.18</v>
      </c>
    </row>
    <row r="63" spans="9:22" x14ac:dyDescent="0.25">
      <c r="I63" s="25">
        <v>101.26</v>
      </c>
      <c r="J63" s="25">
        <v>133.66999999999999</v>
      </c>
      <c r="K63" s="25">
        <v>187.89</v>
      </c>
      <c r="L63" s="25">
        <v>216.97</v>
      </c>
      <c r="M63" s="25">
        <v>243.94</v>
      </c>
      <c r="N63" s="25">
        <v>268.64999999999998</v>
      </c>
      <c r="O63" s="25">
        <v>295.7</v>
      </c>
      <c r="P63" s="25">
        <v>325.51</v>
      </c>
      <c r="Q63" s="25">
        <v>358.25</v>
      </c>
      <c r="R63" s="25">
        <v>398.34</v>
      </c>
      <c r="S63" s="25">
        <v>443.08</v>
      </c>
      <c r="T63" s="25">
        <v>493.63</v>
      </c>
      <c r="U63" s="25">
        <v>549.99</v>
      </c>
      <c r="V63" s="25">
        <v>612.79</v>
      </c>
    </row>
    <row r="64" spans="9:22" x14ac:dyDescent="0.25">
      <c r="I64" s="25">
        <v>41.36</v>
      </c>
      <c r="J64" s="25">
        <v>37.979999999999997</v>
      </c>
      <c r="K64" s="25">
        <v>37.35</v>
      </c>
      <c r="L64" s="25">
        <v>30.22</v>
      </c>
      <c r="M64" s="25">
        <v>28.18</v>
      </c>
      <c r="N64" s="25">
        <v>30.12</v>
      </c>
      <c r="O64" s="25">
        <v>32.24</v>
      </c>
      <c r="P64" s="25">
        <v>34.58</v>
      </c>
      <c r="Q64" s="25">
        <v>37.200000000000003</v>
      </c>
      <c r="R64" s="25">
        <v>40.270000000000003</v>
      </c>
      <c r="S64" s="25">
        <v>43.79</v>
      </c>
      <c r="T64" s="25">
        <v>47.6</v>
      </c>
      <c r="U64" s="25">
        <v>51.87</v>
      </c>
      <c r="V64" s="25">
        <v>56.57</v>
      </c>
    </row>
    <row r="65" spans="9:22" x14ac:dyDescent="0.25">
      <c r="I65" s="10">
        <v>29.238146480400076</v>
      </c>
      <c r="J65" s="10">
        <v>26.10204271079067</v>
      </c>
      <c r="K65" s="10">
        <v>24.942930576934828</v>
      </c>
      <c r="L65" s="10">
        <v>22.573889222639139</v>
      </c>
      <c r="M65" s="10">
        <v>19.084941714904858</v>
      </c>
      <c r="N65" s="10">
        <v>20.309913292635656</v>
      </c>
      <c r="O65" s="10">
        <v>21.805377212398753</v>
      </c>
      <c r="P65" s="10">
        <v>23.356758806343009</v>
      </c>
      <c r="Q65" s="10">
        <v>25.089858659205674</v>
      </c>
      <c r="R65" s="10">
        <v>27.330588479446305</v>
      </c>
      <c r="S65" s="10">
        <v>29.511532487631939</v>
      </c>
      <c r="T65" s="10">
        <v>31.923640128305578</v>
      </c>
      <c r="U65" s="10">
        <v>34.546917124569973</v>
      </c>
      <c r="V65" s="10">
        <v>37.638372300425544</v>
      </c>
    </row>
    <row r="66" spans="9:22" x14ac:dyDescent="0.25">
      <c r="I66" s="57">
        <v>393.53814648040009</v>
      </c>
      <c r="J66" s="57">
        <v>425.83204271079069</v>
      </c>
      <c r="K66" s="57">
        <v>459.39293057693487</v>
      </c>
      <c r="L66" s="57">
        <v>496.16388922263917</v>
      </c>
      <c r="M66" s="57">
        <v>536.28494171490479</v>
      </c>
      <c r="N66" s="57">
        <v>580.30991329263566</v>
      </c>
      <c r="O66" s="57">
        <v>628.3653772123987</v>
      </c>
      <c r="P66" s="57">
        <v>680.78675880634296</v>
      </c>
      <c r="Q66" s="57">
        <v>738.06985865920569</v>
      </c>
      <c r="R66" s="57">
        <v>808.5905884794463</v>
      </c>
      <c r="S66" s="57">
        <v>886.35153248763186</v>
      </c>
      <c r="T66" s="57">
        <v>973.33364012830555</v>
      </c>
      <c r="U66" s="57">
        <v>1069.55691712457</v>
      </c>
      <c r="V66" s="57">
        <v>1176.1783723004255</v>
      </c>
    </row>
    <row r="70" spans="9:22" ht="15.75" thickBot="1" x14ac:dyDescent="0.3"/>
    <row r="71" spans="9:22" x14ac:dyDescent="0.25">
      <c r="I71" s="13" t="s">
        <v>10</v>
      </c>
      <c r="J71" s="13" t="s">
        <v>11</v>
      </c>
      <c r="K71" s="13" t="s">
        <v>12</v>
      </c>
      <c r="L71" s="13" t="s">
        <v>13</v>
      </c>
      <c r="M71" s="13" t="s">
        <v>14</v>
      </c>
      <c r="N71" s="13" t="s">
        <v>15</v>
      </c>
      <c r="O71" s="13" t="s">
        <v>16</v>
      </c>
      <c r="P71" s="14" t="s">
        <v>17</v>
      </c>
      <c r="Q71" s="15" t="s">
        <v>18</v>
      </c>
      <c r="R71" s="16" t="s">
        <v>19</v>
      </c>
      <c r="S71" s="16" t="s">
        <v>40</v>
      </c>
      <c r="T71" s="16" t="s">
        <v>21</v>
      </c>
      <c r="U71" s="16" t="s">
        <v>22</v>
      </c>
      <c r="V71" s="16" t="s">
        <v>23</v>
      </c>
    </row>
    <row r="72" spans="9:22" x14ac:dyDescent="0.25">
      <c r="I72" s="18">
        <v>0.56999999999999995</v>
      </c>
      <c r="J72" s="11">
        <v>0.5423</v>
      </c>
      <c r="K72" s="11">
        <v>0.46210000000000001</v>
      </c>
      <c r="L72" s="11">
        <v>0.46300000000000002</v>
      </c>
      <c r="M72" s="11">
        <v>0.4637</v>
      </c>
      <c r="N72" s="11">
        <v>0.45685374610691393</v>
      </c>
      <c r="O72" s="11">
        <v>0.45010857306862317</v>
      </c>
      <c r="P72" s="11">
        <v>0.44346298848660359</v>
      </c>
      <c r="Q72" s="11">
        <v>0.43691552199670497</v>
      </c>
      <c r="R72" s="11">
        <v>0.43046472494382665</v>
      </c>
      <c r="S72" s="11">
        <v>0.42410917006139642</v>
      </c>
      <c r="T72" s="11">
        <v>0.41784745115558164</v>
      </c>
      <c r="U72" s="11">
        <v>0.41167818279416263</v>
      </c>
      <c r="V72" s="11">
        <v>0.40560000000000018</v>
      </c>
    </row>
    <row r="73" spans="9:22" x14ac:dyDescent="0.25">
      <c r="I73" s="18">
        <v>0.25020000000000009</v>
      </c>
      <c r="J73" s="11">
        <v>0.30679999999999996</v>
      </c>
      <c r="K73" s="11">
        <v>0.40189999999999992</v>
      </c>
      <c r="L73" s="11">
        <v>0.43019999999999992</v>
      </c>
      <c r="M73" s="11">
        <v>0.44777874777297022</v>
      </c>
      <c r="N73" s="11">
        <v>0.45584625389308608</v>
      </c>
      <c r="O73" s="11">
        <v>0.46349142693137679</v>
      </c>
      <c r="P73" s="11">
        <v>0.47103701151339639</v>
      </c>
      <c r="Q73" s="11">
        <v>0.47828447800329499</v>
      </c>
      <c r="R73" s="11">
        <v>0.48553527505617333</v>
      </c>
      <c r="S73" s="11">
        <v>0.49279082993860357</v>
      </c>
      <c r="T73" s="11">
        <v>0.5000525488444183</v>
      </c>
      <c r="U73" s="11">
        <v>0.50712181720583738</v>
      </c>
      <c r="V73" s="11">
        <v>0.5138999999999998</v>
      </c>
    </row>
    <row r="74" spans="9:22" x14ac:dyDescent="0.25">
      <c r="I74" s="18">
        <v>0.10829999999999999</v>
      </c>
      <c r="J74" s="11">
        <v>9.2399999999999996E-2</v>
      </c>
      <c r="K74" s="11">
        <v>8.4500000000000006E-2</v>
      </c>
      <c r="L74" s="11">
        <v>6.4100000000000004E-2</v>
      </c>
      <c r="M74" s="11">
        <v>5.5739373886485054E-2</v>
      </c>
      <c r="N74" s="11">
        <v>5.5100000000000003E-2</v>
      </c>
      <c r="O74" s="11">
        <v>5.45E-2</v>
      </c>
      <c r="P74" s="11">
        <v>5.3999999999999999E-2</v>
      </c>
      <c r="Q74" s="11">
        <v>5.3600000000000002E-2</v>
      </c>
      <c r="R74" s="11">
        <v>5.2999999999999999E-2</v>
      </c>
      <c r="S74" s="11">
        <v>5.2600000000000001E-2</v>
      </c>
      <c r="T74" s="11">
        <v>5.21E-2</v>
      </c>
      <c r="U74" s="11">
        <v>5.1700000000000003E-2</v>
      </c>
      <c r="V74" s="11">
        <v>5.1299999999999998E-2</v>
      </c>
    </row>
    <row r="75" spans="9:22" x14ac:dyDescent="0.25">
      <c r="I75" s="18">
        <f t="shared" ref="I75:V75" si="19">I76-SUM(I72:I74)</f>
        <v>7.1500000000000008E-2</v>
      </c>
      <c r="J75" s="11">
        <f t="shared" si="19"/>
        <v>5.8499999999999996E-2</v>
      </c>
      <c r="K75" s="11">
        <f t="shared" si="19"/>
        <v>5.1500000000000101E-2</v>
      </c>
      <c r="L75" s="11">
        <f t="shared" si="19"/>
        <v>4.269999999999996E-2</v>
      </c>
      <c r="M75" s="11">
        <f t="shared" si="19"/>
        <v>3.278187834054469E-2</v>
      </c>
      <c r="N75" s="11">
        <f t="shared" si="19"/>
        <v>3.2199999999999895E-2</v>
      </c>
      <c r="O75" s="11">
        <f t="shared" si="19"/>
        <v>3.1900000000000039E-2</v>
      </c>
      <c r="P75" s="11">
        <f t="shared" si="19"/>
        <v>3.1499999999999972E-2</v>
      </c>
      <c r="Q75" s="11">
        <f t="shared" si="19"/>
        <v>3.1200000000000006E-2</v>
      </c>
      <c r="R75" s="11">
        <f t="shared" si="19"/>
        <v>3.1000000000000028E-2</v>
      </c>
      <c r="S75" s="11">
        <f t="shared" si="19"/>
        <v>3.0499999999999972E-2</v>
      </c>
      <c r="T75" s="11">
        <f t="shared" si="19"/>
        <v>3.0000000000000027E-2</v>
      </c>
      <c r="U75" s="11">
        <f t="shared" si="19"/>
        <v>2.9499999999999971E-2</v>
      </c>
      <c r="V75" s="11">
        <f t="shared" si="19"/>
        <v>2.9200000000000004E-2</v>
      </c>
    </row>
    <row r="76" spans="9:22" x14ac:dyDescent="0.25">
      <c r="I76" s="22">
        <v>1</v>
      </c>
      <c r="J76" s="22">
        <v>1</v>
      </c>
      <c r="K76" s="22">
        <v>1</v>
      </c>
      <c r="L76" s="22">
        <v>1</v>
      </c>
      <c r="M76" s="22">
        <v>1</v>
      </c>
      <c r="N76" s="22">
        <v>1</v>
      </c>
      <c r="O76" s="22">
        <v>1</v>
      </c>
      <c r="P76" s="22">
        <v>1</v>
      </c>
      <c r="Q76" s="22">
        <v>1</v>
      </c>
      <c r="R76" s="22">
        <v>1</v>
      </c>
      <c r="S76" s="22">
        <v>1</v>
      </c>
      <c r="T76" s="22">
        <v>1</v>
      </c>
      <c r="U76" s="22">
        <v>1</v>
      </c>
      <c r="V76" s="22">
        <v>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6CD6-ECF6-48BC-8DCA-5B400E6F3008}">
  <dimension ref="A1:J17"/>
  <sheetViews>
    <sheetView zoomScale="70" zoomScaleNormal="70" workbookViewId="0">
      <selection activeCell="J7" sqref="J7:J8"/>
    </sheetView>
  </sheetViews>
  <sheetFormatPr defaultRowHeight="15" x14ac:dyDescent="0.25"/>
  <cols>
    <col min="1" max="1" width="69" bestFit="1" customWidth="1"/>
    <col min="2" max="9" width="10.85546875" bestFit="1" customWidth="1"/>
    <col min="10" max="10" width="10.85546875" customWidth="1"/>
  </cols>
  <sheetData>
    <row r="1" spans="1:10" x14ac:dyDescent="0.25">
      <c r="A1" s="28" t="s">
        <v>36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5.75" thickBot="1" x14ac:dyDescent="0.3">
      <c r="A2" s="30" t="s">
        <v>48</v>
      </c>
      <c r="B2" s="7">
        <v>2015</v>
      </c>
      <c r="C2" s="7">
        <v>2016</v>
      </c>
      <c r="D2" s="7">
        <v>2017</v>
      </c>
      <c r="E2" s="7">
        <v>2018</v>
      </c>
      <c r="F2" s="7">
        <v>2019</v>
      </c>
      <c r="G2" s="7">
        <v>2020</v>
      </c>
      <c r="H2" s="7">
        <v>2021</v>
      </c>
      <c r="I2" s="7">
        <v>2022</v>
      </c>
      <c r="J2" s="7">
        <v>2023</v>
      </c>
    </row>
    <row r="3" spans="1:10" x14ac:dyDescent="0.25">
      <c r="A3" s="31" t="s">
        <v>46</v>
      </c>
      <c r="B3" s="32">
        <v>0.82130000000000003</v>
      </c>
      <c r="C3" s="32">
        <v>0.82509999999999994</v>
      </c>
      <c r="D3" s="32">
        <v>0.83199999999999996</v>
      </c>
      <c r="E3" s="32">
        <v>0.83530000000000004</v>
      </c>
      <c r="F3" s="32">
        <v>0.83789999999999998</v>
      </c>
      <c r="G3" s="32">
        <v>0.84119999999999995</v>
      </c>
      <c r="H3" s="32">
        <v>0.84340000000000004</v>
      </c>
      <c r="I3" s="33">
        <v>0.84470000000000001</v>
      </c>
      <c r="J3" s="33">
        <v>0.84609999999999996</v>
      </c>
    </row>
    <row r="4" spans="1:10" x14ac:dyDescent="0.25">
      <c r="A4" s="34" t="s">
        <v>47</v>
      </c>
      <c r="B4" s="32">
        <f>B5-B3</f>
        <v>0.17869999999999997</v>
      </c>
      <c r="C4" s="32">
        <f t="shared" ref="C4:G4" si="0">C5-C3</f>
        <v>0.17490000000000006</v>
      </c>
      <c r="D4" s="32">
        <f t="shared" si="0"/>
        <v>0.16800000000000004</v>
      </c>
      <c r="E4" s="32">
        <f t="shared" si="0"/>
        <v>0.16469999999999996</v>
      </c>
      <c r="F4" s="32">
        <f t="shared" si="0"/>
        <v>0.16210000000000002</v>
      </c>
      <c r="G4" s="32">
        <f t="shared" si="0"/>
        <v>0.15880000000000005</v>
      </c>
      <c r="H4" s="32">
        <f>H5-H3</f>
        <v>0.15659999999999996</v>
      </c>
      <c r="I4" s="32">
        <f>I5-I3</f>
        <v>0.15529999999999999</v>
      </c>
      <c r="J4" s="32">
        <f>J5-J3</f>
        <v>0.15390000000000004</v>
      </c>
    </row>
    <row r="5" spans="1:10" x14ac:dyDescent="0.25">
      <c r="A5" s="35"/>
      <c r="B5" s="36">
        <v>1</v>
      </c>
      <c r="C5" s="36">
        <v>1</v>
      </c>
      <c r="D5" s="36">
        <v>1</v>
      </c>
      <c r="E5" s="36">
        <v>1</v>
      </c>
      <c r="F5" s="36">
        <v>1</v>
      </c>
      <c r="G5" s="36">
        <v>1</v>
      </c>
      <c r="H5" s="36">
        <v>1</v>
      </c>
      <c r="I5" s="36">
        <v>1</v>
      </c>
      <c r="J5" s="36">
        <v>1</v>
      </c>
    </row>
    <row r="6" spans="1:10" ht="15.75" thickBot="1" x14ac:dyDescent="0.3">
      <c r="A6" s="30" t="s">
        <v>49</v>
      </c>
      <c r="B6" s="7">
        <v>2015</v>
      </c>
      <c r="C6" s="7">
        <v>2016</v>
      </c>
      <c r="D6" s="7">
        <v>2017</v>
      </c>
      <c r="E6" s="7">
        <v>2018</v>
      </c>
      <c r="F6" s="7">
        <v>2019</v>
      </c>
      <c r="G6" s="7">
        <v>2020</v>
      </c>
      <c r="H6" s="7">
        <v>2021</v>
      </c>
      <c r="I6" s="7">
        <v>2022</v>
      </c>
      <c r="J6" s="7">
        <v>2023</v>
      </c>
    </row>
    <row r="7" spans="1:10" x14ac:dyDescent="0.25">
      <c r="A7" s="37" t="s">
        <v>46</v>
      </c>
      <c r="B7" s="38">
        <f>ROUND(B3*'Demand Supply Gap'!B$7,2)</f>
        <v>5.59</v>
      </c>
      <c r="C7" s="38">
        <f>ROUND(C3*'Demand Supply Gap'!C$7,2)</f>
        <v>5.95</v>
      </c>
      <c r="D7" s="38">
        <f>ROUND(D3*'Demand Supply Gap'!D$7,2)</f>
        <v>5.37</v>
      </c>
      <c r="E7" s="38">
        <f>ROUND(E3*'Demand Supply Gap'!E$7,2)</f>
        <v>8.1</v>
      </c>
      <c r="F7" s="38">
        <f>ROUND(F3*'Demand Supply Gap'!F$7,2)</f>
        <v>17.05</v>
      </c>
      <c r="G7" s="38">
        <f>ROUND(G3*'Demand Supply Gap'!G$7,2)</f>
        <v>28.21</v>
      </c>
      <c r="H7" s="38">
        <f>ROUND(H3*'Demand Supply Gap'!H$7,2)</f>
        <v>36.31</v>
      </c>
      <c r="I7" s="38">
        <f>ROUND(I3*'Demand Supply Gap'!I$7,2)</f>
        <v>156.80000000000001</v>
      </c>
      <c r="J7" s="38">
        <f>ROUND(J3*'Demand Supply Gap'!J$7,2)</f>
        <v>160.11000000000001</v>
      </c>
    </row>
    <row r="8" spans="1:10" x14ac:dyDescent="0.25">
      <c r="A8" s="39" t="s">
        <v>47</v>
      </c>
      <c r="B8" s="38">
        <f>ROUND(B4*'Demand Supply Gap'!B$7,2)</f>
        <v>1.22</v>
      </c>
      <c r="C8" s="38">
        <f>ROUND(C4*'Demand Supply Gap'!C$7,2)</f>
        <v>1.26</v>
      </c>
      <c r="D8" s="38">
        <f>ROUND(D4*'Demand Supply Gap'!D$7,2)</f>
        <v>1.08</v>
      </c>
      <c r="E8" s="38">
        <f>ROUND(E4*'Demand Supply Gap'!E$7,2)</f>
        <v>1.6</v>
      </c>
      <c r="F8" s="38">
        <f>ROUND(F4*'Demand Supply Gap'!F$7,2)</f>
        <v>3.3</v>
      </c>
      <c r="G8" s="38">
        <f>ROUND(G4*'Demand Supply Gap'!G$7,2)</f>
        <v>5.32</v>
      </c>
      <c r="H8" s="38">
        <f>ROUND(H4*'Demand Supply Gap'!H$7,2)</f>
        <v>6.74</v>
      </c>
      <c r="I8" s="38">
        <f>ROUND(I4*'Demand Supply Gap'!I$7,2)</f>
        <v>28.83</v>
      </c>
      <c r="J8" s="38">
        <f>ROUND(J4*'Demand Supply Gap'!J$7,2)</f>
        <v>29.12</v>
      </c>
    </row>
    <row r="9" spans="1:10" x14ac:dyDescent="0.25">
      <c r="A9" s="40"/>
      <c r="B9" s="41"/>
      <c r="C9" s="41"/>
      <c r="D9" s="41"/>
      <c r="E9" s="41"/>
      <c r="F9" s="41"/>
      <c r="G9" s="41"/>
      <c r="H9" s="41"/>
      <c r="I9" s="41"/>
      <c r="J9" s="41"/>
    </row>
    <row r="10" spans="1:10" x14ac:dyDescent="0.25">
      <c r="A10" s="42" t="s">
        <v>45</v>
      </c>
      <c r="B10" s="43"/>
      <c r="C10" s="43"/>
      <c r="D10" s="43"/>
      <c r="E10" s="43"/>
      <c r="F10" s="43"/>
      <c r="G10" s="43"/>
      <c r="H10" s="43"/>
      <c r="I10" s="29"/>
      <c r="J10" s="29"/>
    </row>
    <row r="11" spans="1:10" ht="15.75" thickBot="1" x14ac:dyDescent="0.3">
      <c r="A11" s="30" t="s">
        <v>48</v>
      </c>
      <c r="B11" s="7">
        <v>2015</v>
      </c>
      <c r="C11" s="7">
        <v>2016</v>
      </c>
      <c r="D11" s="7">
        <v>2017</v>
      </c>
      <c r="E11" s="7">
        <v>2018</v>
      </c>
      <c r="F11" s="7">
        <v>2019</v>
      </c>
      <c r="G11" s="7">
        <v>2020</v>
      </c>
      <c r="H11" s="7">
        <v>2021</v>
      </c>
      <c r="I11" s="7">
        <v>2022</v>
      </c>
      <c r="J11" s="7">
        <v>2023</v>
      </c>
    </row>
    <row r="12" spans="1:10" x14ac:dyDescent="0.25">
      <c r="A12" s="31" t="s">
        <v>46</v>
      </c>
      <c r="B12" s="32">
        <f>B3-1.25%</f>
        <v>0.80880000000000007</v>
      </c>
      <c r="C12" s="32">
        <f t="shared" ref="C12:I12" si="1">C3-1.25%</f>
        <v>0.81259999999999999</v>
      </c>
      <c r="D12" s="32">
        <f t="shared" si="1"/>
        <v>0.81950000000000001</v>
      </c>
      <c r="E12" s="32">
        <f t="shared" si="1"/>
        <v>0.82280000000000009</v>
      </c>
      <c r="F12" s="32">
        <f t="shared" si="1"/>
        <v>0.82540000000000002</v>
      </c>
      <c r="G12" s="32">
        <f t="shared" si="1"/>
        <v>0.82869999999999999</v>
      </c>
      <c r="H12" s="32">
        <f t="shared" si="1"/>
        <v>0.83090000000000008</v>
      </c>
      <c r="I12" s="32">
        <f t="shared" si="1"/>
        <v>0.83220000000000005</v>
      </c>
      <c r="J12" s="32">
        <f t="shared" ref="J12" si="2">J3-1.25%</f>
        <v>0.83360000000000001</v>
      </c>
    </row>
    <row r="13" spans="1:10" x14ac:dyDescent="0.25">
      <c r="A13" s="34" t="s">
        <v>47</v>
      </c>
      <c r="B13" s="32">
        <f>B14-B12</f>
        <v>0.19119999999999993</v>
      </c>
      <c r="C13" s="32">
        <f t="shared" ref="C13:H13" si="3">C14-C12</f>
        <v>0.18740000000000001</v>
      </c>
      <c r="D13" s="32">
        <f t="shared" si="3"/>
        <v>0.18049999999999999</v>
      </c>
      <c r="E13" s="32">
        <f t="shared" si="3"/>
        <v>0.17719999999999991</v>
      </c>
      <c r="F13" s="32">
        <f t="shared" si="3"/>
        <v>0.17459999999999998</v>
      </c>
      <c r="G13" s="32">
        <f t="shared" si="3"/>
        <v>0.17130000000000001</v>
      </c>
      <c r="H13" s="32">
        <f t="shared" si="3"/>
        <v>0.16909999999999992</v>
      </c>
      <c r="I13" s="44">
        <f>I14-I12</f>
        <v>0.16779999999999995</v>
      </c>
      <c r="J13" s="44">
        <f>J14-J12</f>
        <v>0.16639999999999999</v>
      </c>
    </row>
    <row r="14" spans="1:10" x14ac:dyDescent="0.25">
      <c r="A14" s="35"/>
      <c r="B14" s="36">
        <v>1</v>
      </c>
      <c r="C14" s="36">
        <v>1</v>
      </c>
      <c r="D14" s="36">
        <v>1</v>
      </c>
      <c r="E14" s="36">
        <v>1</v>
      </c>
      <c r="F14" s="36">
        <v>1</v>
      </c>
      <c r="G14" s="36">
        <v>1</v>
      </c>
      <c r="H14" s="36">
        <v>1</v>
      </c>
      <c r="I14" s="36">
        <v>1</v>
      </c>
      <c r="J14" s="36">
        <v>1</v>
      </c>
    </row>
    <row r="15" spans="1:10" ht="15.75" thickBot="1" x14ac:dyDescent="0.3">
      <c r="A15" s="30" t="s">
        <v>49</v>
      </c>
      <c r="B15" s="7">
        <v>2015</v>
      </c>
      <c r="C15" s="7">
        <v>2016</v>
      </c>
      <c r="D15" s="7">
        <v>2017</v>
      </c>
      <c r="E15" s="7">
        <v>2018</v>
      </c>
      <c r="F15" s="7">
        <v>2019</v>
      </c>
      <c r="G15" s="7">
        <v>2020</v>
      </c>
      <c r="H15" s="7">
        <v>2021</v>
      </c>
      <c r="I15" s="7">
        <v>2022</v>
      </c>
      <c r="J15" s="7">
        <v>2023</v>
      </c>
    </row>
    <row r="16" spans="1:10" x14ac:dyDescent="0.25">
      <c r="A16" s="37" t="s">
        <v>46</v>
      </c>
      <c r="B16" s="38">
        <f>ROUND(B12*'Demand Supply Gap'!B$12,2)</f>
        <v>7.49</v>
      </c>
      <c r="C16" s="38">
        <f>ROUND(C12*'Demand Supply Gap'!C$12,2)</f>
        <v>6.69</v>
      </c>
      <c r="D16" s="38">
        <f>ROUND(D12*'Demand Supply Gap'!D$12,2)</f>
        <v>7.77</v>
      </c>
      <c r="E16" s="38">
        <f>ROUND(E12*'Demand Supply Gap'!E$12,2)</f>
        <v>12.64</v>
      </c>
      <c r="F16" s="38">
        <f>ROUND(F12*'Demand Supply Gap'!F$12,2)</f>
        <v>24.86</v>
      </c>
      <c r="G16" s="38">
        <f>ROUND(G12*'Demand Supply Gap'!G$12,2)</f>
        <v>36.57</v>
      </c>
      <c r="H16" s="38">
        <f>ROUND(H12*'Demand Supply Gap'!H$12,2)</f>
        <v>71.48</v>
      </c>
      <c r="I16" s="38">
        <f>ROUND(I12*'Demand Supply Gap'!I$12,2)</f>
        <v>327.5</v>
      </c>
      <c r="J16" s="38">
        <f>ROUND(J12*'Demand Supply Gap'!J$12,2)</f>
        <v>344.07</v>
      </c>
    </row>
    <row r="17" spans="1:10" x14ac:dyDescent="0.25">
      <c r="A17" s="39" t="s">
        <v>47</v>
      </c>
      <c r="B17" s="38">
        <f>ROUND(B13*'Demand Supply Gap'!B$12,2)</f>
        <v>1.77</v>
      </c>
      <c r="C17" s="38">
        <f>ROUND(C13*'Demand Supply Gap'!C$12,2)</f>
        <v>1.54</v>
      </c>
      <c r="D17" s="38">
        <f>ROUND(D13*'Demand Supply Gap'!D$12,2)</f>
        <v>1.71</v>
      </c>
      <c r="E17" s="38">
        <f>ROUND(E13*'Demand Supply Gap'!E$12,2)</f>
        <v>2.72</v>
      </c>
      <c r="F17" s="38">
        <f>ROUND(F13*'Demand Supply Gap'!F$12,2)</f>
        <v>5.26</v>
      </c>
      <c r="G17" s="38">
        <f>ROUND(G13*'Demand Supply Gap'!G$12,2)</f>
        <v>7.56</v>
      </c>
      <c r="H17" s="38">
        <f>ROUND(H13*'Demand Supply Gap'!H$12,2)</f>
        <v>14.55</v>
      </c>
      <c r="I17" s="38">
        <f>ROUND(I13*'Demand Supply Gap'!I$12,2)</f>
        <v>66.040000000000006</v>
      </c>
      <c r="J17" s="38">
        <f>ROUND(J13*'Demand Supply Gap'!J$12,2)</f>
        <v>68.680000000000007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Capacity By Location</vt:lpstr>
      <vt:lpstr>Capacity By Company</vt:lpstr>
      <vt:lpstr>Operating Efficiency</vt:lpstr>
      <vt:lpstr>Production By Company</vt:lpstr>
      <vt:lpstr>Demand Supply Gap</vt:lpstr>
      <vt:lpstr>Demand By End Use</vt:lpstr>
      <vt:lpstr>Demand By Region</vt:lpstr>
      <vt:lpstr>Demand By Sales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</dc:creator>
  <cp:lastModifiedBy>Abhishek Rajvanshi</cp:lastModifiedBy>
  <dcterms:created xsi:type="dcterms:W3CDTF">2022-07-11T05:12:26Z</dcterms:created>
  <dcterms:modified xsi:type="dcterms:W3CDTF">2023-06-19T12:54:52Z</dcterms:modified>
</cp:coreProperties>
</file>