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BPCL - Acrylic Acid\"/>
    </mc:Choice>
  </mc:AlternateContent>
  <xr:revisionPtr revIDLastSave="0" documentId="13_ncr:1_{F70934A8-8B15-4C80-80B2-2CF1D90D6820}" xr6:coauthVersionLast="47" xr6:coauthVersionMax="47" xr10:uidLastSave="{00000000-0000-0000-0000-000000000000}"/>
  <bookViews>
    <workbookView xWindow="-120" yWindow="-120" windowWidth="20730" windowHeight="11160" firstSheet="5" activeTab="5" xr2:uid="{903B4B9B-F8D7-4A40-82A5-D8326EDF1AA6}"/>
  </bookViews>
  <sheets>
    <sheet name="Ports" sheetId="1" r:id="rId1"/>
    <sheet name="Charts" sheetId="2" r:id="rId2"/>
    <sheet name="ITC price" sheetId="3" r:id="rId3"/>
    <sheet name="Prices" sheetId="5" r:id="rId4"/>
    <sheet name="Foreign exchange" sheetId="4" r:id="rId5"/>
    <sheet name="MCA Data" sheetId="6" r:id="rId6"/>
    <sheet name="Countries Port Wise Overall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6" l="1"/>
  <c r="D9" i="6"/>
  <c r="D10" i="6"/>
  <c r="D11" i="6"/>
  <c r="D7" i="6"/>
  <c r="D8" i="6"/>
  <c r="D6" i="6"/>
  <c r="D43" i="5"/>
  <c r="D42" i="5"/>
  <c r="D41" i="5"/>
  <c r="D40" i="5"/>
  <c r="D39" i="5"/>
  <c r="D38" i="5"/>
  <c r="B46" i="5"/>
  <c r="B48" i="5" s="1"/>
  <c r="C46" i="5"/>
  <c r="C48" i="5" s="1"/>
  <c r="D48" i="5"/>
  <c r="E48" i="5"/>
  <c r="F48" i="5"/>
  <c r="G48" i="5"/>
  <c r="H48" i="5"/>
  <c r="H46" i="5"/>
  <c r="G46" i="5"/>
  <c r="F46" i="5"/>
  <c r="E46" i="5"/>
  <c r="D46" i="5"/>
  <c r="B41" i="5"/>
  <c r="B40" i="5" s="1"/>
  <c r="G39" i="5"/>
  <c r="G40" i="5"/>
  <c r="G41" i="5"/>
  <c r="G42" i="5"/>
  <c r="G43" i="5"/>
  <c r="G38" i="5"/>
  <c r="C8" i="5"/>
  <c r="D8" i="5"/>
  <c r="E8" i="5"/>
  <c r="F8" i="5"/>
  <c r="G8" i="5"/>
  <c r="B8" i="5"/>
  <c r="T22" i="3"/>
  <c r="T21" i="3"/>
  <c r="T20" i="3"/>
  <c r="T19" i="3"/>
  <c r="T18" i="3"/>
  <c r="T17" i="3"/>
  <c r="T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16" i="3"/>
  <c r="C11" i="6"/>
  <c r="C10" i="6"/>
  <c r="C9" i="6"/>
  <c r="C8" i="6"/>
  <c r="C7" i="6"/>
  <c r="C6" i="6"/>
  <c r="C5" i="6"/>
  <c r="N4" i="6"/>
  <c r="O4" i="6" s="1"/>
  <c r="M4" i="6"/>
  <c r="L4" i="6"/>
  <c r="J4" i="6"/>
  <c r="K4" i="6" s="1"/>
  <c r="H4" i="6"/>
  <c r="I4" i="6" s="1"/>
  <c r="F4" i="6"/>
  <c r="G4" i="6" s="1"/>
  <c r="E4" i="6"/>
  <c r="D4" i="6"/>
  <c r="B4" i="6"/>
  <c r="C4" i="6" s="1"/>
  <c r="G41" i="3"/>
  <c r="G36" i="3"/>
  <c r="H36" i="3"/>
  <c r="H37" i="3"/>
  <c r="H38" i="3"/>
  <c r="H39" i="3"/>
  <c r="G40" i="3"/>
  <c r="H40" i="3"/>
  <c r="H41" i="3"/>
  <c r="H35" i="3"/>
  <c r="E9" i="1"/>
  <c r="W20" i="3"/>
  <c r="X20" i="3" s="1"/>
  <c r="U20" i="3"/>
  <c r="V20" i="3" s="1"/>
  <c r="Y20" i="3"/>
  <c r="Z20" i="3" s="1"/>
  <c r="AA19" i="3"/>
  <c r="H18" i="5" l="1"/>
  <c r="G39" i="3"/>
  <c r="G38" i="3"/>
  <c r="G35" i="3"/>
  <c r="G37" i="3"/>
  <c r="R51" i="3" l="1"/>
  <c r="Q51" i="3"/>
  <c r="P51" i="3"/>
  <c r="O51" i="3"/>
  <c r="N51" i="3"/>
  <c r="M51" i="3"/>
  <c r="L51" i="3"/>
  <c r="K51" i="3"/>
  <c r="J51" i="3"/>
  <c r="I51" i="3"/>
  <c r="R49" i="3"/>
  <c r="Q49" i="3"/>
  <c r="P49" i="3"/>
  <c r="O49" i="3"/>
  <c r="N49" i="3"/>
  <c r="M49" i="3"/>
  <c r="L49" i="3"/>
  <c r="K49" i="3"/>
  <c r="J49" i="3"/>
  <c r="I49" i="3"/>
  <c r="R48" i="3"/>
  <c r="Q48" i="3"/>
  <c r="P48" i="3"/>
  <c r="O48" i="3"/>
  <c r="N48" i="3"/>
  <c r="M48" i="3"/>
  <c r="L48" i="3"/>
  <c r="K48" i="3"/>
  <c r="J48" i="3"/>
  <c r="I48" i="3"/>
  <c r="R47" i="3"/>
  <c r="Q47" i="3"/>
  <c r="P47" i="3"/>
  <c r="O47" i="3"/>
  <c r="N47" i="3"/>
  <c r="M47" i="3"/>
  <c r="L47" i="3"/>
  <c r="K47" i="3"/>
  <c r="J47" i="3"/>
  <c r="I47" i="3"/>
  <c r="R46" i="3"/>
  <c r="Q46" i="3"/>
  <c r="P46" i="3"/>
  <c r="O46" i="3"/>
  <c r="N46" i="3"/>
  <c r="M46" i="3"/>
  <c r="L46" i="3"/>
  <c r="K46" i="3"/>
  <c r="J46" i="3"/>
  <c r="I46" i="3"/>
  <c r="R45" i="3"/>
  <c r="Q45" i="3"/>
  <c r="P45" i="3"/>
  <c r="O45" i="3"/>
  <c r="N45" i="3"/>
  <c r="M45" i="3"/>
  <c r="L45" i="3"/>
  <c r="K45" i="3"/>
  <c r="J45" i="3"/>
  <c r="I45" i="3"/>
  <c r="R41" i="3"/>
  <c r="Q41" i="3"/>
  <c r="P41" i="3"/>
  <c r="O41" i="3"/>
  <c r="N41" i="3"/>
  <c r="M41" i="3"/>
  <c r="L41" i="3"/>
  <c r="K41" i="3"/>
  <c r="J41" i="3"/>
  <c r="I41" i="3"/>
  <c r="R39" i="3"/>
  <c r="Q39" i="3"/>
  <c r="P39" i="3"/>
  <c r="O39" i="3"/>
  <c r="N39" i="3"/>
  <c r="M39" i="3"/>
  <c r="L39" i="3"/>
  <c r="K39" i="3"/>
  <c r="J39" i="3"/>
  <c r="I39" i="3"/>
  <c r="R38" i="3"/>
  <c r="Q38" i="3"/>
  <c r="P38" i="3"/>
  <c r="O38" i="3"/>
  <c r="N38" i="3"/>
  <c r="M38" i="3"/>
  <c r="L38" i="3"/>
  <c r="K38" i="3"/>
  <c r="J38" i="3"/>
  <c r="I38" i="3"/>
  <c r="R37" i="3"/>
  <c r="Q37" i="3"/>
  <c r="P37" i="3"/>
  <c r="O37" i="3"/>
  <c r="N37" i="3"/>
  <c r="M37" i="3"/>
  <c r="L37" i="3"/>
  <c r="K37" i="3"/>
  <c r="J37" i="3"/>
  <c r="I37" i="3"/>
  <c r="R36" i="3"/>
  <c r="Q36" i="3"/>
  <c r="P36" i="3"/>
  <c r="O36" i="3"/>
  <c r="N36" i="3"/>
  <c r="M36" i="3"/>
  <c r="L36" i="3"/>
  <c r="K36" i="3"/>
  <c r="J36" i="3"/>
  <c r="I36" i="3"/>
  <c r="R35" i="3"/>
  <c r="Q35" i="3"/>
  <c r="P35" i="3"/>
  <c r="O35" i="3"/>
  <c r="N35" i="3"/>
  <c r="M35" i="3"/>
  <c r="L35" i="3"/>
  <c r="K35" i="3"/>
  <c r="J35" i="3"/>
  <c r="I35" i="3"/>
  <c r="AC31" i="3"/>
  <c r="AD31" i="3" s="1"/>
  <c r="AA31" i="3"/>
  <c r="AB31" i="3" s="1"/>
  <c r="Y31" i="3"/>
  <c r="Z31" i="3" s="1"/>
  <c r="W31" i="3"/>
  <c r="X31" i="3" s="1"/>
  <c r="U31" i="3"/>
  <c r="V31" i="3" s="1"/>
  <c r="R30" i="3"/>
  <c r="R50" i="3" s="1"/>
  <c r="Q30" i="3"/>
  <c r="Q50" i="3" s="1"/>
  <c r="P30" i="3"/>
  <c r="P50" i="3" s="1"/>
  <c r="O30" i="3"/>
  <c r="O50" i="3" s="1"/>
  <c r="N30" i="3"/>
  <c r="N50" i="3" s="1"/>
  <c r="M30" i="3"/>
  <c r="M50" i="3" s="1"/>
  <c r="L30" i="3"/>
  <c r="L50" i="3" s="1"/>
  <c r="K30" i="3"/>
  <c r="K50" i="3" s="1"/>
  <c r="J30" i="3"/>
  <c r="J50" i="3" s="1"/>
  <c r="I30" i="3"/>
  <c r="I50" i="3" s="1"/>
  <c r="AC29" i="3"/>
  <c r="AD29" i="3" s="1"/>
  <c r="AA29" i="3"/>
  <c r="AB29" i="3" s="1"/>
  <c r="Y29" i="3"/>
  <c r="Z29" i="3" s="1"/>
  <c r="W29" i="3"/>
  <c r="X29" i="3" s="1"/>
  <c r="U29" i="3"/>
  <c r="V29" i="3" s="1"/>
  <c r="AC28" i="3"/>
  <c r="AD28" i="3" s="1"/>
  <c r="AA28" i="3"/>
  <c r="AB28" i="3" s="1"/>
  <c r="Y28" i="3"/>
  <c r="Z28" i="3" s="1"/>
  <c r="W28" i="3"/>
  <c r="X28" i="3" s="1"/>
  <c r="U28" i="3"/>
  <c r="V28" i="3" s="1"/>
  <c r="AC27" i="3"/>
  <c r="AD27" i="3" s="1"/>
  <c r="AA27" i="3"/>
  <c r="AB27" i="3" s="1"/>
  <c r="Y27" i="3"/>
  <c r="Z27" i="3" s="1"/>
  <c r="W27" i="3"/>
  <c r="X27" i="3" s="1"/>
  <c r="U27" i="3"/>
  <c r="V27" i="3" s="1"/>
  <c r="AC26" i="3"/>
  <c r="AD26" i="3" s="1"/>
  <c r="AA26" i="3"/>
  <c r="AB26" i="3" s="1"/>
  <c r="Y26" i="3"/>
  <c r="Z26" i="3" s="1"/>
  <c r="W26" i="3"/>
  <c r="X26" i="3" s="1"/>
  <c r="U26" i="3"/>
  <c r="V26" i="3" s="1"/>
  <c r="AC25" i="3"/>
  <c r="AD25" i="3" s="1"/>
  <c r="AA25" i="3"/>
  <c r="AB25" i="3" s="1"/>
  <c r="Y25" i="3"/>
  <c r="Z25" i="3" s="1"/>
  <c r="W25" i="3"/>
  <c r="X25" i="3" s="1"/>
  <c r="U25" i="3"/>
  <c r="V25" i="3" s="1"/>
  <c r="AC22" i="3"/>
  <c r="AD22" i="3" s="1"/>
  <c r="AA22" i="3"/>
  <c r="AB22" i="3" s="1"/>
  <c r="Y22" i="3"/>
  <c r="Z22" i="3" s="1"/>
  <c r="W22" i="3"/>
  <c r="X22" i="3" s="1"/>
  <c r="U22" i="3"/>
  <c r="V22" i="3" s="1"/>
  <c r="R21" i="3"/>
  <c r="R40" i="3" s="1"/>
  <c r="Q21" i="3"/>
  <c r="Q40" i="3" s="1"/>
  <c r="P21" i="3"/>
  <c r="O21" i="3"/>
  <c r="O40" i="3" s="1"/>
  <c r="N21" i="3"/>
  <c r="M21" i="3"/>
  <c r="M40" i="3" s="1"/>
  <c r="L21" i="3"/>
  <c r="L40" i="3" s="1"/>
  <c r="K21" i="3"/>
  <c r="K40" i="3" s="1"/>
  <c r="J21" i="3"/>
  <c r="I21" i="3"/>
  <c r="I40" i="3" s="1"/>
  <c r="AC20" i="3"/>
  <c r="AD20" i="3" s="1"/>
  <c r="AA20" i="3"/>
  <c r="AB20" i="3" s="1"/>
  <c r="AC19" i="3"/>
  <c r="AD19" i="3" s="1"/>
  <c r="AB19" i="3"/>
  <c r="Y19" i="3"/>
  <c r="Z19" i="3" s="1"/>
  <c r="W19" i="3"/>
  <c r="X19" i="3" s="1"/>
  <c r="U19" i="3"/>
  <c r="V19" i="3" s="1"/>
  <c r="AC18" i="3"/>
  <c r="AD18" i="3" s="1"/>
  <c r="AA18" i="3"/>
  <c r="AB18" i="3" s="1"/>
  <c r="Y18" i="3"/>
  <c r="Z18" i="3" s="1"/>
  <c r="W18" i="3"/>
  <c r="X18" i="3" s="1"/>
  <c r="U18" i="3"/>
  <c r="V18" i="3" s="1"/>
  <c r="AC17" i="3"/>
  <c r="AD17" i="3" s="1"/>
  <c r="AA17" i="3"/>
  <c r="AB17" i="3" s="1"/>
  <c r="Y17" i="3"/>
  <c r="Z17" i="3" s="1"/>
  <c r="W17" i="3"/>
  <c r="X17" i="3" s="1"/>
  <c r="U17" i="3"/>
  <c r="V17" i="3" s="1"/>
  <c r="AC16" i="3"/>
  <c r="AD16" i="3" s="1"/>
  <c r="AA16" i="3"/>
  <c r="AB16" i="3" s="1"/>
  <c r="Y16" i="3"/>
  <c r="Z16" i="3" s="1"/>
  <c r="W16" i="3"/>
  <c r="X16" i="3" s="1"/>
  <c r="U16" i="3"/>
  <c r="V16" i="3" s="1"/>
  <c r="M11" i="3"/>
  <c r="M12" i="3" s="1"/>
  <c r="C6" i="3" s="1"/>
  <c r="L11" i="3"/>
  <c r="L12" i="3" s="1"/>
  <c r="C5" i="3" s="1"/>
  <c r="K11" i="3"/>
  <c r="K12" i="3" s="1"/>
  <c r="C4" i="3" s="1"/>
  <c r="J11" i="3"/>
  <c r="J12" i="3" s="1"/>
  <c r="C3" i="3" s="1"/>
  <c r="I11" i="3"/>
  <c r="I12" i="3" s="1"/>
  <c r="C2" i="3" s="1"/>
  <c r="M4" i="3"/>
  <c r="M5" i="3" s="1"/>
  <c r="B6" i="3" s="1"/>
  <c r="L4" i="3"/>
  <c r="L5" i="3" s="1"/>
  <c r="B5" i="3" s="1"/>
  <c r="K4" i="3"/>
  <c r="K5" i="3" s="1"/>
  <c r="B4" i="3" s="1"/>
  <c r="J4" i="3"/>
  <c r="J5" i="3" s="1"/>
  <c r="B3" i="3" s="1"/>
  <c r="I4" i="3"/>
  <c r="I5" i="3" s="1"/>
  <c r="B2" i="3" s="1"/>
  <c r="L8" i="2"/>
  <c r="K8" i="2"/>
  <c r="C8" i="2"/>
  <c r="B8" i="2"/>
  <c r="D8" i="2" s="1"/>
  <c r="L7" i="2"/>
  <c r="K7" i="2"/>
  <c r="C7" i="2"/>
  <c r="E7" i="2" s="1"/>
  <c r="L6" i="2"/>
  <c r="K6" i="2"/>
  <c r="C6" i="2"/>
  <c r="B6" i="2"/>
  <c r="D7" i="2" s="1"/>
  <c r="L5" i="2"/>
  <c r="K5" i="2"/>
  <c r="C5" i="2"/>
  <c r="E6" i="2" s="1"/>
  <c r="B5" i="2"/>
  <c r="D5" i="2" s="1"/>
  <c r="L4" i="2"/>
  <c r="K4" i="2"/>
  <c r="C4" i="2"/>
  <c r="L3" i="2"/>
  <c r="K3" i="2"/>
  <c r="C3" i="2"/>
  <c r="E3" i="2" s="1"/>
  <c r="B3" i="2"/>
  <c r="D3" i="2" s="1"/>
  <c r="I22" i="1"/>
  <c r="H22" i="1"/>
  <c r="G22" i="1"/>
  <c r="F22" i="1"/>
  <c r="E22" i="1"/>
  <c r="D22" i="1"/>
  <c r="C22" i="1"/>
  <c r="R21" i="1"/>
  <c r="Q21" i="1"/>
  <c r="P21" i="1"/>
  <c r="O21" i="1"/>
  <c r="N21" i="1"/>
  <c r="M21" i="1"/>
  <c r="L21" i="1"/>
  <c r="I21" i="1"/>
  <c r="H21" i="1"/>
  <c r="G21" i="1"/>
  <c r="F21" i="1"/>
  <c r="E21" i="1"/>
  <c r="R20" i="1"/>
  <c r="Q20" i="1"/>
  <c r="P20" i="1"/>
  <c r="O20" i="1"/>
  <c r="N20" i="1"/>
  <c r="I20" i="1"/>
  <c r="H20" i="1"/>
  <c r="G20" i="1"/>
  <c r="F20" i="1"/>
  <c r="E20" i="1"/>
  <c r="R19" i="1"/>
  <c r="Q19" i="1"/>
  <c r="P19" i="1"/>
  <c r="O19" i="1"/>
  <c r="N19" i="1"/>
  <c r="I19" i="1"/>
  <c r="H19" i="1"/>
  <c r="G19" i="1"/>
  <c r="F19" i="1"/>
  <c r="E19" i="1"/>
  <c r="R18" i="1"/>
  <c r="Q18" i="1"/>
  <c r="P18" i="1"/>
  <c r="O18" i="1"/>
  <c r="N18" i="1"/>
  <c r="I18" i="1"/>
  <c r="H18" i="1"/>
  <c r="G18" i="1"/>
  <c r="F18" i="1"/>
  <c r="E18" i="1"/>
  <c r="R17" i="1"/>
  <c r="Q17" i="1"/>
  <c r="P17" i="1"/>
  <c r="O17" i="1"/>
  <c r="N17" i="1"/>
  <c r="I17" i="1"/>
  <c r="H17" i="1"/>
  <c r="G17" i="1"/>
  <c r="F17" i="1"/>
  <c r="E17" i="1"/>
  <c r="P16" i="1"/>
  <c r="O16" i="1"/>
  <c r="N16" i="1"/>
  <c r="G16" i="1"/>
  <c r="F16" i="1"/>
  <c r="E16" i="1"/>
  <c r="D10" i="1"/>
  <c r="C10" i="1"/>
  <c r="D9" i="1"/>
  <c r="C9" i="1"/>
  <c r="F8" i="1"/>
  <c r="E8" i="1"/>
  <c r="F7" i="1"/>
  <c r="E7" i="1"/>
  <c r="F6" i="1"/>
  <c r="E6" i="1"/>
  <c r="F5" i="1"/>
  <c r="E5" i="1"/>
  <c r="F4" i="1"/>
  <c r="E4" i="1"/>
  <c r="F3" i="1"/>
  <c r="E3" i="1"/>
  <c r="E8" i="2" l="1"/>
  <c r="Y30" i="3"/>
  <c r="Z30" i="3" s="1"/>
  <c r="Y21" i="3"/>
  <c r="Z21" i="3" s="1"/>
  <c r="W30" i="3"/>
  <c r="X30" i="3" s="1"/>
  <c r="AA21" i="3"/>
  <c r="AB21" i="3" s="1"/>
  <c r="U21" i="3"/>
  <c r="V21" i="3" s="1"/>
  <c r="AC21" i="3"/>
  <c r="AD21" i="3" s="1"/>
  <c r="U30" i="3"/>
  <c r="V30" i="3" s="1"/>
  <c r="AC30" i="3"/>
  <c r="AD30" i="3" s="1"/>
  <c r="P40" i="3"/>
  <c r="AA30" i="3"/>
  <c r="AB30" i="3" s="1"/>
  <c r="W21" i="3"/>
  <c r="X21" i="3" s="1"/>
  <c r="J40" i="3"/>
  <c r="N40" i="3"/>
  <c r="D4" i="2"/>
  <c r="E4" i="2"/>
  <c r="E5" i="2"/>
  <c r="D6" i="2"/>
</calcChain>
</file>

<file path=xl/sharedStrings.xml><?xml version="1.0" encoding="utf-8"?>
<sst xmlns="http://schemas.openxmlformats.org/spreadsheetml/2006/main" count="276" uniqueCount="91">
  <si>
    <t>India</t>
  </si>
  <si>
    <t>Total Value ($)</t>
  </si>
  <si>
    <t>Total Volume (KG)</t>
  </si>
  <si>
    <t>JNPT</t>
  </si>
  <si>
    <t>Mangalore Sea</t>
  </si>
  <si>
    <t>Vizag Sea</t>
  </si>
  <si>
    <t>Madras Sea</t>
  </si>
  <si>
    <t xml:space="preserve">Mundra </t>
  </si>
  <si>
    <t>Hazira</t>
  </si>
  <si>
    <t xml:space="preserve">China </t>
  </si>
  <si>
    <t>Country</t>
  </si>
  <si>
    <t>South Korea</t>
  </si>
  <si>
    <t>Indonesia</t>
  </si>
  <si>
    <t>Malaysia</t>
  </si>
  <si>
    <t>japan</t>
  </si>
  <si>
    <t>south africa</t>
  </si>
  <si>
    <t>singaopre</t>
  </si>
  <si>
    <t>Taiwan</t>
  </si>
  <si>
    <t>others</t>
  </si>
  <si>
    <t>Japan</t>
  </si>
  <si>
    <t>Others</t>
  </si>
  <si>
    <t>% share</t>
  </si>
  <si>
    <t>%share of ports</t>
  </si>
  <si>
    <t>INR/KG</t>
  </si>
  <si>
    <t>INR /Ton</t>
  </si>
  <si>
    <t>Per Unit ($/Kg)</t>
  </si>
  <si>
    <t>China</t>
  </si>
  <si>
    <t xml:space="preserve">Trade Atlas Year </t>
  </si>
  <si>
    <t>Glacial Acrylic Acid CIF (INR/Ton)</t>
  </si>
  <si>
    <t>Ester Acrylic Acid (INR/Ton)</t>
  </si>
  <si>
    <t xml:space="preserve">MCA Year </t>
  </si>
  <si>
    <t>FY 2017</t>
  </si>
  <si>
    <t>FY 2018</t>
  </si>
  <si>
    <t>FY 2019</t>
  </si>
  <si>
    <t>FY 2020</t>
  </si>
  <si>
    <t>FY 2021</t>
  </si>
  <si>
    <t>FY 2022</t>
  </si>
  <si>
    <t>FY 2023</t>
  </si>
  <si>
    <t xml:space="preserve">%share of Value </t>
  </si>
  <si>
    <t>%share of Volume</t>
  </si>
  <si>
    <t>Year</t>
  </si>
  <si>
    <t>Average USD/INR</t>
  </si>
  <si>
    <t>Min USD/INR</t>
  </si>
  <si>
    <t>Max USD/INR</t>
  </si>
  <si>
    <t>Nb of working days</t>
  </si>
  <si>
    <t>Price USD/Ton</t>
  </si>
  <si>
    <t>Price INR/Ton</t>
  </si>
  <si>
    <t>GAA Import Value (USD)</t>
  </si>
  <si>
    <t>GAA Import Volume (Ton)</t>
  </si>
  <si>
    <t>EAA Import Value (USD)</t>
  </si>
  <si>
    <t>EAA Import Volume (ton)</t>
  </si>
  <si>
    <t xml:space="preserve">ITC </t>
  </si>
  <si>
    <t>JNPT  2022</t>
  </si>
  <si>
    <t>Vizag Sea 2022</t>
  </si>
  <si>
    <t xml:space="preserve">Value </t>
  </si>
  <si>
    <t>Volume</t>
  </si>
  <si>
    <t>Korea, Republic of</t>
  </si>
  <si>
    <t>EAA</t>
  </si>
  <si>
    <t xml:space="preserve">Others </t>
  </si>
  <si>
    <t>Total</t>
  </si>
  <si>
    <t>Taipei, Chinese</t>
  </si>
  <si>
    <t>USD/Ton</t>
  </si>
  <si>
    <t>INR/Ton</t>
  </si>
  <si>
    <t>Value (USD)</t>
  </si>
  <si>
    <t>Volume (Ton)</t>
  </si>
  <si>
    <t xml:space="preserve">EAA </t>
  </si>
  <si>
    <t>Acrylic Acid</t>
  </si>
  <si>
    <t xml:space="preserve">Acrylic Acid </t>
  </si>
  <si>
    <t>MCA Data</t>
  </si>
  <si>
    <t xml:space="preserve">Volume </t>
  </si>
  <si>
    <t xml:space="preserve">Glacial </t>
  </si>
  <si>
    <t>Acrylic Acid CIF (INR/Ton)</t>
  </si>
  <si>
    <t>ASP (Acrylic Acid)</t>
  </si>
  <si>
    <t>ASP (Glacial Acrylic Acid)</t>
  </si>
  <si>
    <t>ASP (Crude Acrylic Acid)</t>
  </si>
  <si>
    <t>FY2018</t>
  </si>
  <si>
    <t>FY2019</t>
  </si>
  <si>
    <t>FY2020</t>
  </si>
  <si>
    <t>FY2021</t>
  </si>
  <si>
    <t>FY2022</t>
  </si>
  <si>
    <t>FY2023</t>
  </si>
  <si>
    <t>Simple Average Price</t>
  </si>
  <si>
    <t>Port</t>
  </si>
  <si>
    <t>Volume (KG)</t>
  </si>
  <si>
    <t>Value ($)</t>
  </si>
  <si>
    <t>Vol. %</t>
  </si>
  <si>
    <t>Value %</t>
  </si>
  <si>
    <t>Korea</t>
  </si>
  <si>
    <t>Mundra</t>
  </si>
  <si>
    <t>Vizag</t>
  </si>
  <si>
    <t>Weighted Average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</si>
</sst>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0"/>
      <color theme="0"/>
      <name val="Times New Roman"/>
      <family val="1"/>
    </font>
    <font>
      <b/>
      <sz val="10"/>
      <color rgb="FF00008B"/>
      <name val="Helvetica"/>
    </font>
    <font>
      <sz val="10"/>
      <color rgb="FF0000FF"/>
      <name val="Helvetica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0"/>
      <name val="Atrial"/>
    </font>
    <font>
      <sz val="10"/>
      <color theme="1"/>
      <name val="Atrial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color theme="0"/>
      <name val="Verdana"/>
      <family val="2"/>
    </font>
    <font>
      <b/>
      <sz val="15"/>
      <color indexed="56"/>
      <name val="Calibri"/>
      <family val="2"/>
    </font>
    <font>
      <sz val="8"/>
      <name val="Calibri"/>
      <family val="2"/>
      <scheme val="minor"/>
    </font>
    <font>
      <sz val="11"/>
      <color rgb="FF44546A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18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3" fillId="0" borderId="0"/>
    <xf numFmtId="0" fontId="16" fillId="0" borderId="6" applyNumberFormat="0" applyFill="0" applyAlignment="0" applyProtection="0"/>
    <xf numFmtId="0" fontId="13" fillId="0" borderId="0"/>
    <xf numFmtId="9" fontId="13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</cellStyleXfs>
  <cellXfs count="90">
    <xf numFmtId="0" fontId="0" fillId="0" borderId="0" xfId="0"/>
    <xf numFmtId="0" fontId="3" fillId="0" borderId="1" xfId="0" applyFont="1" applyBorder="1"/>
    <xf numFmtId="0" fontId="4" fillId="0" borderId="1" xfId="0" applyFont="1" applyBorder="1" applyAlignment="1">
      <alignment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9" fontId="0" fillId="0" borderId="1" xfId="1" applyFont="1" applyBorder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0" fillId="3" borderId="1" xfId="0" applyFill="1" applyBorder="1"/>
    <xf numFmtId="9" fontId="0" fillId="3" borderId="1" xfId="1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4" fontId="2" fillId="4" borderId="1" xfId="0" applyNumberFormat="1" applyFont="1" applyFill="1" applyBorder="1"/>
    <xf numFmtId="0" fontId="2" fillId="4" borderId="0" xfId="0" applyFont="1" applyFill="1"/>
    <xf numFmtId="0" fontId="5" fillId="4" borderId="1" xfId="0" applyFont="1" applyFill="1" applyBorder="1" applyAlignment="1">
      <alignment vertical="center"/>
    </xf>
    <xf numFmtId="0" fontId="6" fillId="4" borderId="1" xfId="0" applyFont="1" applyFill="1" applyBorder="1"/>
    <xf numFmtId="0" fontId="4" fillId="3" borderId="1" xfId="0" applyFont="1" applyFill="1" applyBorder="1" applyAlignment="1">
      <alignment vertical="center"/>
    </xf>
    <xf numFmtId="1" fontId="0" fillId="5" borderId="1" xfId="0" applyNumberForma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7" fillId="6" borderId="2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9" fillId="0" borderId="1" xfId="0" applyFont="1" applyBorder="1"/>
    <xf numFmtId="0" fontId="10" fillId="4" borderId="1" xfId="0" applyFont="1" applyFill="1" applyBorder="1"/>
    <xf numFmtId="0" fontId="10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/>
    <xf numFmtId="0" fontId="9" fillId="3" borderId="1" xfId="0" applyFont="1" applyFill="1" applyBorder="1" applyAlignment="1">
      <alignment horizontal="center"/>
    </xf>
    <xf numFmtId="9" fontId="9" fillId="0" borderId="1" xfId="1" applyFont="1" applyBorder="1" applyAlignment="1">
      <alignment horizontal="center"/>
    </xf>
    <xf numFmtId="9" fontId="9" fillId="3" borderId="1" xfId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9" fillId="3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1" fontId="9" fillId="0" borderId="1" xfId="0" applyNumberFormat="1" applyFont="1" applyBorder="1"/>
    <xf numFmtId="1" fontId="9" fillId="3" borderId="1" xfId="0" applyNumberFormat="1" applyFont="1" applyFill="1" applyBorder="1"/>
    <xf numFmtId="1" fontId="0" fillId="0" borderId="0" xfId="0" applyNumberFormat="1"/>
    <xf numFmtId="1" fontId="9" fillId="5" borderId="1" xfId="0" applyNumberFormat="1" applyFont="1" applyFill="1" applyBorder="1" applyAlignment="1">
      <alignment horizontal="center"/>
    </xf>
    <xf numFmtId="2" fontId="0" fillId="0" borderId="5" xfId="1" applyNumberFormat="1" applyFont="1" applyFill="1" applyBorder="1"/>
    <xf numFmtId="0" fontId="10" fillId="2" borderId="1" xfId="0" applyFont="1" applyFill="1" applyBorder="1"/>
    <xf numFmtId="0" fontId="9" fillId="2" borderId="1" xfId="0" applyFont="1" applyFill="1" applyBorder="1"/>
    <xf numFmtId="1" fontId="9" fillId="2" borderId="1" xfId="0" applyNumberFormat="1" applyFont="1" applyFill="1" applyBorder="1"/>
    <xf numFmtId="0" fontId="13" fillId="2" borderId="1" xfId="0" applyFont="1" applyFill="1" applyBorder="1"/>
    <xf numFmtId="0" fontId="13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4" fillId="2" borderId="1" xfId="0" applyFont="1" applyFill="1" applyBorder="1"/>
    <xf numFmtId="9" fontId="13" fillId="2" borderId="1" xfId="1" applyFont="1" applyFill="1" applyBorder="1" applyAlignment="1">
      <alignment horizontal="center"/>
    </xf>
    <xf numFmtId="3" fontId="9" fillId="3" borderId="1" xfId="0" applyNumberFormat="1" applyFont="1" applyFill="1" applyBorder="1"/>
    <xf numFmtId="3" fontId="9" fillId="0" borderId="1" xfId="0" applyNumberFormat="1" applyFont="1" applyBorder="1"/>
    <xf numFmtId="2" fontId="0" fillId="0" borderId="1" xfId="0" applyNumberForma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0" fontId="10" fillId="4" borderId="0" xfId="0" applyFont="1" applyFill="1" applyAlignment="1">
      <alignment horizontal="center"/>
    </xf>
    <xf numFmtId="0" fontId="10" fillId="4" borderId="0" xfId="0" applyFont="1" applyFill="1"/>
    <xf numFmtId="0" fontId="13" fillId="2" borderId="0" xfId="0" applyFont="1" applyFill="1" applyAlignment="1">
      <alignment horizontal="center"/>
    </xf>
    <xf numFmtId="9" fontId="9" fillId="3" borderId="0" xfId="1" applyFont="1" applyFill="1" applyBorder="1" applyAlignment="1">
      <alignment horizontal="center"/>
    </xf>
    <xf numFmtId="0" fontId="13" fillId="2" borderId="0" xfId="0" applyFont="1" applyFill="1"/>
    <xf numFmtId="9" fontId="13" fillId="2" borderId="0" xfId="1" applyFont="1" applyFill="1" applyBorder="1" applyAlignment="1">
      <alignment horizontal="center"/>
    </xf>
    <xf numFmtId="0" fontId="9" fillId="0" borderId="5" xfId="0" applyFont="1" applyBorder="1"/>
    <xf numFmtId="1" fontId="0" fillId="0" borderId="1" xfId="0" applyNumberFormat="1" applyBorder="1"/>
    <xf numFmtId="1" fontId="0" fillId="3" borderId="1" xfId="0" applyNumberFormat="1" applyFill="1" applyBorder="1"/>
    <xf numFmtId="10" fontId="0" fillId="0" borderId="1" xfId="0" applyNumberFormat="1" applyBorder="1"/>
    <xf numFmtId="10" fontId="0" fillId="3" borderId="1" xfId="0" applyNumberFormat="1" applyFill="1" applyBorder="1"/>
    <xf numFmtId="0" fontId="0" fillId="7" borderId="1" xfId="0" applyFill="1" applyBorder="1"/>
    <xf numFmtId="1" fontId="0" fillId="7" borderId="1" xfId="0" applyNumberFormat="1" applyFill="1" applyBorder="1"/>
    <xf numFmtId="10" fontId="0" fillId="7" borderId="1" xfId="0" applyNumberFormat="1" applyFill="1" applyBorder="1"/>
    <xf numFmtId="0" fontId="15" fillId="4" borderId="1" xfId="2" applyFont="1" applyFill="1" applyBorder="1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right" vertical="center"/>
    </xf>
    <xf numFmtId="0" fontId="18" fillId="8" borderId="7" xfId="0" applyFont="1" applyFill="1" applyBorder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9" fontId="0" fillId="3" borderId="0" xfId="1" applyFont="1" applyFill="1"/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9">
    <cellStyle name="Heading 1 2" xfId="3" xr:uid="{B8E246E6-2C99-4C02-9823-583A9AA7B91A}"/>
    <cellStyle name="Normal" xfId="0" builtinId="0"/>
    <cellStyle name="Normal 2" xfId="2" xr:uid="{C40D7D81-14C1-499B-A32C-F19E5BD43CD1}"/>
    <cellStyle name="Normal 2 2" xfId="7" xr:uid="{85F68C98-26B7-4AD5-AF8A-38DFCB371164}"/>
    <cellStyle name="Normal 4" xfId="6" xr:uid="{7DAAC247-8EBB-4E56-9C1E-051AB11E8DE7}"/>
    <cellStyle name="Normal 5" xfId="8" xr:uid="{51650F2B-82C7-4CF5-A3F1-1514CB66312D}"/>
    <cellStyle name="Normal 6" xfId="4" xr:uid="{5406BB3E-0486-4662-9E9E-EC97715F0386}"/>
    <cellStyle name="Percent" xfId="1" builtinId="5"/>
    <cellStyle name="Percent 3" xfId="5" xr:uid="{9CA7BFCF-3397-4A33-A6CD-66D4590809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JNPT Port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Ports!$B$16:$B$22</c:f>
              <c:strCache>
                <c:ptCount val="7"/>
                <c:pt idx="0">
                  <c:v>JNPT</c:v>
                </c:pt>
                <c:pt idx="1">
                  <c:v>China </c:v>
                </c:pt>
                <c:pt idx="2">
                  <c:v>South Korea</c:v>
                </c:pt>
                <c:pt idx="3">
                  <c:v>Indonesia</c:v>
                </c:pt>
                <c:pt idx="4">
                  <c:v>Malaysia</c:v>
                </c:pt>
                <c:pt idx="5">
                  <c:v>Japan</c:v>
                </c:pt>
                <c:pt idx="6">
                  <c:v>Others</c:v>
                </c:pt>
              </c:strCache>
            </c:strRef>
          </c:cat>
          <c:val>
            <c:numRef>
              <c:f>Ports!$G$16:$G$22</c:f>
              <c:numCache>
                <c:formatCode>0</c:formatCode>
                <c:ptCount val="7"/>
                <c:pt idx="0">
                  <c:v>161666.45788065586</c:v>
                </c:pt>
                <c:pt idx="1">
                  <c:v>156907.95495375321</c:v>
                </c:pt>
                <c:pt idx="2">
                  <c:v>154764.75559043288</c:v>
                </c:pt>
                <c:pt idx="3">
                  <c:v>165009.32265768538</c:v>
                </c:pt>
                <c:pt idx="4">
                  <c:v>168099.84636809668</c:v>
                </c:pt>
                <c:pt idx="5">
                  <c:v>194572.44222656754</c:v>
                </c:pt>
                <c:pt idx="6">
                  <c:v>172287.67618658821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C-48FC-9887-A7B374D65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05839"/>
        <c:axId val="102506319"/>
      </c:barChart>
      <c:catAx>
        <c:axId val="1025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6319"/>
        <c:crosses val="autoZero"/>
        <c:auto val="1"/>
        <c:lblAlgn val="ctr"/>
        <c:lblOffset val="100"/>
        <c:noMultiLvlLbl val="0"/>
      </c:catAx>
      <c:valAx>
        <c:axId val="10250631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Vizag</a:t>
            </a:r>
            <a:r>
              <a:rPr lang="en-IN" baseline="0"/>
              <a:t> Sea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Ports!$K$16:$K$21</c:f>
              <c:strCache>
                <c:ptCount val="6"/>
                <c:pt idx="0">
                  <c:v>Vizag Sea</c:v>
                </c:pt>
                <c:pt idx="1">
                  <c:v>China</c:v>
                </c:pt>
                <c:pt idx="2">
                  <c:v>South Korea</c:v>
                </c:pt>
                <c:pt idx="3">
                  <c:v>Indonesia</c:v>
                </c:pt>
                <c:pt idx="4">
                  <c:v>Japan</c:v>
                </c:pt>
                <c:pt idx="5">
                  <c:v>Others</c:v>
                </c:pt>
              </c:strCache>
            </c:strRef>
          </c:cat>
          <c:val>
            <c:numRef>
              <c:f>Ports!$P$16:$P$21</c:f>
              <c:numCache>
                <c:formatCode>0</c:formatCode>
                <c:ptCount val="6"/>
                <c:pt idx="0">
                  <c:v>151726.80019640617</c:v>
                </c:pt>
                <c:pt idx="1">
                  <c:v>170276.02103907918</c:v>
                </c:pt>
                <c:pt idx="2">
                  <c:v>153471.45104199045</c:v>
                </c:pt>
                <c:pt idx="3">
                  <c:v>129827.01086329183</c:v>
                </c:pt>
                <c:pt idx="4">
                  <c:v>120702.96969645022</c:v>
                </c:pt>
                <c:pt idx="5">
                  <c:v>268284.09551975067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6-4C3A-8D42-256223E76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77375"/>
        <c:axId val="173578335"/>
      </c:barChart>
      <c:catAx>
        <c:axId val="17357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78335"/>
        <c:crosses val="autoZero"/>
        <c:auto val="1"/>
        <c:lblAlgn val="ctr"/>
        <c:lblOffset val="100"/>
        <c:noMultiLvlLbl val="0"/>
      </c:catAx>
      <c:valAx>
        <c:axId val="17357833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7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Glacial Acrylic Acid CIF (INR/Ton)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Charts!$A$2:$A$8</c:f>
              <c:strCache>
                <c:ptCount val="7"/>
                <c:pt idx="0">
                  <c:v>FY 2017</c:v>
                </c:pt>
                <c:pt idx="1">
                  <c:v>FY 2018</c:v>
                </c:pt>
                <c:pt idx="2">
                  <c:v>FY 2019</c:v>
                </c:pt>
                <c:pt idx="3">
                  <c:v>FY 2020</c:v>
                </c:pt>
                <c:pt idx="4">
                  <c:v>FY 2021</c:v>
                </c:pt>
                <c:pt idx="5">
                  <c:v>FY 2022</c:v>
                </c:pt>
                <c:pt idx="6">
                  <c:v>FY 2023</c:v>
                </c:pt>
              </c:strCache>
            </c:strRef>
          </c:cat>
          <c:val>
            <c:numRef>
              <c:f>Charts!$B$2:$B$8</c:f>
              <c:numCache>
                <c:formatCode>0</c:formatCode>
                <c:ptCount val="7"/>
                <c:pt idx="0" formatCode="General">
                  <c:v>95678</c:v>
                </c:pt>
                <c:pt idx="1">
                  <c:v>89256.665948943992</c:v>
                </c:pt>
                <c:pt idx="2">
                  <c:v>94235</c:v>
                </c:pt>
                <c:pt idx="3">
                  <c:v>73362.328755183335</c:v>
                </c:pt>
                <c:pt idx="4">
                  <c:v>85103.305187322447</c:v>
                </c:pt>
                <c:pt idx="5">
                  <c:v>120564</c:v>
                </c:pt>
                <c:pt idx="6">
                  <c:v>127079.21878230784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C-4548-A8A6-CCE1BA6C6E91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Ester Acrylic Acid (INR/Ton)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Charts!$A$2:$A$8</c:f>
              <c:strCache>
                <c:ptCount val="7"/>
                <c:pt idx="0">
                  <c:v>FY 2017</c:v>
                </c:pt>
                <c:pt idx="1">
                  <c:v>FY 2018</c:v>
                </c:pt>
                <c:pt idx="2">
                  <c:v>FY 2019</c:v>
                </c:pt>
                <c:pt idx="3">
                  <c:v>FY 2020</c:v>
                </c:pt>
                <c:pt idx="4">
                  <c:v>FY 2021</c:v>
                </c:pt>
                <c:pt idx="5">
                  <c:v>FY 2022</c:v>
                </c:pt>
                <c:pt idx="6">
                  <c:v>FY 2023</c:v>
                </c:pt>
              </c:strCache>
            </c:strRef>
          </c:cat>
          <c:val>
            <c:numRef>
              <c:f>Charts!$C$2:$C$8</c:f>
              <c:numCache>
                <c:formatCode>0</c:formatCode>
                <c:ptCount val="7"/>
                <c:pt idx="0" formatCode="General">
                  <c:v>193456</c:v>
                </c:pt>
                <c:pt idx="1">
                  <c:v>180900.31044737968</c:v>
                </c:pt>
                <c:pt idx="2">
                  <c:v>250948.96397330004</c:v>
                </c:pt>
                <c:pt idx="3">
                  <c:v>229600.78704041772</c:v>
                </c:pt>
                <c:pt idx="4">
                  <c:v>216448.24496256129</c:v>
                </c:pt>
                <c:pt idx="5">
                  <c:v>183485.11176484494</c:v>
                </c:pt>
                <c:pt idx="6">
                  <c:v>214134.07081599449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C-4548-A8A6-CCE1BA6C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525920"/>
        <c:axId val="255526400"/>
      </c:lineChart>
      <c:catAx>
        <c:axId val="2555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26400"/>
        <c:crosses val="autoZero"/>
        <c:auto val="1"/>
        <c:lblAlgn val="ctr"/>
        <c:lblOffset val="100"/>
        <c:noMultiLvlLbl val="0"/>
      </c:catAx>
      <c:valAx>
        <c:axId val="25552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Charts!$I$1</c:f>
              <c:strCache>
                <c:ptCount val="1"/>
                <c:pt idx="0">
                  <c:v>Glacial Acrylic Acid CIF (INR/Ton)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Charts!$H$2:$H$8</c:f>
              <c:strCache>
                <c:ptCount val="7"/>
                <c:pt idx="0">
                  <c:v>FY 2017</c:v>
                </c:pt>
                <c:pt idx="1">
                  <c:v>FY 2018</c:v>
                </c:pt>
                <c:pt idx="2">
                  <c:v>FY 2019</c:v>
                </c:pt>
                <c:pt idx="3">
                  <c:v>FY 2020</c:v>
                </c:pt>
                <c:pt idx="4">
                  <c:v>FY 2021</c:v>
                </c:pt>
                <c:pt idx="5">
                  <c:v>FY 2022</c:v>
                </c:pt>
                <c:pt idx="6">
                  <c:v>FY 2023</c:v>
                </c:pt>
              </c:strCache>
            </c:strRef>
          </c:cat>
          <c:val>
            <c:numRef>
              <c:f>Charts!$I$2:$I$8</c:f>
              <c:numCache>
                <c:formatCode>0</c:formatCode>
                <c:ptCount val="7"/>
                <c:pt idx="0">
                  <c:v>67988.336080703433</c:v>
                </c:pt>
                <c:pt idx="1">
                  <c:v>83686.838303127326</c:v>
                </c:pt>
                <c:pt idx="2">
                  <c:v>93796.193870910909</c:v>
                </c:pt>
                <c:pt idx="3">
                  <c:v>79433.80681134999</c:v>
                </c:pt>
                <c:pt idx="4">
                  <c:v>80294.860013961137</c:v>
                </c:pt>
                <c:pt idx="5">
                  <c:v>148921.43815846395</c:v>
                </c:pt>
                <c:pt idx="6">
                  <c:v>133102.3088724335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A-489E-895B-3887461F7950}"/>
            </c:ext>
          </c:extLst>
        </c:ser>
        <c:ser>
          <c:idx val="1"/>
          <c:order val="1"/>
          <c:tx>
            <c:strRef>
              <c:f>Charts!$J$1</c:f>
              <c:strCache>
                <c:ptCount val="1"/>
                <c:pt idx="0">
                  <c:v>Ester Acrylic Acid (INR/Ton)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Charts!$H$2:$H$8</c:f>
              <c:strCache>
                <c:ptCount val="7"/>
                <c:pt idx="0">
                  <c:v>FY 2017</c:v>
                </c:pt>
                <c:pt idx="1">
                  <c:v>FY 2018</c:v>
                </c:pt>
                <c:pt idx="2">
                  <c:v>FY 2019</c:v>
                </c:pt>
                <c:pt idx="3">
                  <c:v>FY 2020</c:v>
                </c:pt>
                <c:pt idx="4">
                  <c:v>FY 2021</c:v>
                </c:pt>
                <c:pt idx="5">
                  <c:v>FY 2022</c:v>
                </c:pt>
                <c:pt idx="6">
                  <c:v>FY 2023</c:v>
                </c:pt>
              </c:strCache>
            </c:strRef>
          </c:cat>
          <c:val>
            <c:numRef>
              <c:f>Charts!$J$2:$J$8</c:f>
              <c:numCache>
                <c:formatCode>0</c:formatCode>
                <c:ptCount val="7"/>
                <c:pt idx="0">
                  <c:v>119330.33393595954</c:v>
                </c:pt>
                <c:pt idx="1">
                  <c:v>134799.36958926494</c:v>
                </c:pt>
                <c:pt idx="2">
                  <c:v>165886.6973921507</c:v>
                </c:pt>
                <c:pt idx="3">
                  <c:v>152488.93170974136</c:v>
                </c:pt>
                <c:pt idx="4">
                  <c:v>159491.93848412053</c:v>
                </c:pt>
                <c:pt idx="5">
                  <c:v>256499.24336657595</c:v>
                </c:pt>
                <c:pt idx="6">
                  <c:v>201227.71698745931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A-489E-895B-3887461F7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79536"/>
        <c:axId val="178179056"/>
      </c:lineChart>
      <c:catAx>
        <c:axId val="1781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9056"/>
        <c:crosses val="autoZero"/>
        <c:auto val="1"/>
        <c:lblAlgn val="ctr"/>
        <c:lblOffset val="100"/>
        <c:noMultiLvlLbl val="0"/>
      </c:catAx>
      <c:valAx>
        <c:axId val="17817905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'ITC price'!$B$1</c:f>
              <c:strCache>
                <c:ptCount val="1"/>
                <c:pt idx="0">
                  <c:v>Glacial Acrylic Acid CIF (INR/Ton)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'ITC price'!$A$2:$A$6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'ITC price'!$B$2:$B$6</c:f>
              <c:numCache>
                <c:formatCode>0</c:formatCode>
                <c:ptCount val="5"/>
                <c:pt idx="0">
                  <c:v>82969.672062688638</c:v>
                </c:pt>
                <c:pt idx="1">
                  <c:v>92348.645724238144</c:v>
                </c:pt>
                <c:pt idx="2">
                  <c:v>84846.457998041369</c:v>
                </c:pt>
                <c:pt idx="3">
                  <c:v>73686.699814788284</c:v>
                </c:pt>
                <c:pt idx="4">
                  <c:v>122362.22399834746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7-4372-8AF8-AA495AAE8FA4}"/>
            </c:ext>
          </c:extLst>
        </c:ser>
        <c:ser>
          <c:idx val="1"/>
          <c:order val="1"/>
          <c:tx>
            <c:strRef>
              <c:f>'ITC price'!$C$1</c:f>
              <c:strCache>
                <c:ptCount val="1"/>
                <c:pt idx="0">
                  <c:v>Ester Acrylic Acid (INR/Ton)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'ITC price'!$A$2:$A$6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'ITC price'!$C$2:$C$6</c:f>
              <c:numCache>
                <c:formatCode>0</c:formatCode>
                <c:ptCount val="5"/>
                <c:pt idx="0">
                  <c:v>134000.05892755018</c:v>
                </c:pt>
                <c:pt idx="1">
                  <c:v>158874.68790964485</c:v>
                </c:pt>
                <c:pt idx="2">
                  <c:v>152305.91558694936</c:v>
                </c:pt>
                <c:pt idx="3">
                  <c:v>152088.97577392537</c:v>
                </c:pt>
                <c:pt idx="4">
                  <c:v>234565.849993952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7-4372-8AF8-AA495AAE8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0447"/>
        <c:axId val="842538447"/>
      </c:lineChart>
      <c:catAx>
        <c:axId val="84255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38447"/>
        <c:crosses val="autoZero"/>
        <c:auto val="1"/>
        <c:lblAlgn val="ctr"/>
        <c:lblOffset val="100"/>
        <c:noMultiLvlLbl val="0"/>
      </c:catAx>
      <c:valAx>
        <c:axId val="84253844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GAA</a:t>
            </a:r>
            <a:r>
              <a:rPr lang="en-IN" baseline="0"/>
              <a:t> 2021 Import Volume Share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'ITC price'!$F$35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'ITC price'!$R$33</c:f>
              <c:numCache>
                <c:formatCode>General</c:formatCode>
                <c:ptCount val="1"/>
              </c:numCache>
            </c:numRef>
          </c:cat>
          <c:val>
            <c:numRef>
              <c:f>'ITC price'!$R$35</c:f>
              <c:numCache>
                <c:formatCode>0%</c:formatCode>
                <c:ptCount val="1"/>
                <c:pt idx="0">
                  <c:v>0.43546288808410394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6-4CEF-8FE8-F3323E924D05}"/>
            </c:ext>
          </c:extLst>
        </c:ser>
        <c:ser>
          <c:idx val="1"/>
          <c:order val="1"/>
          <c:tx>
            <c:strRef>
              <c:f>'ITC price'!$F$36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'ITC price'!$R$33</c:f>
              <c:numCache>
                <c:formatCode>General</c:formatCode>
                <c:ptCount val="1"/>
              </c:numCache>
            </c:numRef>
          </c:cat>
          <c:val>
            <c:numRef>
              <c:f>'ITC price'!$R$36</c:f>
              <c:numCache>
                <c:formatCode>0%</c:formatCode>
                <c:ptCount val="1"/>
                <c:pt idx="0">
                  <c:v>0.14561724271298476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6-4CEF-8FE8-F3323E924D05}"/>
            </c:ext>
          </c:extLst>
        </c:ser>
        <c:ser>
          <c:idx val="2"/>
          <c:order val="2"/>
          <c:tx>
            <c:strRef>
              <c:f>'ITC price'!$F$37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'ITC price'!$R$33</c:f>
              <c:numCache>
                <c:formatCode>General</c:formatCode>
                <c:ptCount val="1"/>
              </c:numCache>
            </c:numRef>
          </c:cat>
          <c:val>
            <c:numRef>
              <c:f>'ITC price'!$R$37</c:f>
              <c:numCache>
                <c:formatCode>0%</c:formatCode>
                <c:ptCount val="1"/>
                <c:pt idx="0">
                  <c:v>0.14115185823283288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6-4CEF-8FE8-F3323E924D05}"/>
            </c:ext>
          </c:extLst>
        </c:ser>
        <c:ser>
          <c:idx val="3"/>
          <c:order val="3"/>
          <c:tx>
            <c:strRef>
              <c:f>'ITC price'!$F$38</c:f>
              <c:strCache>
                <c:ptCount val="1"/>
                <c:pt idx="0">
                  <c:v>Korea, Republic of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'ITC price'!$R$33</c:f>
              <c:numCache>
                <c:formatCode>General</c:formatCode>
                <c:ptCount val="1"/>
              </c:numCache>
            </c:numRef>
          </c:cat>
          <c:val>
            <c:numRef>
              <c:f>'ITC price'!$R$38</c:f>
              <c:numCache>
                <c:formatCode>0%</c:formatCode>
                <c:ptCount val="1"/>
                <c:pt idx="0">
                  <c:v>0.1340142751661334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86-4CEF-8FE8-F3323E924D05}"/>
            </c:ext>
          </c:extLst>
        </c:ser>
        <c:ser>
          <c:idx val="4"/>
          <c:order val="4"/>
          <c:tx>
            <c:strRef>
              <c:f>'ITC price'!$F$39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'ITC price'!$R$33</c:f>
              <c:numCache>
                <c:formatCode>General</c:formatCode>
                <c:ptCount val="1"/>
              </c:numCache>
            </c:numRef>
          </c:cat>
          <c:val>
            <c:numRef>
              <c:f>'ITC price'!$R$39</c:f>
              <c:numCache>
                <c:formatCode>0%</c:formatCode>
                <c:ptCount val="1"/>
                <c:pt idx="0">
                  <c:v>9.4089518652649348E-2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86-4CEF-8FE8-F3323E924D05}"/>
            </c:ext>
          </c:extLst>
        </c:ser>
        <c:ser>
          <c:idx val="5"/>
          <c:order val="5"/>
          <c:tx>
            <c:strRef>
              <c:f>'ITC price'!$F$40</c:f>
              <c:strCache>
                <c:ptCount val="1"/>
                <c:pt idx="0">
                  <c:v>Others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'ITC price'!$R$33</c:f>
              <c:numCache>
                <c:formatCode>General</c:formatCode>
                <c:ptCount val="1"/>
              </c:numCache>
            </c:numRef>
          </c:cat>
          <c:val>
            <c:numRef>
              <c:f>'ITC price'!$R$40</c:f>
              <c:numCache>
                <c:formatCode>0%</c:formatCode>
                <c:ptCount val="1"/>
                <c:pt idx="0">
                  <c:v>4.9664217151295667E-2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86-4CEF-8FE8-F3323E924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511600"/>
        <c:axId val="1289530320"/>
      </c:barChart>
      <c:catAx>
        <c:axId val="12895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30320"/>
        <c:crosses val="autoZero"/>
        <c:auto val="1"/>
        <c:lblAlgn val="ctr"/>
        <c:lblOffset val="100"/>
        <c:noMultiLvlLbl val="0"/>
      </c:catAx>
      <c:valAx>
        <c:axId val="12895303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EAA 2021 Import Volume</a:t>
            </a:r>
            <a:r>
              <a:rPr lang="en-IN" baseline="0"/>
              <a:t> share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'ITC price'!$F$45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'ITC price'!$R$43</c:f>
              <c:numCache>
                <c:formatCode>General</c:formatCode>
                <c:ptCount val="1"/>
              </c:numCache>
            </c:numRef>
          </c:cat>
          <c:val>
            <c:numRef>
              <c:f>'ITC price'!$R$45</c:f>
              <c:numCache>
                <c:formatCode>0%</c:formatCode>
                <c:ptCount val="1"/>
                <c:pt idx="0">
                  <c:v>0.34341737880865447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9-41BA-ABA5-76714B268196}"/>
            </c:ext>
          </c:extLst>
        </c:ser>
        <c:ser>
          <c:idx val="1"/>
          <c:order val="1"/>
          <c:tx>
            <c:strRef>
              <c:f>'ITC price'!$F$46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'ITC price'!$R$43</c:f>
              <c:numCache>
                <c:formatCode>General</c:formatCode>
                <c:ptCount val="1"/>
              </c:numCache>
            </c:numRef>
          </c:cat>
          <c:val>
            <c:numRef>
              <c:f>'ITC price'!$R$46</c:f>
              <c:numCache>
                <c:formatCode>0%</c:formatCode>
                <c:ptCount val="1"/>
                <c:pt idx="0">
                  <c:v>0.24867812588945473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9-41BA-ABA5-76714B268196}"/>
            </c:ext>
          </c:extLst>
        </c:ser>
        <c:ser>
          <c:idx val="2"/>
          <c:order val="2"/>
          <c:tx>
            <c:strRef>
              <c:f>'ITC price'!$F$47</c:f>
              <c:strCache>
                <c:ptCount val="1"/>
                <c:pt idx="0">
                  <c:v>Korea, Republic of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'ITC price'!$R$43</c:f>
              <c:numCache>
                <c:formatCode>General</c:formatCode>
                <c:ptCount val="1"/>
              </c:numCache>
            </c:numRef>
          </c:cat>
          <c:val>
            <c:numRef>
              <c:f>'ITC price'!$R$47</c:f>
              <c:numCache>
                <c:formatCode>0%</c:formatCode>
                <c:ptCount val="1"/>
                <c:pt idx="0">
                  <c:v>0.13497536762578335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9-41BA-ABA5-76714B268196}"/>
            </c:ext>
          </c:extLst>
        </c:ser>
        <c:ser>
          <c:idx val="3"/>
          <c:order val="3"/>
          <c:tx>
            <c:strRef>
              <c:f>'ITC price'!$F$48</c:f>
              <c:strCache>
                <c:ptCount val="1"/>
                <c:pt idx="0">
                  <c:v>Taipei, Chinese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'ITC price'!$R$43</c:f>
              <c:numCache>
                <c:formatCode>General</c:formatCode>
                <c:ptCount val="1"/>
              </c:numCache>
            </c:numRef>
          </c:cat>
          <c:val>
            <c:numRef>
              <c:f>'ITC price'!$R$48</c:f>
              <c:numCache>
                <c:formatCode>0%</c:formatCode>
                <c:ptCount val="1"/>
                <c:pt idx="0">
                  <c:v>0.12253339163661671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9-41BA-ABA5-76714B268196}"/>
            </c:ext>
          </c:extLst>
        </c:ser>
        <c:ser>
          <c:idx val="4"/>
          <c:order val="4"/>
          <c:tx>
            <c:strRef>
              <c:f>'ITC price'!$F$49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'ITC price'!$R$43</c:f>
              <c:numCache>
                <c:formatCode>General</c:formatCode>
                <c:ptCount val="1"/>
              </c:numCache>
            </c:numRef>
          </c:cat>
          <c:val>
            <c:numRef>
              <c:f>'ITC price'!$R$49</c:f>
              <c:numCache>
                <c:formatCode>0%</c:formatCode>
                <c:ptCount val="1"/>
                <c:pt idx="0">
                  <c:v>4.502422893418942E-2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9-41BA-ABA5-76714B268196}"/>
            </c:ext>
          </c:extLst>
        </c:ser>
        <c:ser>
          <c:idx val="5"/>
          <c:order val="5"/>
          <c:tx>
            <c:strRef>
              <c:f>'ITC price'!$F$50</c:f>
              <c:strCache>
                <c:ptCount val="1"/>
                <c:pt idx="0">
                  <c:v>Others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'ITC price'!$R$43</c:f>
              <c:numCache>
                <c:formatCode>General</c:formatCode>
                <c:ptCount val="1"/>
              </c:numCache>
            </c:numRef>
          </c:cat>
          <c:val>
            <c:numRef>
              <c:f>'ITC price'!$R$50</c:f>
              <c:numCache>
                <c:formatCode>0%</c:formatCode>
                <c:ptCount val="1"/>
                <c:pt idx="0">
                  <c:v>0.1053715071053014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9-41BA-ABA5-76714B268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534160"/>
        <c:axId val="1289533680"/>
      </c:barChart>
      <c:catAx>
        <c:axId val="128953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33680"/>
        <c:crosses val="autoZero"/>
        <c:auto val="1"/>
        <c:lblAlgn val="ctr"/>
        <c:lblOffset val="100"/>
        <c:noMultiLvlLbl val="0"/>
      </c:catAx>
      <c:valAx>
        <c:axId val="12895336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3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Chem</a:t>
            </a:r>
            <a:r>
              <a:rPr lang="en-IN" baseline="0"/>
              <a:t>Analyst Gardewise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Prices!$B$20</c:f>
              <c:strCache>
                <c:ptCount val="1"/>
                <c:pt idx="0">
                  <c:v>ASP (Acrylic Acid)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Prices!$A$21:$A$27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Prices!$B$21:$B$27</c:f>
              <c:numCache>
                <c:formatCode>0</c:formatCode>
                <c:ptCount val="7"/>
                <c:pt idx="0">
                  <c:v>95739.581490000011</c:v>
                </c:pt>
                <c:pt idx="1">
                  <c:v>108832.87809000001</c:v>
                </c:pt>
                <c:pt idx="2">
                  <c:v>104232.40400000001</c:v>
                </c:pt>
                <c:pt idx="3">
                  <c:v>115608.99479999999</c:v>
                </c:pt>
                <c:pt idx="4">
                  <c:v>99086.115080000018</c:v>
                </c:pt>
                <c:pt idx="5">
                  <c:v>154110.10187999997</c:v>
                </c:pt>
                <c:pt idx="6">
                  <c:v>174307.90308000002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9-4232-A69B-30F8D77E9750}"/>
            </c:ext>
          </c:extLst>
        </c:ser>
        <c:ser>
          <c:idx val="1"/>
          <c:order val="1"/>
          <c:tx>
            <c:strRef>
              <c:f>Prices!$C$20</c:f>
              <c:strCache>
                <c:ptCount val="1"/>
                <c:pt idx="0">
                  <c:v>ASP (Glacial Acrylic Acid)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Prices!$A$21:$A$27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Prices!$C$21:$C$27</c:f>
              <c:numCache>
                <c:formatCode>0</c:formatCode>
                <c:ptCount val="7"/>
                <c:pt idx="0">
                  <c:v>66431.546340000015</c:v>
                </c:pt>
                <c:pt idx="1">
                  <c:v>89667.339810000005</c:v>
                </c:pt>
                <c:pt idx="2">
                  <c:v>97893.947</c:v>
                </c:pt>
                <c:pt idx="3">
                  <c:v>88188.912699999986</c:v>
                </c:pt>
                <c:pt idx="4">
                  <c:v>82818.245440000013</c:v>
                </c:pt>
                <c:pt idx="5">
                  <c:v>168263.07042</c:v>
                </c:pt>
                <c:pt idx="6">
                  <c:v>178418.93852999998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9-4232-A69B-30F8D77E9750}"/>
            </c:ext>
          </c:extLst>
        </c:ser>
        <c:ser>
          <c:idx val="2"/>
          <c:order val="2"/>
          <c:tx>
            <c:strRef>
              <c:f>Prices!$D$20</c:f>
              <c:strCache>
                <c:ptCount val="1"/>
                <c:pt idx="0">
                  <c:v>ASP (Crude Acrylic Acid)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Prices!$A$21:$A$27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Prices!$D$21:$D$27</c:f>
              <c:numCache>
                <c:formatCode>0</c:formatCode>
                <c:ptCount val="7"/>
                <c:pt idx="0">
                  <c:v>95804.710457000008</c:v>
                </c:pt>
                <c:pt idx="1">
                  <c:v>68448.350999999995</c:v>
                </c:pt>
                <c:pt idx="2">
                  <c:v>104232.40400000001</c:v>
                </c:pt>
                <c:pt idx="3">
                  <c:v>97526.562279999998</c:v>
                </c:pt>
                <c:pt idx="4">
                  <c:v>147741.83427599998</c:v>
                </c:pt>
                <c:pt idx="5">
                  <c:v>166690.51835999999</c:v>
                </c:pt>
                <c:pt idx="6">
                  <c:v>179339.8104708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9-4232-A69B-30F8D77E9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643376"/>
        <c:axId val="1091644816"/>
      </c:lineChart>
      <c:catAx>
        <c:axId val="109164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44816"/>
        <c:crosses val="autoZero"/>
        <c:auto val="1"/>
        <c:lblAlgn val="ctr"/>
        <c:lblOffset val="100"/>
        <c:noMultiLvlLbl val="0"/>
      </c:catAx>
      <c:valAx>
        <c:axId val="10916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24</xdr:row>
      <xdr:rowOff>33337</xdr:rowOff>
    </xdr:from>
    <xdr:to>
      <xdr:col>6</xdr:col>
      <xdr:colOff>76200</xdr:colOff>
      <xdr:row>38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EBE14-A987-FB30-3D36-74318D989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23</xdr:row>
      <xdr:rowOff>166687</xdr:rowOff>
    </xdr:from>
    <xdr:to>
      <xdr:col>15</xdr:col>
      <xdr:colOff>542925</xdr:colOff>
      <xdr:row>38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F9656-8D9F-178C-AA39-05B5629CF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</xdr:row>
      <xdr:rowOff>23812</xdr:rowOff>
    </xdr:from>
    <xdr:to>
      <xdr:col>3</xdr:col>
      <xdr:colOff>238125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6A3D6-3270-45B2-A208-19A26BF6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276224</xdr:colOff>
      <xdr:row>8</xdr:row>
      <xdr:rowOff>185737</xdr:rowOff>
    </xdr:from>
    <xdr:to>
      <xdr:col>10</xdr:col>
      <xdr:colOff>161924</xdr:colOff>
      <xdr:row>23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0DD59C-C137-47F0-9780-A6FBB5184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8</xdr:row>
      <xdr:rowOff>100012</xdr:rowOff>
    </xdr:from>
    <xdr:to>
      <xdr:col>2</xdr:col>
      <xdr:colOff>1704975</xdr:colOff>
      <xdr:row>22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277870-7719-E157-E4D1-003766C8B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31</xdr:row>
      <xdr:rowOff>85725</xdr:rowOff>
    </xdr:from>
    <xdr:to>
      <xdr:col>2</xdr:col>
      <xdr:colOff>1704975</xdr:colOff>
      <xdr:row>42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F229B-2133-7154-1C1C-7481A679B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44</xdr:row>
      <xdr:rowOff>119062</xdr:rowOff>
    </xdr:from>
    <xdr:to>
      <xdr:col>3</xdr:col>
      <xdr:colOff>28575</xdr:colOff>
      <xdr:row>59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C4AEEE-7A9C-4450-A645-34E003D56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19</xdr:row>
      <xdr:rowOff>23812</xdr:rowOff>
    </xdr:from>
    <xdr:to>
      <xdr:col>11</xdr:col>
      <xdr:colOff>514350</xdr:colOff>
      <xdr:row>33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890F72-181D-ED5C-B441-A40A8A522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dik.malhotra\Desktop\Desktop%20Data\BPCL%20-%20Acrylic%20Acid\FY%20Prices.xlsx" TargetMode="External"/><Relationship Id="rId1" Type="http://schemas.openxmlformats.org/officeDocument/2006/relationships/externalLinkPath" Target="FY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A FY 2018"/>
      <sheetName val="GAA FY 2019"/>
      <sheetName val="GAA FY 2020"/>
      <sheetName val="GAA FY2021"/>
      <sheetName val="GAA FY2022"/>
      <sheetName val="GAA FY 2023"/>
      <sheetName val="EAA FY 2018"/>
      <sheetName val="EAA FY2019"/>
      <sheetName val="EAA FY2020"/>
      <sheetName val="EAA FY 2021"/>
      <sheetName val="EAA FY 2022"/>
      <sheetName val="EAA FY 2023"/>
      <sheetName val="Charts"/>
      <sheetName val="Countrywise Imports"/>
      <sheetName val="Foreign exchange"/>
    </sheetNames>
    <sheetDataSet>
      <sheetData sheetId="0">
        <row r="1364">
          <cell r="I1364">
            <v>89256.665948943992</v>
          </cell>
        </row>
      </sheetData>
      <sheetData sheetId="1"/>
      <sheetData sheetId="2">
        <row r="578">
          <cell r="G578">
            <v>73362.328755183335</v>
          </cell>
        </row>
      </sheetData>
      <sheetData sheetId="3">
        <row r="1895">
          <cell r="G1895">
            <v>85103.305187322447</v>
          </cell>
        </row>
      </sheetData>
      <sheetData sheetId="4"/>
      <sheetData sheetId="5">
        <row r="1774">
          <cell r="G1774">
            <v>127079.21878230784</v>
          </cell>
        </row>
      </sheetData>
      <sheetData sheetId="6">
        <row r="144">
          <cell r="I144">
            <v>180900.31044737968</v>
          </cell>
        </row>
      </sheetData>
      <sheetData sheetId="7">
        <row r="128">
          <cell r="I128">
            <v>250948.96397330004</v>
          </cell>
        </row>
      </sheetData>
      <sheetData sheetId="8">
        <row r="52">
          <cell r="G52">
            <v>229600.78704041772</v>
          </cell>
        </row>
      </sheetData>
      <sheetData sheetId="9">
        <row r="118">
          <cell r="G118">
            <v>216448.24496256129</v>
          </cell>
        </row>
      </sheetData>
      <sheetData sheetId="10">
        <row r="67">
          <cell r="G67">
            <v>183485.11176484494</v>
          </cell>
        </row>
      </sheetData>
      <sheetData sheetId="11">
        <row r="32">
          <cell r="H32">
            <v>214134.07081599449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4A23-3397-4B5F-998C-AF0DE6E49E02}">
  <dimension ref="B1:R22"/>
  <sheetViews>
    <sheetView showGridLines="0" workbookViewId="0">
      <selection activeCell="C21" sqref="C21"/>
    </sheetView>
  </sheetViews>
  <sheetFormatPr defaultRowHeight="15"/>
  <cols>
    <col min="2" max="2" width="14.140625" bestFit="1" customWidth="1"/>
    <col min="3" max="3" width="15.42578125" customWidth="1"/>
    <col min="4" max="4" width="17.42578125" bestFit="1" customWidth="1"/>
    <col min="5" max="6" width="14.85546875" bestFit="1" customWidth="1"/>
    <col min="8" max="8" width="15.85546875" bestFit="1" customWidth="1"/>
    <col min="9" max="9" width="17.42578125" bestFit="1" customWidth="1"/>
    <col min="11" max="11" width="13.85546875" bestFit="1" customWidth="1"/>
    <col min="12" max="12" width="18" bestFit="1" customWidth="1"/>
    <col min="13" max="13" width="17.42578125" bestFit="1" customWidth="1"/>
    <col min="14" max="14" width="14.140625" bestFit="1" customWidth="1"/>
    <col min="17" max="17" width="15.85546875" bestFit="1" customWidth="1"/>
    <col min="18" max="18" width="17.42578125" bestFit="1" customWidth="1"/>
  </cols>
  <sheetData>
    <row r="1" spans="2:18">
      <c r="B1" s="11"/>
      <c r="C1" s="11" t="s">
        <v>1</v>
      </c>
      <c r="D1" s="11" t="s">
        <v>2</v>
      </c>
      <c r="L1" s="15" t="s">
        <v>10</v>
      </c>
      <c r="M1" s="16">
        <v>2023</v>
      </c>
      <c r="N1" s="16"/>
    </row>
    <row r="2" spans="2:18">
      <c r="B2" s="11" t="s">
        <v>0</v>
      </c>
      <c r="C2" s="13">
        <v>119930729.7739014</v>
      </c>
      <c r="D2" s="13">
        <v>59572164.799999997</v>
      </c>
      <c r="E2" s="14" t="s">
        <v>22</v>
      </c>
      <c r="F2" s="14" t="s">
        <v>22</v>
      </c>
      <c r="L2" s="17" t="s">
        <v>9</v>
      </c>
      <c r="M2" s="54">
        <v>15361047.33</v>
      </c>
      <c r="N2" s="56">
        <v>0.4909</v>
      </c>
    </row>
    <row r="3" spans="2:18">
      <c r="B3" s="9" t="s">
        <v>3</v>
      </c>
      <c r="C3" s="58">
        <v>67590791.119349986</v>
      </c>
      <c r="D3" s="58">
        <v>32610856.799999997</v>
      </c>
      <c r="E3" s="10">
        <f t="shared" ref="E3:E8" si="0">C3/$C$2</f>
        <v>0.56358192138724639</v>
      </c>
      <c r="F3" s="10">
        <f t="shared" ref="F3:F8" si="1">D3/$D$2</f>
        <v>0.54741768927625067</v>
      </c>
      <c r="L3" s="17" t="s">
        <v>11</v>
      </c>
      <c r="M3" s="54">
        <v>5402604</v>
      </c>
      <c r="N3" s="56">
        <v>0.1726</v>
      </c>
    </row>
    <row r="4" spans="2:18">
      <c r="B4" s="3" t="s">
        <v>4</v>
      </c>
      <c r="C4" s="59">
        <v>3349936.4901716979</v>
      </c>
      <c r="D4" s="59">
        <v>1650570</v>
      </c>
      <c r="E4" s="5">
        <f t="shared" si="0"/>
        <v>2.7932261368601215E-2</v>
      </c>
      <c r="F4" s="5">
        <f t="shared" si="1"/>
        <v>2.770706764713711E-2</v>
      </c>
      <c r="L4" s="17" t="s">
        <v>12</v>
      </c>
      <c r="M4" s="54">
        <v>3813972.8</v>
      </c>
      <c r="N4" s="56">
        <v>0.12189999999999999</v>
      </c>
    </row>
    <row r="5" spans="2:18">
      <c r="B5" s="9" t="s">
        <v>5</v>
      </c>
      <c r="C5" s="58">
        <v>27540476.16395808</v>
      </c>
      <c r="D5" s="58">
        <v>14158060</v>
      </c>
      <c r="E5" s="10">
        <f t="shared" si="0"/>
        <v>0.22963652615037511</v>
      </c>
      <c r="F5" s="10">
        <f t="shared" si="1"/>
        <v>0.2376623385692373</v>
      </c>
      <c r="I5">
        <v>5.5</v>
      </c>
      <c r="L5" s="17" t="s">
        <v>13</v>
      </c>
      <c r="M5" s="54">
        <v>2998713</v>
      </c>
      <c r="N5" s="56">
        <v>9.5799999999999996E-2</v>
      </c>
    </row>
    <row r="6" spans="2:18">
      <c r="B6" s="3" t="s">
        <v>6</v>
      </c>
      <c r="C6" s="59">
        <v>1460442.5444499317</v>
      </c>
      <c r="D6" s="59">
        <v>696880</v>
      </c>
      <c r="E6" s="5">
        <f t="shared" si="0"/>
        <v>1.2177383954914817E-2</v>
      </c>
      <c r="F6" s="5">
        <f t="shared" si="1"/>
        <v>1.1698080845972549E-2</v>
      </c>
      <c r="L6" s="17" t="s">
        <v>14</v>
      </c>
      <c r="M6" s="54">
        <v>1103008.6399999999</v>
      </c>
      <c r="N6" s="56">
        <v>3.5200000000000002E-2</v>
      </c>
    </row>
    <row r="7" spans="2:18">
      <c r="B7" s="3" t="s">
        <v>7</v>
      </c>
      <c r="C7" s="20">
        <v>14337379.039109096</v>
      </c>
      <c r="D7" s="59">
        <v>7469185</v>
      </c>
      <c r="E7" s="5">
        <f t="shared" si="0"/>
        <v>0.11954716748691968</v>
      </c>
      <c r="F7" s="5">
        <f t="shared" si="1"/>
        <v>0.125380452852034</v>
      </c>
      <c r="L7" s="2" t="s">
        <v>15</v>
      </c>
      <c r="M7" s="55">
        <v>763970.5</v>
      </c>
      <c r="N7" s="57">
        <v>2.4400000000000002E-2</v>
      </c>
    </row>
    <row r="8" spans="2:18">
      <c r="B8" s="3" t="s">
        <v>8</v>
      </c>
      <c r="C8" s="59">
        <v>631744.10115650389</v>
      </c>
      <c r="D8" s="59">
        <v>488000</v>
      </c>
      <c r="E8" s="5">
        <f t="shared" si="0"/>
        <v>5.2675748938365938E-3</v>
      </c>
      <c r="F8" s="5">
        <f t="shared" si="1"/>
        <v>8.1917452830252025E-3</v>
      </c>
      <c r="L8" s="2" t="s">
        <v>16</v>
      </c>
      <c r="M8" s="55">
        <v>700170.5</v>
      </c>
      <c r="N8" s="57">
        <v>2.24E-2</v>
      </c>
    </row>
    <row r="9" spans="2:18">
      <c r="B9" s="3"/>
      <c r="C9" s="59">
        <f>SUM(C3:C8)</f>
        <v>114910769.45819528</v>
      </c>
      <c r="D9" s="59">
        <f>SUM(D3:D8)</f>
        <v>57073551.799999997</v>
      </c>
      <c r="E9" s="42">
        <f>D9/10^6</f>
        <v>57.073551799999997</v>
      </c>
      <c r="L9" s="2" t="s">
        <v>17</v>
      </c>
      <c r="M9" s="55">
        <v>699970.5</v>
      </c>
      <c r="N9" s="57">
        <v>2.24E-2</v>
      </c>
    </row>
    <row r="10" spans="2:18">
      <c r="B10" s="9" t="s">
        <v>21</v>
      </c>
      <c r="C10" s="19">
        <f>C9/C2</f>
        <v>0.9581428352418937</v>
      </c>
      <c r="D10" s="19">
        <f>D9/D2</f>
        <v>0.95805737447365691</v>
      </c>
      <c r="L10" s="2" t="s">
        <v>18</v>
      </c>
      <c r="M10" s="55">
        <v>450503.39</v>
      </c>
      <c r="N10" s="57">
        <v>1.44E-2</v>
      </c>
    </row>
    <row r="11" spans="2:18">
      <c r="L11" s="1"/>
      <c r="M11" s="55">
        <v>31293960.66</v>
      </c>
      <c r="N11" s="57">
        <v>1</v>
      </c>
    </row>
    <row r="15" spans="2:18">
      <c r="B15" s="11" t="s">
        <v>52</v>
      </c>
      <c r="C15" s="11" t="s">
        <v>1</v>
      </c>
      <c r="D15" s="11" t="s">
        <v>2</v>
      </c>
      <c r="E15" s="11" t="s">
        <v>25</v>
      </c>
      <c r="F15" s="12" t="s">
        <v>23</v>
      </c>
      <c r="G15" s="12" t="s">
        <v>24</v>
      </c>
      <c r="K15" s="11" t="s">
        <v>53</v>
      </c>
      <c r="L15" s="11" t="s">
        <v>1</v>
      </c>
      <c r="M15" s="11" t="s">
        <v>2</v>
      </c>
      <c r="N15" s="11" t="s">
        <v>25</v>
      </c>
      <c r="O15" s="12" t="s">
        <v>23</v>
      </c>
      <c r="P15" s="12" t="s">
        <v>24</v>
      </c>
    </row>
    <row r="16" spans="2:18">
      <c r="B16" s="3" t="s">
        <v>3</v>
      </c>
      <c r="C16" s="4">
        <v>67590791.119349986</v>
      </c>
      <c r="D16" s="4">
        <v>32610856.799999997</v>
      </c>
      <c r="E16" s="53">
        <f>C16/D16</f>
        <v>2.0726468959058444</v>
      </c>
      <c r="F16" s="6">
        <f>E16*78</f>
        <v>161.66645788065586</v>
      </c>
      <c r="G16" s="18">
        <f>F16*1000</f>
        <v>161666.45788065586</v>
      </c>
      <c r="H16" s="11" t="s">
        <v>38</v>
      </c>
      <c r="I16" s="11" t="s">
        <v>39</v>
      </c>
      <c r="K16" s="3" t="s">
        <v>5</v>
      </c>
      <c r="L16" s="8">
        <v>27540476.16395808</v>
      </c>
      <c r="M16" s="8">
        <v>14158060</v>
      </c>
      <c r="N16" s="53">
        <f t="shared" ref="N16:N21" si="2">L16/M16</f>
        <v>1.9452153871334124</v>
      </c>
      <c r="O16" s="6">
        <f t="shared" ref="O16:O21" si="3">N16*78</f>
        <v>151.72680019640617</v>
      </c>
      <c r="P16" s="18">
        <f t="shared" ref="P16:P21" si="4">O16*1000</f>
        <v>151726.80019640617</v>
      </c>
      <c r="Q16" s="12" t="s">
        <v>38</v>
      </c>
      <c r="R16" s="12" t="s">
        <v>39</v>
      </c>
    </row>
    <row r="17" spans="2:18">
      <c r="B17" s="3" t="s">
        <v>9</v>
      </c>
      <c r="C17" s="4">
        <v>30798215.260794379</v>
      </c>
      <c r="D17" s="4">
        <v>15310000</v>
      </c>
      <c r="E17" s="53">
        <f t="shared" ref="E17:E22" si="5">C17/D17</f>
        <v>2.0116404481250409</v>
      </c>
      <c r="F17" s="6">
        <f t="shared" ref="F17:F22" si="6">E17*78</f>
        <v>156.9079549537532</v>
      </c>
      <c r="G17" s="18">
        <f t="shared" ref="G17:G22" si="7">F17*1000</f>
        <v>156907.95495375321</v>
      </c>
      <c r="H17" s="19">
        <f t="shared" ref="H17:H22" si="8">C17/$C$16</f>
        <v>0.45565697265492461</v>
      </c>
      <c r="I17" s="19">
        <f t="shared" ref="I17:I22" si="9">D17/$D$16</f>
        <v>0.46947555208055747</v>
      </c>
      <c r="K17" s="3" t="s">
        <v>26</v>
      </c>
      <c r="L17" s="8">
        <v>15772231.223667752</v>
      </c>
      <c r="M17" s="8">
        <v>7224940</v>
      </c>
      <c r="N17" s="53">
        <f t="shared" si="2"/>
        <v>2.1830259107574252</v>
      </c>
      <c r="O17" s="6">
        <f t="shared" si="3"/>
        <v>170.27602103907918</v>
      </c>
      <c r="P17" s="18">
        <f t="shared" si="4"/>
        <v>170276.02103907918</v>
      </c>
      <c r="Q17" s="19">
        <f>L17/$L$16</f>
        <v>0.57269275700863509</v>
      </c>
      <c r="R17" s="19">
        <f>M17/$M$16</f>
        <v>0.51030579048259439</v>
      </c>
    </row>
    <row r="18" spans="2:18">
      <c r="B18" s="3" t="s">
        <v>11</v>
      </c>
      <c r="C18" s="4">
        <v>11111315.785979796</v>
      </c>
      <c r="D18" s="4">
        <v>5600000</v>
      </c>
      <c r="E18" s="53">
        <f t="shared" si="5"/>
        <v>1.984163533210678</v>
      </c>
      <c r="F18" s="6">
        <f t="shared" si="6"/>
        <v>154.76475559043288</v>
      </c>
      <c r="G18" s="18">
        <f t="shared" si="7"/>
        <v>154764.75559043288</v>
      </c>
      <c r="H18" s="19">
        <f t="shared" si="8"/>
        <v>0.16439097104751646</v>
      </c>
      <c r="I18" s="19">
        <f t="shared" si="9"/>
        <v>0.17172195242659188</v>
      </c>
      <c r="K18" s="3" t="s">
        <v>11</v>
      </c>
      <c r="L18" s="8">
        <v>634545.42257746053</v>
      </c>
      <c r="M18" s="8">
        <v>322500</v>
      </c>
      <c r="N18" s="53">
        <f t="shared" si="2"/>
        <v>1.9675827056665443</v>
      </c>
      <c r="O18" s="6">
        <f t="shared" si="3"/>
        <v>153.47145104199046</v>
      </c>
      <c r="P18" s="18">
        <f t="shared" si="4"/>
        <v>153471.45104199045</v>
      </c>
      <c r="Q18" s="19">
        <f>L18/$L$16</f>
        <v>2.3040466649878886E-2</v>
      </c>
      <c r="R18" s="19">
        <f>M18/$M$16</f>
        <v>2.2778544518104883E-2</v>
      </c>
    </row>
    <row r="19" spans="2:18">
      <c r="B19" s="3" t="s">
        <v>12</v>
      </c>
      <c r="C19" s="4">
        <v>4534646.5820054915</v>
      </c>
      <c r="D19" s="4">
        <v>2143530</v>
      </c>
      <c r="E19" s="53">
        <f t="shared" si="5"/>
        <v>2.115504136636992</v>
      </c>
      <c r="F19" s="6">
        <f t="shared" si="6"/>
        <v>165.00932265768537</v>
      </c>
      <c r="G19" s="18">
        <f t="shared" si="7"/>
        <v>165009.32265768538</v>
      </c>
      <c r="H19" s="19">
        <f t="shared" si="8"/>
        <v>6.7089710105602038E-2</v>
      </c>
      <c r="I19" s="19">
        <f t="shared" si="9"/>
        <v>6.5730563693745095E-2</v>
      </c>
      <c r="K19" s="3" t="s">
        <v>12</v>
      </c>
      <c r="L19" s="8">
        <v>4812420.9808850726</v>
      </c>
      <c r="M19" s="8">
        <v>2891300</v>
      </c>
      <c r="N19" s="53">
        <f t="shared" si="2"/>
        <v>1.66444885722169</v>
      </c>
      <c r="O19" s="6">
        <f t="shared" si="3"/>
        <v>129.82701086329183</v>
      </c>
      <c r="P19" s="18">
        <f t="shared" si="4"/>
        <v>129827.01086329183</v>
      </c>
      <c r="Q19" s="19">
        <f>L19/$L$16</f>
        <v>0.17473993377002811</v>
      </c>
      <c r="R19" s="19">
        <f>M19/$M$16</f>
        <v>0.20421583183006711</v>
      </c>
    </row>
    <row r="20" spans="2:18">
      <c r="B20" s="3" t="s">
        <v>13</v>
      </c>
      <c r="C20" s="4">
        <v>15105753.912310138</v>
      </c>
      <c r="D20" s="4">
        <v>7009220</v>
      </c>
      <c r="E20" s="53">
        <f t="shared" si="5"/>
        <v>2.1551262354884191</v>
      </c>
      <c r="F20" s="6">
        <f t="shared" si="6"/>
        <v>168.09984636809668</v>
      </c>
      <c r="G20" s="18">
        <f t="shared" si="7"/>
        <v>168099.84636809668</v>
      </c>
      <c r="H20" s="19">
        <f t="shared" si="8"/>
        <v>0.22348834304419973</v>
      </c>
      <c r="I20" s="19">
        <f t="shared" si="9"/>
        <v>0.21493516846205649</v>
      </c>
      <c r="K20" s="3" t="s">
        <v>19</v>
      </c>
      <c r="L20" s="8">
        <v>5292856.1706687519</v>
      </c>
      <c r="M20" s="8">
        <v>3420320</v>
      </c>
      <c r="N20" s="53">
        <f t="shared" si="2"/>
        <v>1.5474739704673106</v>
      </c>
      <c r="O20" s="6">
        <f t="shared" si="3"/>
        <v>120.70296969645023</v>
      </c>
      <c r="P20" s="18">
        <f t="shared" si="4"/>
        <v>120702.96969645022</v>
      </c>
      <c r="Q20" s="19">
        <f>L20/$L$16</f>
        <v>0.19218462815089069</v>
      </c>
      <c r="R20" s="19">
        <f>M20/$M$16</f>
        <v>0.24158112057725423</v>
      </c>
    </row>
    <row r="21" spans="2:18">
      <c r="B21" s="3" t="s">
        <v>19</v>
      </c>
      <c r="C21" s="4">
        <v>3602134.5900513856</v>
      </c>
      <c r="D21" s="4">
        <v>1444020</v>
      </c>
      <c r="E21" s="53">
        <f t="shared" si="5"/>
        <v>2.4945184900841992</v>
      </c>
      <c r="F21" s="6">
        <f t="shared" si="6"/>
        <v>194.57244222656755</v>
      </c>
      <c r="G21" s="18">
        <f t="shared" si="7"/>
        <v>194572.44222656754</v>
      </c>
      <c r="H21" s="19">
        <f t="shared" si="8"/>
        <v>5.3293274577757697E-2</v>
      </c>
      <c r="I21" s="19">
        <f t="shared" si="9"/>
        <v>4.4280345311258434E-2</v>
      </c>
      <c r="K21" s="3" t="s">
        <v>20</v>
      </c>
      <c r="L21" s="8">
        <f>L16-SUM(L17:L20)</f>
        <v>1028422.3661590442</v>
      </c>
      <c r="M21" s="8">
        <f>M16-SUM(M17:M20)</f>
        <v>299000</v>
      </c>
      <c r="N21" s="53">
        <f t="shared" si="2"/>
        <v>3.4395396861506495</v>
      </c>
      <c r="O21" s="6">
        <f t="shared" si="3"/>
        <v>268.28409551975068</v>
      </c>
      <c r="P21" s="18">
        <f t="shared" si="4"/>
        <v>268284.09551975067</v>
      </c>
      <c r="Q21" s="19">
        <f>L21/$L$16</f>
        <v>3.7342214420567253E-2</v>
      </c>
      <c r="R21" s="19">
        <f>M21/$M$16</f>
        <v>2.1118712591979411E-2</v>
      </c>
    </row>
    <row r="22" spans="2:18">
      <c r="B22" s="3" t="s">
        <v>20</v>
      </c>
      <c r="C22" s="4">
        <f>C16-SUM(C17:C21)</f>
        <v>2438724.9882087931</v>
      </c>
      <c r="D22" s="4">
        <f>D16-SUM(D17:D21)</f>
        <v>1104086.799999997</v>
      </c>
      <c r="E22" s="53">
        <f t="shared" si="5"/>
        <v>2.2088163613665155</v>
      </c>
      <c r="F22" s="6">
        <f t="shared" si="6"/>
        <v>172.28767618658821</v>
      </c>
      <c r="G22" s="18">
        <f t="shared" si="7"/>
        <v>172287.67618658821</v>
      </c>
      <c r="H22" s="19">
        <f t="shared" si="8"/>
        <v>3.6080728569999408E-2</v>
      </c>
      <c r="I22" s="19">
        <f t="shared" si="9"/>
        <v>3.3856418025790633E-2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6BAB-B1BC-4C6F-AADA-06CDBDB4BF53}">
  <dimension ref="A1:L8"/>
  <sheetViews>
    <sheetView showGridLines="0" zoomScale="80" workbookViewId="0">
      <selection activeCell="M11" sqref="M11"/>
    </sheetView>
  </sheetViews>
  <sheetFormatPr defaultRowHeight="15"/>
  <cols>
    <col min="1" max="1" width="15.7109375" bestFit="1" customWidth="1"/>
    <col min="2" max="2" width="33.5703125" bestFit="1" customWidth="1"/>
    <col min="3" max="3" width="25.7109375" bestFit="1" customWidth="1"/>
    <col min="9" max="9" width="30.42578125" bestFit="1" customWidth="1"/>
    <col min="10" max="10" width="25.7109375" bestFit="1" customWidth="1"/>
  </cols>
  <sheetData>
    <row r="1" spans="1:12">
      <c r="A1" s="12" t="s">
        <v>27</v>
      </c>
      <c r="B1" s="12" t="s">
        <v>28</v>
      </c>
      <c r="C1" s="12" t="s">
        <v>29</v>
      </c>
      <c r="H1" s="12" t="s">
        <v>30</v>
      </c>
      <c r="I1" s="12" t="s">
        <v>28</v>
      </c>
      <c r="J1" s="12" t="s">
        <v>29</v>
      </c>
    </row>
    <row r="2" spans="1:12">
      <c r="A2" s="20" t="s">
        <v>31</v>
      </c>
      <c r="B2" s="20">
        <v>95678</v>
      </c>
      <c r="C2" s="20">
        <v>193456</v>
      </c>
      <c r="H2" s="20" t="s">
        <v>31</v>
      </c>
      <c r="I2" s="7">
        <v>67988.336080703433</v>
      </c>
      <c r="J2" s="7">
        <v>119330.33393595954</v>
      </c>
    </row>
    <row r="3" spans="1:12">
      <c r="A3" s="20" t="s">
        <v>32</v>
      </c>
      <c r="B3" s="7">
        <f>'[1]GAA FY 2018'!I1364</f>
        <v>89256.665948943992</v>
      </c>
      <c r="C3" s="7">
        <f>'[1]EAA FY 2018'!I144</f>
        <v>180900.31044737968</v>
      </c>
      <c r="D3" s="19">
        <f t="shared" ref="D3:E8" si="0">(B3-B2)/B2</f>
        <v>-6.7114007933443506E-2</v>
      </c>
      <c r="E3" s="19">
        <f t="shared" si="0"/>
        <v>-6.4902042596871198E-2</v>
      </c>
      <c r="H3" s="20" t="s">
        <v>32</v>
      </c>
      <c r="I3" s="7">
        <v>83686.838303127326</v>
      </c>
      <c r="J3" s="7">
        <v>134799.36958926494</v>
      </c>
      <c r="K3" s="19">
        <f t="shared" ref="K3:L8" si="1">(I3-I2)/I2</f>
        <v>0.2308999326559408</v>
      </c>
      <c r="L3" s="19">
        <f t="shared" si="1"/>
        <v>0.12963204864244407</v>
      </c>
    </row>
    <row r="4" spans="1:12">
      <c r="A4" s="20" t="s">
        <v>33</v>
      </c>
      <c r="B4" s="21">
        <v>94235</v>
      </c>
      <c r="C4" s="21">
        <f>'[1]EAA FY2019'!I128</f>
        <v>250948.96397330004</v>
      </c>
      <c r="D4" s="19">
        <f t="shared" si="0"/>
        <v>5.5775487445427124E-2</v>
      </c>
      <c r="E4" s="19">
        <f t="shared" si="0"/>
        <v>0.38722240637777189</v>
      </c>
      <c r="H4" s="20" t="s">
        <v>33</v>
      </c>
      <c r="I4" s="7">
        <v>93796.193870910909</v>
      </c>
      <c r="J4" s="7">
        <v>165886.6973921507</v>
      </c>
      <c r="K4" s="19">
        <f t="shared" si="1"/>
        <v>0.12079982674415127</v>
      </c>
      <c r="L4" s="19">
        <f t="shared" si="1"/>
        <v>0.23061923729769038</v>
      </c>
    </row>
    <row r="5" spans="1:12">
      <c r="A5" s="20" t="s">
        <v>34</v>
      </c>
      <c r="B5" s="7">
        <f>'[1]GAA FY 2020'!G578</f>
        <v>73362.328755183335</v>
      </c>
      <c r="C5" s="7">
        <f>'[1]EAA FY2020'!G52</f>
        <v>229600.78704041772</v>
      </c>
      <c r="D5" s="19">
        <f t="shared" si="0"/>
        <v>-0.22149595420827362</v>
      </c>
      <c r="E5" s="19">
        <f t="shared" si="0"/>
        <v>-8.5069795048660468E-2</v>
      </c>
      <c r="H5" s="20" t="s">
        <v>34</v>
      </c>
      <c r="I5" s="7">
        <v>79433.80681134999</v>
      </c>
      <c r="J5" s="7">
        <v>152488.93170974136</v>
      </c>
      <c r="K5" s="19">
        <f t="shared" si="1"/>
        <v>-0.15312334612774878</v>
      </c>
      <c r="L5" s="19">
        <f t="shared" si="1"/>
        <v>-8.0764557333596582E-2</v>
      </c>
    </row>
    <row r="6" spans="1:12">
      <c r="A6" s="20" t="s">
        <v>35</v>
      </c>
      <c r="B6" s="7">
        <f>'[1]GAA FY2021'!G1895</f>
        <v>85103.305187322447</v>
      </c>
      <c r="C6" s="7">
        <f>'[1]EAA FY 2021'!G118</f>
        <v>216448.24496256129</v>
      </c>
      <c r="D6" s="19">
        <f t="shared" si="0"/>
        <v>0.16004094514665426</v>
      </c>
      <c r="E6" s="19">
        <f t="shared" si="0"/>
        <v>-5.7284394567607144E-2</v>
      </c>
      <c r="H6" s="20" t="s">
        <v>35</v>
      </c>
      <c r="I6" s="7">
        <v>80294.860013961137</v>
      </c>
      <c r="J6" s="7">
        <v>159491.93848412053</v>
      </c>
      <c r="K6" s="19">
        <f t="shared" si="1"/>
        <v>1.0839883384364177E-2</v>
      </c>
      <c r="L6" s="19">
        <f t="shared" si="1"/>
        <v>4.5924689063395176E-2</v>
      </c>
    </row>
    <row r="7" spans="1:12">
      <c r="A7" s="20" t="s">
        <v>36</v>
      </c>
      <c r="B7" s="21">
        <v>120564</v>
      </c>
      <c r="C7" s="21">
        <f>'[1]EAA FY 2022'!G67</f>
        <v>183485.11176484494</v>
      </c>
      <c r="D7" s="19">
        <f t="shared" si="0"/>
        <v>0.4166782328209741</v>
      </c>
      <c r="E7" s="19">
        <f t="shared" si="0"/>
        <v>-0.15229106248201704</v>
      </c>
      <c r="H7" s="20" t="s">
        <v>36</v>
      </c>
      <c r="I7" s="7">
        <v>148921.43815846395</v>
      </c>
      <c r="J7" s="7">
        <v>256499.24336657595</v>
      </c>
      <c r="K7" s="19">
        <f t="shared" si="1"/>
        <v>0.85468208217276276</v>
      </c>
      <c r="L7" s="19">
        <f t="shared" si="1"/>
        <v>0.60822701012009917</v>
      </c>
    </row>
    <row r="8" spans="1:12">
      <c r="A8" s="20" t="s">
        <v>37</v>
      </c>
      <c r="B8" s="7">
        <f>'[1]GAA FY 2023'!G1774</f>
        <v>127079.21878230784</v>
      </c>
      <c r="C8" s="7">
        <f>'[1]EAA FY 2023'!H32</f>
        <v>214134.07081599449</v>
      </c>
      <c r="D8" s="19">
        <f t="shared" si="0"/>
        <v>5.4039504182905693E-2</v>
      </c>
      <c r="E8" s="19">
        <f t="shared" si="0"/>
        <v>0.16703785258843967</v>
      </c>
      <c r="H8" s="20" t="s">
        <v>37</v>
      </c>
      <c r="I8" s="7">
        <v>133102.3088724335</v>
      </c>
      <c r="J8" s="7">
        <v>201227.71698745931</v>
      </c>
      <c r="K8" s="19">
        <f t="shared" si="1"/>
        <v>-0.10622466101353167</v>
      </c>
      <c r="L8" s="19">
        <f t="shared" si="1"/>
        <v>-0.21548416928515193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9A90-4CF2-48E8-A6B0-7911F50BB2BF}">
  <dimension ref="A1:AD51"/>
  <sheetViews>
    <sheetView showGridLines="0" topLeftCell="F6" zoomScale="80" workbookViewId="0">
      <selection activeCell="T18" sqref="T18"/>
    </sheetView>
  </sheetViews>
  <sheetFormatPr defaultRowHeight="15"/>
  <cols>
    <col min="1" max="1" width="15.7109375" bestFit="1" customWidth="1"/>
    <col min="2" max="2" width="30.42578125" bestFit="1" customWidth="1"/>
    <col min="3" max="3" width="25.7109375" bestFit="1" customWidth="1"/>
    <col min="6" max="6" width="24.28515625" bestFit="1" customWidth="1"/>
    <col min="7" max="7" width="14.42578125" customWidth="1"/>
    <col min="8" max="8" width="12.7109375" customWidth="1"/>
    <col min="9" max="9" width="11.42578125" bestFit="1" customWidth="1"/>
    <col min="10" max="10" width="12.140625" bestFit="1" customWidth="1"/>
    <col min="11" max="11" width="10.28515625" bestFit="1" customWidth="1"/>
    <col min="12" max="12" width="10.140625" bestFit="1" customWidth="1"/>
    <col min="13" max="13" width="12.28515625" bestFit="1" customWidth="1"/>
    <col min="14" max="14" width="9.28515625" bestFit="1" customWidth="1"/>
    <col min="15" max="15" width="10.140625" bestFit="1" customWidth="1"/>
    <col min="16" max="16" width="9.28515625" bestFit="1" customWidth="1"/>
    <col min="17" max="17" width="10.140625" bestFit="1" customWidth="1"/>
    <col min="18" max="18" width="9.28515625" bestFit="1" customWidth="1"/>
    <col min="19" max="20" width="9.28515625" customWidth="1"/>
    <col min="21" max="21" width="9.140625" customWidth="1"/>
    <col min="23" max="23" width="9.140625" customWidth="1"/>
    <col min="25" max="25" width="9.140625" customWidth="1"/>
    <col min="27" max="27" width="9.140625" customWidth="1"/>
    <col min="29" max="29" width="9.140625" customWidth="1"/>
  </cols>
  <sheetData>
    <row r="1" spans="1:30">
      <c r="A1" s="34" t="s">
        <v>51</v>
      </c>
      <c r="B1" s="34" t="s">
        <v>28</v>
      </c>
      <c r="C1" s="34" t="s">
        <v>29</v>
      </c>
      <c r="F1" s="25"/>
      <c r="G1" s="25"/>
      <c r="H1" s="25"/>
      <c r="I1" s="25">
        <v>2017</v>
      </c>
      <c r="J1" s="25">
        <v>2018</v>
      </c>
      <c r="K1" s="25">
        <v>2019</v>
      </c>
      <c r="L1" s="25">
        <v>2020</v>
      </c>
      <c r="M1" s="25">
        <v>2021</v>
      </c>
    </row>
    <row r="2" spans="1:30">
      <c r="A2" s="35">
        <v>2017</v>
      </c>
      <c r="B2" s="36">
        <f>I5</f>
        <v>82969.672062688638</v>
      </c>
      <c r="C2" s="36">
        <f>I12</f>
        <v>134000.05892755018</v>
      </c>
      <c r="F2" s="24" t="s">
        <v>47</v>
      </c>
      <c r="G2" s="24"/>
      <c r="H2" s="24"/>
      <c r="I2" s="24">
        <v>36721000</v>
      </c>
      <c r="J2" s="24">
        <v>51533000</v>
      </c>
      <c r="K2" s="24">
        <v>57819000</v>
      </c>
      <c r="L2" s="24">
        <v>48585000</v>
      </c>
      <c r="M2" s="24">
        <v>94127000</v>
      </c>
    </row>
    <row r="3" spans="1:30">
      <c r="A3" s="35">
        <v>2018</v>
      </c>
      <c r="B3" s="36">
        <f>J5</f>
        <v>92348.645724238144</v>
      </c>
      <c r="C3" s="36">
        <f>J12</f>
        <v>158874.68790964485</v>
      </c>
      <c r="F3" s="24" t="s">
        <v>48</v>
      </c>
      <c r="G3" s="24"/>
      <c r="H3" s="24"/>
      <c r="I3" s="24">
        <v>28825</v>
      </c>
      <c r="J3" s="24">
        <v>38196</v>
      </c>
      <c r="K3" s="24">
        <v>47993</v>
      </c>
      <c r="L3" s="24">
        <v>48863</v>
      </c>
      <c r="M3" s="24">
        <v>56882</v>
      </c>
    </row>
    <row r="4" spans="1:30">
      <c r="A4" s="35">
        <v>2019</v>
      </c>
      <c r="B4" s="36">
        <f>K5</f>
        <v>84846.457998041369</v>
      </c>
      <c r="C4" s="36">
        <f>K12</f>
        <v>152305.91558694936</v>
      </c>
      <c r="F4" s="24" t="s">
        <v>45</v>
      </c>
      <c r="G4" s="24"/>
      <c r="H4" s="24"/>
      <c r="I4" s="38">
        <f>I2/I3</f>
        <v>1273.9288811795316</v>
      </c>
      <c r="J4" s="38">
        <f>J2/J3</f>
        <v>1349.1726882396063</v>
      </c>
      <c r="K4" s="38">
        <f>K2/K3</f>
        <v>1204.7381909861854</v>
      </c>
      <c r="L4" s="38">
        <f>L2/L3</f>
        <v>994.31062358021404</v>
      </c>
      <c r="M4" s="38">
        <f>M2/M3</f>
        <v>1654.7765549734538</v>
      </c>
    </row>
    <row r="5" spans="1:30">
      <c r="A5" s="35">
        <v>2020</v>
      </c>
      <c r="B5" s="36">
        <f>L5</f>
        <v>73686.699814788284</v>
      </c>
      <c r="C5" s="36">
        <f>L12</f>
        <v>152088.97577392537</v>
      </c>
      <c r="F5" s="28" t="s">
        <v>46</v>
      </c>
      <c r="G5" s="28"/>
      <c r="H5" s="28"/>
      <c r="I5" s="39">
        <f>'ITC price'!I4*'Foreign exchange'!C9</f>
        <v>82969.672062688638</v>
      </c>
      <c r="J5" s="39">
        <f>J4*'Foreign exchange'!C8</f>
        <v>92348.645724238144</v>
      </c>
      <c r="K5" s="39">
        <f>K4*'Foreign exchange'!C7</f>
        <v>84846.457998041369</v>
      </c>
      <c r="L5" s="39">
        <f>L4*'Foreign exchange'!C6</f>
        <v>73686.699814788284</v>
      </c>
      <c r="M5" s="39">
        <f>M4*'Foreign exchange'!C5</f>
        <v>122362.22399834746</v>
      </c>
    </row>
    <row r="6" spans="1:30">
      <c r="A6" s="35">
        <v>2021</v>
      </c>
      <c r="B6" s="36">
        <f>M5</f>
        <v>122362.22399834746</v>
      </c>
      <c r="C6" s="36">
        <f>M12</f>
        <v>234565.849993952</v>
      </c>
    </row>
    <row r="7" spans="1:30">
      <c r="A7" s="35">
        <v>2022</v>
      </c>
      <c r="B7" s="37"/>
      <c r="C7" s="37"/>
    </row>
    <row r="8" spans="1:30">
      <c r="A8" s="35">
        <v>2023</v>
      </c>
      <c r="B8" s="37"/>
      <c r="C8" s="37"/>
      <c r="F8" s="43"/>
      <c r="G8" s="43"/>
      <c r="H8" s="43"/>
      <c r="I8" s="46">
        <v>2017</v>
      </c>
      <c r="J8" s="46">
        <v>2018</v>
      </c>
      <c r="K8" s="46">
        <v>2019</v>
      </c>
      <c r="L8" s="46">
        <v>2020</v>
      </c>
      <c r="M8" s="46">
        <v>2021</v>
      </c>
    </row>
    <row r="9" spans="1:30">
      <c r="F9" s="44" t="s">
        <v>49</v>
      </c>
      <c r="G9" s="44"/>
      <c r="H9" s="44"/>
      <c r="I9" s="44">
        <v>76248000</v>
      </c>
      <c r="J9" s="44">
        <v>91635000</v>
      </c>
      <c r="K9" s="44">
        <v>96402000</v>
      </c>
      <c r="L9" s="44">
        <v>89609000</v>
      </c>
      <c r="M9" s="44">
        <v>177385000</v>
      </c>
    </row>
    <row r="10" spans="1:30">
      <c r="F10" s="44" t="s">
        <v>50</v>
      </c>
      <c r="G10" s="44"/>
      <c r="H10" s="44"/>
      <c r="I10" s="45">
        <v>37059.338000000003</v>
      </c>
      <c r="J10" s="45">
        <v>39479.32</v>
      </c>
      <c r="K10" s="45">
        <v>44576.946000000004</v>
      </c>
      <c r="L10" s="45">
        <v>43663.739000000001</v>
      </c>
      <c r="M10" s="45">
        <v>55919.091999999997</v>
      </c>
    </row>
    <row r="11" spans="1:30">
      <c r="F11" s="44" t="s">
        <v>45</v>
      </c>
      <c r="G11" s="44"/>
      <c r="H11" s="44"/>
      <c r="I11" s="45">
        <f>I9/I10</f>
        <v>2057.4571515551625</v>
      </c>
      <c r="J11" s="45">
        <f>J9/J10</f>
        <v>2321.0886104421252</v>
      </c>
      <c r="K11" s="45">
        <f>K9/K10</f>
        <v>2162.5976799756536</v>
      </c>
      <c r="L11" s="45">
        <f>L9/L10</f>
        <v>2052.2520987036864</v>
      </c>
      <c r="M11" s="45">
        <f>M9/M10</f>
        <v>3172.1723950739402</v>
      </c>
    </row>
    <row r="12" spans="1:30">
      <c r="F12" s="44" t="s">
        <v>46</v>
      </c>
      <c r="G12" s="44"/>
      <c r="H12" s="44"/>
      <c r="I12" s="45">
        <f>'ITC price'!I11*'Foreign exchange'!C9</f>
        <v>134000.05892755018</v>
      </c>
      <c r="J12" s="45">
        <f>J11*'Foreign exchange'!C8</f>
        <v>158874.68790964485</v>
      </c>
      <c r="K12" s="45">
        <f>K11*'Foreign exchange'!C7</f>
        <v>152305.91558694936</v>
      </c>
      <c r="L12" s="45">
        <f>L11*'Foreign exchange'!C6</f>
        <v>152088.97577392537</v>
      </c>
      <c r="M12" s="45">
        <f>M11*'Foreign exchange'!C5</f>
        <v>234565.849993952</v>
      </c>
    </row>
    <row r="14" spans="1:30">
      <c r="F14" s="25"/>
      <c r="G14" s="83">
        <v>2016</v>
      </c>
      <c r="H14" s="84"/>
      <c r="I14" s="88">
        <v>2017</v>
      </c>
      <c r="J14" s="88"/>
      <c r="K14" s="88">
        <v>2018</v>
      </c>
      <c r="L14" s="88"/>
      <c r="M14" s="88">
        <v>2019</v>
      </c>
      <c r="N14" s="88"/>
      <c r="O14" s="88">
        <v>2020</v>
      </c>
      <c r="P14" s="88"/>
      <c r="Q14" s="88">
        <v>2021</v>
      </c>
      <c r="R14" s="88"/>
      <c r="S14" s="83">
        <v>2016</v>
      </c>
      <c r="T14" s="84"/>
      <c r="U14" s="11">
        <v>2017</v>
      </c>
      <c r="V14" s="11"/>
      <c r="W14" s="11">
        <v>2018</v>
      </c>
      <c r="X14" s="11"/>
      <c r="Y14" s="11">
        <v>2019</v>
      </c>
      <c r="Z14" s="11"/>
      <c r="AA14" s="11">
        <v>2020</v>
      </c>
      <c r="AB14" s="11"/>
      <c r="AC14" s="11">
        <v>2021</v>
      </c>
      <c r="AD14" s="11"/>
    </row>
    <row r="15" spans="1:30">
      <c r="F15" s="25" t="s">
        <v>66</v>
      </c>
      <c r="G15" s="25" t="s">
        <v>63</v>
      </c>
      <c r="H15" s="25" t="s">
        <v>64</v>
      </c>
      <c r="I15" s="25" t="s">
        <v>63</v>
      </c>
      <c r="J15" s="25" t="s">
        <v>64</v>
      </c>
      <c r="K15" s="25" t="s">
        <v>54</v>
      </c>
      <c r="L15" s="25" t="s">
        <v>55</v>
      </c>
      <c r="M15" s="25" t="s">
        <v>54</v>
      </c>
      <c r="N15" s="25" t="s">
        <v>55</v>
      </c>
      <c r="O15" s="25" t="s">
        <v>54</v>
      </c>
      <c r="P15" s="25" t="s">
        <v>55</v>
      </c>
      <c r="Q15" s="25" t="s">
        <v>54</v>
      </c>
      <c r="R15" s="25" t="s">
        <v>55</v>
      </c>
      <c r="S15" s="11" t="s">
        <v>61</v>
      </c>
      <c r="T15" s="11" t="s">
        <v>62</v>
      </c>
      <c r="U15" s="11" t="s">
        <v>61</v>
      </c>
      <c r="V15" s="11" t="s">
        <v>62</v>
      </c>
      <c r="W15" s="11" t="s">
        <v>61</v>
      </c>
      <c r="X15" s="11" t="s">
        <v>62</v>
      </c>
      <c r="Y15" s="11" t="s">
        <v>61</v>
      </c>
      <c r="Z15" s="11" t="s">
        <v>62</v>
      </c>
      <c r="AA15" s="11" t="s">
        <v>61</v>
      </c>
      <c r="AB15" s="11" t="s">
        <v>62</v>
      </c>
      <c r="AC15" s="11" t="s">
        <v>61</v>
      </c>
      <c r="AD15" s="11" t="s">
        <v>62</v>
      </c>
    </row>
    <row r="16" spans="1:30">
      <c r="F16" s="24" t="s">
        <v>26</v>
      </c>
      <c r="G16" s="52">
        <v>4795000</v>
      </c>
      <c r="H16" s="52">
        <v>4472.1670000000004</v>
      </c>
      <c r="I16" s="27">
        <v>8709000</v>
      </c>
      <c r="J16" s="27">
        <v>6927</v>
      </c>
      <c r="K16" s="27">
        <v>19923000</v>
      </c>
      <c r="L16" s="27">
        <v>15165</v>
      </c>
      <c r="M16" s="27">
        <v>24700000</v>
      </c>
      <c r="N16" s="27">
        <v>21100</v>
      </c>
      <c r="O16" s="27">
        <v>7192000</v>
      </c>
      <c r="P16" s="27">
        <v>6942</v>
      </c>
      <c r="Q16" s="27">
        <v>41038000</v>
      </c>
      <c r="R16" s="27">
        <v>24770</v>
      </c>
      <c r="S16" s="32">
        <f>G16/H16</f>
        <v>1072.1871522239665</v>
      </c>
      <c r="T16" s="33">
        <f>'Foreign exchange'!$C$9*S16</f>
        <v>69830.441655018687</v>
      </c>
      <c r="U16" s="32">
        <f>I16/J16</f>
        <v>1257.2542226071891</v>
      </c>
      <c r="V16" s="33">
        <f>'Foreign exchange'!$C$9*U16</f>
        <v>81883.668774794278</v>
      </c>
      <c r="W16" s="32">
        <f t="shared" ref="W16:W22" si="0">K16/L16</f>
        <v>1313.7487636003957</v>
      </c>
      <c r="X16" s="33">
        <f>W16*'Foreign exchange'!$C$8</f>
        <v>89923.936496735914</v>
      </c>
      <c r="Y16" s="32">
        <f t="shared" ref="Y16:Y22" si="1">M16/N16</f>
        <v>1170.6161137440758</v>
      </c>
      <c r="Z16" s="33">
        <f>Y16*'Foreign exchange'!$C$7</f>
        <v>82443.33222748815</v>
      </c>
      <c r="AA16" s="32">
        <f>O16/P16</f>
        <v>1036.0126764621148</v>
      </c>
      <c r="AB16" s="33">
        <f>AA16*'Foreign exchange'!$C$6</f>
        <v>76777.169311437625</v>
      </c>
      <c r="AC16" s="32">
        <f>Q16/R16</f>
        <v>1656.7622123536537</v>
      </c>
      <c r="AD16" s="33">
        <f>AC16*'Foreign exchange'!$C$5</f>
        <v>122509.05315930562</v>
      </c>
    </row>
    <row r="17" spans="6:30">
      <c r="F17" s="24" t="s">
        <v>12</v>
      </c>
      <c r="G17" s="52">
        <v>7191000</v>
      </c>
      <c r="H17" s="52">
        <v>3021.83</v>
      </c>
      <c r="I17" s="27">
        <v>7057000</v>
      </c>
      <c r="J17" s="27">
        <v>6165</v>
      </c>
      <c r="K17" s="27">
        <v>8184000</v>
      </c>
      <c r="L17" s="27">
        <v>6476</v>
      </c>
      <c r="M17" s="27">
        <v>9795000</v>
      </c>
      <c r="N17" s="27">
        <v>8583</v>
      </c>
      <c r="O17" s="27">
        <v>10369000</v>
      </c>
      <c r="P17" s="27">
        <v>11191</v>
      </c>
      <c r="Q17" s="27">
        <v>11605000</v>
      </c>
      <c r="R17" s="27">
        <v>8283</v>
      </c>
      <c r="S17" s="32">
        <f t="shared" ref="S17:S31" si="2">G17/H17</f>
        <v>2379.6838339681585</v>
      </c>
      <c r="T17" s="33">
        <f>'Foreign exchange'!$C$9*S17</f>
        <v>154986.34989294567</v>
      </c>
      <c r="U17" s="32">
        <f t="shared" ref="U17:U22" si="3">I17/J17</f>
        <v>1144.6877534468774</v>
      </c>
      <c r="V17" s="33">
        <f>'Foreign exchange'!$C$9*U17</f>
        <v>74552.330919545813</v>
      </c>
      <c r="W17" s="32">
        <f t="shared" si="0"/>
        <v>1263.7430512662138</v>
      </c>
      <c r="X17" s="33">
        <f>W17*'Foreign exchange'!$C$8</f>
        <v>86501.127946880806</v>
      </c>
      <c r="Y17" s="32">
        <f t="shared" si="1"/>
        <v>1141.2093673540719</v>
      </c>
      <c r="Z17" s="33">
        <f>Y17*'Foreign exchange'!$C$7</f>
        <v>80372.294477455434</v>
      </c>
      <c r="AA17" s="32">
        <f t="shared" ref="AA17:AA22" si="4">O17/P17</f>
        <v>926.54811902421591</v>
      </c>
      <c r="AB17" s="33">
        <f>AA17*'Foreign exchange'!$C$6</f>
        <v>68664.933765525871</v>
      </c>
      <c r="AC17" s="32">
        <f t="shared" ref="AC17:AC22" si="5">Q17/R17</f>
        <v>1401.062416998672</v>
      </c>
      <c r="AD17" s="33">
        <f>AC17*'Foreign exchange'!$C$5</f>
        <v>103601.36707835326</v>
      </c>
    </row>
    <row r="18" spans="6:30">
      <c r="F18" s="24" t="s">
        <v>13</v>
      </c>
      <c r="G18" s="52">
        <v>2060000</v>
      </c>
      <c r="H18" s="52">
        <v>7867.55</v>
      </c>
      <c r="I18" s="27">
        <v>12022000</v>
      </c>
      <c r="J18" s="27">
        <v>9298</v>
      </c>
      <c r="K18" s="27">
        <v>10537000</v>
      </c>
      <c r="L18" s="27">
        <v>7467</v>
      </c>
      <c r="M18" s="27">
        <v>6710000</v>
      </c>
      <c r="N18" s="27">
        <v>5082</v>
      </c>
      <c r="O18" s="27">
        <v>6869000</v>
      </c>
      <c r="P18" s="27">
        <v>6521</v>
      </c>
      <c r="Q18" s="27">
        <v>14769000</v>
      </c>
      <c r="R18" s="27">
        <v>8029</v>
      </c>
      <c r="S18" s="32">
        <f t="shared" si="2"/>
        <v>261.835005815025</v>
      </c>
      <c r="T18" s="33">
        <f>'Foreign exchange'!$C$9*S18</f>
        <v>17053.043453171573</v>
      </c>
      <c r="U18" s="32">
        <f t="shared" si="3"/>
        <v>1292.9662292966229</v>
      </c>
      <c r="V18" s="33">
        <f>'Foreign exchange'!$C$9*U18</f>
        <v>84209.554879974196</v>
      </c>
      <c r="W18" s="32">
        <f t="shared" si="0"/>
        <v>1411.142359716084</v>
      </c>
      <c r="X18" s="33">
        <f>W18*'Foreign exchange'!$C$8</f>
        <v>96590.367548814786</v>
      </c>
      <c r="Y18" s="32">
        <f t="shared" si="1"/>
        <v>1320.3463203463205</v>
      </c>
      <c r="Z18" s="33">
        <f>Y18*'Foreign exchange'!$C$7</f>
        <v>92988.426406926417</v>
      </c>
      <c r="AA18" s="32">
        <f t="shared" si="4"/>
        <v>1053.366048152124</v>
      </c>
      <c r="AB18" s="33">
        <f>AA18*'Foreign exchange'!$C$6</f>
        <v>78063.198707253483</v>
      </c>
      <c r="AC18" s="32">
        <f t="shared" si="5"/>
        <v>1839.4569684892265</v>
      </c>
      <c r="AD18" s="33">
        <f>AC18*'Foreign exchange'!$C$5</f>
        <v>136018.3916898742</v>
      </c>
    </row>
    <row r="19" spans="6:30">
      <c r="F19" s="24" t="s">
        <v>56</v>
      </c>
      <c r="G19" s="52">
        <v>2605000</v>
      </c>
      <c r="H19" s="52">
        <v>2321.002</v>
      </c>
      <c r="I19" s="27">
        <v>1281000</v>
      </c>
      <c r="J19" s="27">
        <v>985</v>
      </c>
      <c r="K19" s="27">
        <v>3842000</v>
      </c>
      <c r="L19" s="27">
        <v>2713</v>
      </c>
      <c r="M19" s="27">
        <v>9654000</v>
      </c>
      <c r="N19" s="27">
        <v>7902</v>
      </c>
      <c r="O19" s="27">
        <v>14307000</v>
      </c>
      <c r="P19" s="27">
        <v>14441</v>
      </c>
      <c r="Q19" s="27">
        <v>13075000</v>
      </c>
      <c r="R19" s="27">
        <v>7623</v>
      </c>
      <c r="S19" s="32">
        <f t="shared" si="2"/>
        <v>1122.3600841360758</v>
      </c>
      <c r="T19" s="33">
        <f>'Foreign exchange'!$C$9*S19</f>
        <v>73098.152881815709</v>
      </c>
      <c r="U19" s="32">
        <f t="shared" si="3"/>
        <v>1300.5076142131979</v>
      </c>
      <c r="V19" s="33">
        <f>'Foreign exchange'!$C$9*U19</f>
        <v>84700.71748934011</v>
      </c>
      <c r="W19" s="32">
        <f t="shared" si="0"/>
        <v>1416.1444894950239</v>
      </c>
      <c r="X19" s="33">
        <f>W19*'Foreign exchange'!$C$8</f>
        <v>96932.755083671218</v>
      </c>
      <c r="Y19" s="32">
        <f t="shared" si="1"/>
        <v>1221.7160212604404</v>
      </c>
      <c r="Z19" s="33">
        <f>Y19*'Foreign exchange'!$C$7</f>
        <v>86042.160744115419</v>
      </c>
      <c r="AA19" s="32">
        <f t="shared" si="4"/>
        <v>990.72086420607991</v>
      </c>
      <c r="AB19" s="33">
        <f>AA19*'Foreign exchange'!$C$6</f>
        <v>73420.668742469352</v>
      </c>
      <c r="AC19" s="32">
        <f t="shared" si="5"/>
        <v>1715.2039879312606</v>
      </c>
      <c r="AD19" s="33">
        <f>AC19*'Foreign exchange'!$C$5</f>
        <v>126830.52218942673</v>
      </c>
    </row>
    <row r="20" spans="6:30">
      <c r="F20" s="24" t="s">
        <v>19</v>
      </c>
      <c r="G20" s="24">
        <v>681000</v>
      </c>
      <c r="H20" s="52">
        <v>800.93200000000002</v>
      </c>
      <c r="I20" s="27">
        <v>1000</v>
      </c>
      <c r="J20" s="32">
        <v>0.94534412955465585</v>
      </c>
      <c r="K20" s="27">
        <v>2000</v>
      </c>
      <c r="L20" s="32">
        <v>1.8906882591093117</v>
      </c>
      <c r="M20" s="27">
        <v>7000</v>
      </c>
      <c r="N20" s="32">
        <v>6.6174089068825905</v>
      </c>
      <c r="O20" s="27">
        <v>494000</v>
      </c>
      <c r="P20" s="27">
        <v>467</v>
      </c>
      <c r="Q20" s="27">
        <v>7938000</v>
      </c>
      <c r="R20" s="27">
        <v>5352</v>
      </c>
      <c r="S20" s="32">
        <f t="shared" si="2"/>
        <v>850.25944774337893</v>
      </c>
      <c r="T20" s="33">
        <f>'Foreign exchange'!$C$9*S20</f>
        <v>55376.519513516752</v>
      </c>
      <c r="U20" s="32">
        <f t="shared" si="3"/>
        <v>1057.8158458244111</v>
      </c>
      <c r="V20" s="33">
        <f>'Foreign exchange'!$C$9*U20</f>
        <v>68894.453314775164</v>
      </c>
      <c r="W20" s="32">
        <f t="shared" si="0"/>
        <v>1057.8158458244111</v>
      </c>
      <c r="X20" s="33">
        <f>W20*'Foreign exchange'!$C$8</f>
        <v>72405.750308351184</v>
      </c>
      <c r="Y20" s="32">
        <f t="shared" si="1"/>
        <v>1057.8158458244113</v>
      </c>
      <c r="Z20" s="33">
        <f>Y20*'Foreign exchange'!$C$7</f>
        <v>74499.113918629562</v>
      </c>
      <c r="AA20" s="32">
        <f t="shared" si="4"/>
        <v>1057.8158458244111</v>
      </c>
      <c r="AB20" s="33">
        <f>AA20*'Foreign exchange'!$C$6</f>
        <v>78392.965781584571</v>
      </c>
      <c r="AC20" s="32">
        <f t="shared" si="5"/>
        <v>1483.1838565022422</v>
      </c>
      <c r="AD20" s="33">
        <f>AC20*'Foreign exchange'!$C$5</f>
        <v>109673.82558968611</v>
      </c>
    </row>
    <row r="21" spans="6:30">
      <c r="F21" s="24" t="s">
        <v>58</v>
      </c>
      <c r="G21" s="52">
        <v>6677000</v>
      </c>
      <c r="H21" s="52">
        <v>7205.3950000000004</v>
      </c>
      <c r="I21" s="27">
        <f>I22-SUM(I16:I20)</f>
        <v>7651000</v>
      </c>
      <c r="J21" s="32">
        <f t="shared" ref="J21:R21" si="6">J22-SUM(J16:J20)</f>
        <v>5449.0546558704445</v>
      </c>
      <c r="K21" s="27">
        <f t="shared" si="6"/>
        <v>9045000</v>
      </c>
      <c r="L21" s="32">
        <f t="shared" si="6"/>
        <v>6373.1093117408891</v>
      </c>
      <c r="M21" s="27">
        <f t="shared" si="6"/>
        <v>6953000</v>
      </c>
      <c r="N21" s="32">
        <f t="shared" si="6"/>
        <v>5319.3825910931191</v>
      </c>
      <c r="O21" s="27">
        <f t="shared" si="6"/>
        <v>9354000</v>
      </c>
      <c r="P21" s="27">
        <f t="shared" si="6"/>
        <v>9301</v>
      </c>
      <c r="Q21" s="27">
        <f t="shared" si="6"/>
        <v>5702000</v>
      </c>
      <c r="R21" s="27">
        <f t="shared" si="6"/>
        <v>2825</v>
      </c>
      <c r="S21" s="32">
        <f t="shared" si="2"/>
        <v>926.66675456376777</v>
      </c>
      <c r="T21" s="33">
        <f>'Foreign exchange'!$C$9*S21</f>
        <v>60352.848477980733</v>
      </c>
      <c r="U21" s="32">
        <f t="shared" si="3"/>
        <v>1404.0967623177221</v>
      </c>
      <c r="V21" s="33">
        <f>'Foreign exchange'!$C$9*U21</f>
        <v>91447.371697797775</v>
      </c>
      <c r="W21" s="32">
        <f t="shared" si="0"/>
        <v>1419.2444468725507</v>
      </c>
      <c r="X21" s="33">
        <f>W21*'Foreign exchange'!$C$8</f>
        <v>97144.942054333209</v>
      </c>
      <c r="Y21" s="32">
        <f t="shared" si="1"/>
        <v>1307.1065825650974</v>
      </c>
      <c r="Z21" s="33">
        <f>Y21*'Foreign exchange'!$C$7</f>
        <v>92055.987422286882</v>
      </c>
      <c r="AA21" s="32">
        <f t="shared" si="4"/>
        <v>1005.6983120094613</v>
      </c>
      <c r="AB21" s="33">
        <f>AA21*'Foreign exchange'!$C$6</f>
        <v>74530.622386840114</v>
      </c>
      <c r="AC21" s="32">
        <f t="shared" si="5"/>
        <v>2018.4070796460178</v>
      </c>
      <c r="AD21" s="33">
        <f>AC21*'Foreign exchange'!$C$5</f>
        <v>149250.83296424779</v>
      </c>
    </row>
    <row r="22" spans="6:30">
      <c r="F22" s="28" t="s">
        <v>59</v>
      </c>
      <c r="G22" s="28">
        <v>24009000</v>
      </c>
      <c r="H22" s="51">
        <v>25688.876</v>
      </c>
      <c r="I22" s="29">
        <v>36721000</v>
      </c>
      <c r="J22" s="29">
        <v>28825</v>
      </c>
      <c r="K22" s="29">
        <v>51533000</v>
      </c>
      <c r="L22" s="29">
        <v>38196</v>
      </c>
      <c r="M22" s="29">
        <v>57819000</v>
      </c>
      <c r="N22" s="29">
        <v>47993</v>
      </c>
      <c r="O22" s="29">
        <v>48585000</v>
      </c>
      <c r="P22" s="29">
        <v>48863</v>
      </c>
      <c r="Q22" s="29">
        <v>94127000</v>
      </c>
      <c r="R22" s="29">
        <v>56882</v>
      </c>
      <c r="S22" s="32">
        <f t="shared" si="2"/>
        <v>934.60687030448514</v>
      </c>
      <c r="T22" s="41">
        <f>'Foreign exchange'!$C$9*S22</f>
        <v>60869.980014034096</v>
      </c>
      <c r="U22" s="32">
        <f t="shared" si="3"/>
        <v>1273.9288811795316</v>
      </c>
      <c r="V22" s="41">
        <f>'Foreign exchange'!$C$9*U22</f>
        <v>82969.672062688638</v>
      </c>
      <c r="W22" s="32">
        <f t="shared" si="0"/>
        <v>1349.1726882396063</v>
      </c>
      <c r="X22" s="41">
        <f>W22*'Foreign exchange'!$C$8</f>
        <v>92348.645724238144</v>
      </c>
      <c r="Y22" s="32">
        <f t="shared" si="1"/>
        <v>1204.7381909861854</v>
      </c>
      <c r="Z22" s="41">
        <f>Y22*'Foreign exchange'!$C$7</f>
        <v>84846.457998041369</v>
      </c>
      <c r="AA22" s="32">
        <f t="shared" si="4"/>
        <v>994.31062358021404</v>
      </c>
      <c r="AB22" s="41">
        <f>AA22*'Foreign exchange'!$C$6</f>
        <v>73686.699814788284</v>
      </c>
      <c r="AC22" s="32">
        <f t="shared" si="5"/>
        <v>1654.7765549734538</v>
      </c>
      <c r="AD22" s="41">
        <f>AC22*'Foreign exchange'!$C$5</f>
        <v>122362.22399834746</v>
      </c>
    </row>
    <row r="23" spans="6:30" hidden="1">
      <c r="F23" s="46"/>
      <c r="G23" s="85">
        <v>2016</v>
      </c>
      <c r="H23" s="86"/>
      <c r="I23" s="87">
        <v>2017</v>
      </c>
      <c r="J23" s="87"/>
      <c r="K23" s="87">
        <v>2018</v>
      </c>
      <c r="L23" s="87"/>
      <c r="M23" s="87">
        <v>2019</v>
      </c>
      <c r="N23" s="87"/>
      <c r="O23" s="87">
        <v>2020</v>
      </c>
      <c r="P23" s="87"/>
      <c r="Q23" s="87">
        <v>2021</v>
      </c>
      <c r="R23" s="87"/>
      <c r="S23" s="32" t="e">
        <f t="shared" si="2"/>
        <v>#DIV/0!</v>
      </c>
      <c r="T23" s="47"/>
      <c r="U23" s="49">
        <v>2017</v>
      </c>
      <c r="V23" s="49"/>
      <c r="W23" s="49">
        <v>2018</v>
      </c>
      <c r="X23" s="49"/>
      <c r="Y23" s="49">
        <v>2019</v>
      </c>
      <c r="Z23" s="49"/>
      <c r="AA23" s="49">
        <v>2020</v>
      </c>
      <c r="AB23" s="49"/>
      <c r="AC23" s="49">
        <v>2021</v>
      </c>
      <c r="AD23" s="49"/>
    </row>
    <row r="24" spans="6:30" hidden="1">
      <c r="F24" s="46" t="s">
        <v>57</v>
      </c>
      <c r="G24" s="46" t="s">
        <v>63</v>
      </c>
      <c r="H24" s="46" t="s">
        <v>64</v>
      </c>
      <c r="I24" s="46" t="s">
        <v>54</v>
      </c>
      <c r="J24" s="46" t="s">
        <v>55</v>
      </c>
      <c r="K24" s="46" t="s">
        <v>54</v>
      </c>
      <c r="L24" s="46" t="s">
        <v>55</v>
      </c>
      <c r="M24" s="46" t="s">
        <v>54</v>
      </c>
      <c r="N24" s="46" t="s">
        <v>55</v>
      </c>
      <c r="O24" s="46" t="s">
        <v>54</v>
      </c>
      <c r="P24" s="46" t="s">
        <v>55</v>
      </c>
      <c r="Q24" s="46" t="s">
        <v>54</v>
      </c>
      <c r="R24" s="46" t="s">
        <v>55</v>
      </c>
      <c r="S24" s="32" t="e">
        <f t="shared" si="2"/>
        <v>#VALUE!</v>
      </c>
      <c r="T24" s="46"/>
      <c r="U24" s="49" t="s">
        <v>61</v>
      </c>
      <c r="V24" s="49" t="s">
        <v>62</v>
      </c>
      <c r="W24" s="49" t="s">
        <v>61</v>
      </c>
      <c r="X24" s="49" t="s">
        <v>62</v>
      </c>
      <c r="Y24" s="49" t="s">
        <v>61</v>
      </c>
      <c r="Z24" s="49" t="s">
        <v>62</v>
      </c>
      <c r="AA24" s="49" t="s">
        <v>61</v>
      </c>
      <c r="AB24" s="49" t="s">
        <v>62</v>
      </c>
      <c r="AC24" s="49" t="s">
        <v>61</v>
      </c>
      <c r="AD24" s="49" t="s">
        <v>62</v>
      </c>
    </row>
    <row r="25" spans="6:30" hidden="1">
      <c r="F25" s="46" t="s">
        <v>26</v>
      </c>
      <c r="G25" s="46"/>
      <c r="H25" s="46"/>
      <c r="I25" s="47">
        <v>18720000</v>
      </c>
      <c r="J25" s="48">
        <v>5086.3630000000003</v>
      </c>
      <c r="K25" s="47">
        <v>25941000</v>
      </c>
      <c r="L25" s="48">
        <v>5905.0159999999996</v>
      </c>
      <c r="M25" s="47">
        <v>26904000</v>
      </c>
      <c r="N25" s="48">
        <v>6172.4</v>
      </c>
      <c r="O25" s="47">
        <v>23163000</v>
      </c>
      <c r="P25" s="48">
        <v>5223.4769999999999</v>
      </c>
      <c r="Q25" s="47">
        <v>66169000</v>
      </c>
      <c r="R25" s="48">
        <v>19203.588</v>
      </c>
      <c r="S25" s="32" t="e">
        <f t="shared" si="2"/>
        <v>#DIV/0!</v>
      </c>
      <c r="T25" s="48"/>
      <c r="U25" s="48">
        <f>I25/J25</f>
        <v>3680.4294148883982</v>
      </c>
      <c r="V25" s="48">
        <f>'Foreign exchange'!$C$9*U25</f>
        <v>239702.5659080958</v>
      </c>
      <c r="W25" s="48">
        <f t="shared" ref="W25:W31" si="7">K25/L25</f>
        <v>4393.0448283290007</v>
      </c>
      <c r="X25" s="48">
        <f>W25*'Foreign exchange'!$C$8</f>
        <v>300696.6743681982</v>
      </c>
      <c r="Y25" s="48">
        <f t="shared" ref="Y25:Y31" si="8">M25/N25</f>
        <v>4358.7583435940642</v>
      </c>
      <c r="Z25" s="48">
        <f>Y25*'Foreign exchange'!$C$7</f>
        <v>306975.58149180224</v>
      </c>
      <c r="AA25" s="48">
        <f>O25/P25</f>
        <v>4434.4026019450266</v>
      </c>
      <c r="AB25" s="48">
        <f>AA25*'Foreign exchange'!$C$6</f>
        <v>328626.17137780064</v>
      </c>
      <c r="AC25" s="48">
        <f>Q25/R25</f>
        <v>3445.6581759617006</v>
      </c>
      <c r="AD25" s="48">
        <f>AC25*'Foreign exchange'!$C$5</f>
        <v>254788.71832065968</v>
      </c>
    </row>
    <row r="26" spans="6:30" hidden="1">
      <c r="F26" s="46" t="s">
        <v>13</v>
      </c>
      <c r="G26" s="46"/>
      <c r="H26" s="46"/>
      <c r="I26" s="47">
        <v>12916000</v>
      </c>
      <c r="J26" s="48">
        <v>8827.7000000000007</v>
      </c>
      <c r="K26" s="47">
        <v>12994000</v>
      </c>
      <c r="L26" s="48">
        <v>8210.4240000000009</v>
      </c>
      <c r="M26" s="47">
        <v>16650000</v>
      </c>
      <c r="N26" s="48">
        <v>11964.379000000001</v>
      </c>
      <c r="O26" s="47">
        <v>13979000</v>
      </c>
      <c r="P26" s="48">
        <v>11883.44</v>
      </c>
      <c r="Q26" s="47">
        <v>35239000</v>
      </c>
      <c r="R26" s="48">
        <v>13905.855</v>
      </c>
      <c r="S26" s="32" t="e">
        <f t="shared" si="2"/>
        <v>#DIV/0!</v>
      </c>
      <c r="T26" s="48"/>
      <c r="U26" s="48">
        <f t="shared" ref="U26:U29" si="9">I26/J26</f>
        <v>1463.121764446005</v>
      </c>
      <c r="V26" s="48">
        <f>'Foreign exchange'!$C$9*U26</f>
        <v>95291.60911358564</v>
      </c>
      <c r="W26" s="48">
        <f t="shared" si="7"/>
        <v>1582.6222860110511</v>
      </c>
      <c r="X26" s="48">
        <f>W26*'Foreign exchange'!$C$8</f>
        <v>108327.88573330682</v>
      </c>
      <c r="Y26" s="48">
        <f t="shared" si="8"/>
        <v>1391.6309404775625</v>
      </c>
      <c r="Z26" s="48">
        <f>Y26*'Foreign exchange'!$C$7</f>
        <v>98008.809734295442</v>
      </c>
      <c r="AA26" s="48">
        <f t="shared" ref="AA26:AA31" si="10">O26/P26</f>
        <v>1176.3428771466847</v>
      </c>
      <c r="AB26" s="48">
        <f>AA26*'Foreign exchange'!$C$6</f>
        <v>87176.806132735961</v>
      </c>
      <c r="AC26" s="48">
        <f t="shared" ref="AC26:AC31" si="11">Q26/R26</f>
        <v>2534.112429620473</v>
      </c>
      <c r="AD26" s="48">
        <f>AC26*'Foreign exchange'!$C$5</f>
        <v>187384.59390077059</v>
      </c>
    </row>
    <row r="27" spans="6:30" hidden="1">
      <c r="F27" s="46" t="s">
        <v>56</v>
      </c>
      <c r="G27" s="46"/>
      <c r="H27" s="46"/>
      <c r="I27" s="47">
        <v>16767000</v>
      </c>
      <c r="J27" s="48">
        <v>9596.15</v>
      </c>
      <c r="K27" s="47">
        <v>21788000</v>
      </c>
      <c r="L27" s="48">
        <v>11339.664000000001</v>
      </c>
      <c r="M27" s="47">
        <v>19171000</v>
      </c>
      <c r="N27" s="48">
        <v>10889.42</v>
      </c>
      <c r="O27" s="47">
        <v>21468000</v>
      </c>
      <c r="P27" s="48">
        <v>13252.648999999999</v>
      </c>
      <c r="Q27" s="47">
        <v>24124000</v>
      </c>
      <c r="R27" s="48">
        <v>7547.7</v>
      </c>
      <c r="S27" s="32" t="e">
        <f t="shared" si="2"/>
        <v>#DIV/0!</v>
      </c>
      <c r="T27" s="48"/>
      <c r="U27" s="48">
        <f t="shared" si="9"/>
        <v>1747.2632253560023</v>
      </c>
      <c r="V27" s="48">
        <f>'Foreign exchange'!$C$9*U27</f>
        <v>113797.44894452464</v>
      </c>
      <c r="W27" s="48">
        <f t="shared" si="7"/>
        <v>1921.3973182979671</v>
      </c>
      <c r="X27" s="48">
        <f>W27*'Foreign exchange'!$C$8</f>
        <v>131516.47805331799</v>
      </c>
      <c r="Y27" s="48">
        <f t="shared" si="8"/>
        <v>1760.5161707418761</v>
      </c>
      <c r="Z27" s="48">
        <f>Y27*'Foreign exchange'!$C$7</f>
        <v>123988.40051168934</v>
      </c>
      <c r="AA27" s="48">
        <f t="shared" si="10"/>
        <v>1619.9025568397685</v>
      </c>
      <c r="AB27" s="48">
        <f>AA27*'Foreign exchange'!$C$6</f>
        <v>120048.27325012532</v>
      </c>
      <c r="AC27" s="48">
        <f t="shared" si="11"/>
        <v>3196.2054665659739</v>
      </c>
      <c r="AD27" s="48">
        <f>AC27*'Foreign exchange'!$C$5</f>
        <v>236342.97214886657</v>
      </c>
    </row>
    <row r="28" spans="6:30" hidden="1">
      <c r="F28" s="46" t="s">
        <v>60</v>
      </c>
      <c r="G28" s="46"/>
      <c r="H28" s="46"/>
      <c r="I28" s="47">
        <v>4708000</v>
      </c>
      <c r="J28" s="48">
        <v>2704.3850000000002</v>
      </c>
      <c r="K28" s="47">
        <v>6784000</v>
      </c>
      <c r="L28" s="48">
        <v>3487.7979999999998</v>
      </c>
      <c r="M28" s="47">
        <v>6668000</v>
      </c>
      <c r="N28" s="48">
        <v>3705.4229999999998</v>
      </c>
      <c r="O28" s="47">
        <v>7816000</v>
      </c>
      <c r="P28" s="48">
        <v>5455.299</v>
      </c>
      <c r="Q28" s="47">
        <v>18555000</v>
      </c>
      <c r="R28" s="48">
        <v>6851.9560000000001</v>
      </c>
      <c r="S28" s="32" t="e">
        <f t="shared" si="2"/>
        <v>#DIV/0!</v>
      </c>
      <c r="T28" s="48"/>
      <c r="U28" s="48">
        <f t="shared" si="9"/>
        <v>1740.8763914901169</v>
      </c>
      <c r="V28" s="48">
        <f>'Foreign exchange'!$C$9*U28</f>
        <v>113381.48105243892</v>
      </c>
      <c r="W28" s="48">
        <f t="shared" si="7"/>
        <v>1945.0667727890207</v>
      </c>
      <c r="X28" s="48">
        <f>W28*'Foreign exchange'!$C$8</f>
        <v>133136.61318230015</v>
      </c>
      <c r="Y28" s="48">
        <f t="shared" si="8"/>
        <v>1799.5246426656283</v>
      </c>
      <c r="Z28" s="48">
        <f>Y28*'Foreign exchange'!$C$7</f>
        <v>126735.661866405</v>
      </c>
      <c r="AA28" s="48">
        <f t="shared" si="10"/>
        <v>1432.7354009376938</v>
      </c>
      <c r="AB28" s="48">
        <f>AA28*'Foreign exchange'!$C$6</f>
        <v>106177.62789537292</v>
      </c>
      <c r="AC28" s="48">
        <f t="shared" si="11"/>
        <v>2707.9858656418692</v>
      </c>
      <c r="AD28" s="48">
        <f>AC28*'Foreign exchange'!$C$5</f>
        <v>200241.64113283856</v>
      </c>
    </row>
    <row r="29" spans="6:30" hidden="1">
      <c r="F29" s="46" t="s">
        <v>12</v>
      </c>
      <c r="G29" s="46"/>
      <c r="H29" s="46"/>
      <c r="I29" s="47">
        <v>2225000</v>
      </c>
      <c r="J29" s="48">
        <v>1469.42</v>
      </c>
      <c r="K29" s="47">
        <v>1231000</v>
      </c>
      <c r="L29" s="48">
        <v>778.67200000000003</v>
      </c>
      <c r="M29" s="47">
        <v>1809000</v>
      </c>
      <c r="N29" s="48">
        <v>1189.58</v>
      </c>
      <c r="O29" s="47">
        <v>1156000</v>
      </c>
      <c r="P29" s="48">
        <v>892.08199999999999</v>
      </c>
      <c r="Q29" s="47">
        <v>5793000</v>
      </c>
      <c r="R29" s="48">
        <v>2517.7139999999999</v>
      </c>
      <c r="S29" s="32" t="e">
        <f t="shared" si="2"/>
        <v>#DIV/0!</v>
      </c>
      <c r="T29" s="48"/>
      <c r="U29" s="48">
        <f t="shared" si="9"/>
        <v>1514.2028827700724</v>
      </c>
      <c r="V29" s="48">
        <f>'Foreign exchange'!$C$9*U29</f>
        <v>98618.469583236918</v>
      </c>
      <c r="W29" s="48">
        <f t="shared" si="7"/>
        <v>1580.8967061869439</v>
      </c>
      <c r="X29" s="48">
        <f>W29*'Foreign exchange'!$C$8</f>
        <v>108209.77263982782</v>
      </c>
      <c r="Y29" s="48">
        <f t="shared" si="8"/>
        <v>1520.7047865633249</v>
      </c>
      <c r="Z29" s="48">
        <f>Y29*'Foreign exchange'!$C$7</f>
        <v>107099.13221473126</v>
      </c>
      <c r="AA29" s="48">
        <f t="shared" si="10"/>
        <v>1295.8450007958909</v>
      </c>
      <c r="AB29" s="48">
        <f>AA29*'Foreign exchange'!$C$6</f>
        <v>96032.90894783214</v>
      </c>
      <c r="AC29" s="48">
        <f t="shared" si="11"/>
        <v>2300.896765875711</v>
      </c>
      <c r="AD29" s="48">
        <f>AC29*'Foreign exchange'!$C$5</f>
        <v>170139.49382892577</v>
      </c>
    </row>
    <row r="30" spans="6:30" hidden="1">
      <c r="F30" s="46" t="s">
        <v>58</v>
      </c>
      <c r="G30" s="46"/>
      <c r="H30" s="46"/>
      <c r="I30" s="47">
        <f>I31-SUM(I25:I29)</f>
        <v>20912000</v>
      </c>
      <c r="J30" s="48">
        <f t="shared" ref="J30:R30" si="12">J31-SUM(J25:J29)</f>
        <v>9375.32</v>
      </c>
      <c r="K30" s="47">
        <f t="shared" si="12"/>
        <v>22897000</v>
      </c>
      <c r="L30" s="48">
        <f t="shared" si="12"/>
        <v>9757.7460000000028</v>
      </c>
      <c r="M30" s="47">
        <f t="shared" si="12"/>
        <v>25200000</v>
      </c>
      <c r="N30" s="48">
        <f t="shared" si="12"/>
        <v>10655.744000000006</v>
      </c>
      <c r="O30" s="47">
        <f t="shared" si="12"/>
        <v>22027000</v>
      </c>
      <c r="P30" s="48">
        <f t="shared" si="12"/>
        <v>6956.7920000000013</v>
      </c>
      <c r="Q30" s="47">
        <f t="shared" si="12"/>
        <v>27505000</v>
      </c>
      <c r="R30" s="48">
        <f t="shared" si="12"/>
        <v>5892.2790000000023</v>
      </c>
      <c r="S30" s="32" t="e">
        <f t="shared" si="2"/>
        <v>#DIV/0!</v>
      </c>
      <c r="T30" s="48"/>
      <c r="U30" s="48">
        <f>I30/J30</f>
        <v>2230.5371976636529</v>
      </c>
      <c r="V30" s="48">
        <f>'Foreign exchange'!$C$9*U30</f>
        <v>145272.58353890854</v>
      </c>
      <c r="W30" s="48">
        <f t="shared" si="7"/>
        <v>2346.5460158524306</v>
      </c>
      <c r="X30" s="48">
        <f>W30*'Foreign exchange'!$C$8</f>
        <v>160617.20533071875</v>
      </c>
      <c r="Y30" s="48">
        <f t="shared" si="8"/>
        <v>2364.9216798001139</v>
      </c>
      <c r="Z30" s="48">
        <f>Y30*'Foreign exchange'!$C$7</f>
        <v>166555.04861978657</v>
      </c>
      <c r="AA30" s="48">
        <f t="shared" si="10"/>
        <v>3166.2582408673416</v>
      </c>
      <c r="AB30" s="48">
        <f>AA30*'Foreign exchange'!$C$6</f>
        <v>234646.11057941642</v>
      </c>
      <c r="AC30" s="48">
        <f t="shared" si="11"/>
        <v>4667.9731221145485</v>
      </c>
      <c r="AD30" s="48">
        <f>AC30*'Foreign exchange'!$C$5</f>
        <v>345172.62833446945</v>
      </c>
    </row>
    <row r="31" spans="6:30" hidden="1">
      <c r="F31" s="46" t="s">
        <v>59</v>
      </c>
      <c r="G31" s="46"/>
      <c r="H31" s="46"/>
      <c r="I31" s="47">
        <v>76248000</v>
      </c>
      <c r="J31" s="48">
        <v>37059.338000000003</v>
      </c>
      <c r="K31" s="47">
        <v>91635000</v>
      </c>
      <c r="L31" s="48">
        <v>39479.32</v>
      </c>
      <c r="M31" s="47">
        <v>96402000</v>
      </c>
      <c r="N31" s="48">
        <v>44576.946000000004</v>
      </c>
      <c r="O31" s="47">
        <v>89609000</v>
      </c>
      <c r="P31" s="48">
        <v>43663.739000000001</v>
      </c>
      <c r="Q31" s="47">
        <v>177385000</v>
      </c>
      <c r="R31" s="48">
        <v>55919.091999999997</v>
      </c>
      <c r="S31" s="32" t="e">
        <f t="shared" si="2"/>
        <v>#DIV/0!</v>
      </c>
      <c r="T31" s="48"/>
      <c r="U31" s="48">
        <f>I31/J31</f>
        <v>2057.4571515551625</v>
      </c>
      <c r="V31" s="48">
        <f>'Foreign exchange'!$C$9*U31</f>
        <v>134000.05892755018</v>
      </c>
      <c r="W31" s="48">
        <f t="shared" si="7"/>
        <v>2321.0886104421252</v>
      </c>
      <c r="X31" s="48">
        <f>W31*'Foreign exchange'!$C$8</f>
        <v>158874.68790964485</v>
      </c>
      <c r="Y31" s="48">
        <f t="shared" si="8"/>
        <v>2162.5976799756536</v>
      </c>
      <c r="Z31" s="48">
        <f>Y31*'Foreign exchange'!$C$7</f>
        <v>152305.91558694936</v>
      </c>
      <c r="AA31" s="48">
        <f t="shared" si="10"/>
        <v>2052.2520987036864</v>
      </c>
      <c r="AB31" s="48">
        <f>AA31*'Foreign exchange'!$C$6</f>
        <v>152088.97577392537</v>
      </c>
      <c r="AC31" s="48">
        <f t="shared" si="11"/>
        <v>3172.1723950739402</v>
      </c>
      <c r="AD31" s="48">
        <f>AC31*'Foreign exchange'!$C$5</f>
        <v>234565.849993952</v>
      </c>
    </row>
    <row r="33" spans="6:20">
      <c r="F33" s="25"/>
      <c r="G33" s="83">
        <v>2016</v>
      </c>
      <c r="H33" s="84"/>
      <c r="I33" s="88">
        <v>2017</v>
      </c>
      <c r="J33" s="88"/>
      <c r="K33" s="88">
        <v>2018</v>
      </c>
      <c r="L33" s="88"/>
      <c r="M33" s="88">
        <v>2019</v>
      </c>
      <c r="N33" s="88"/>
      <c r="O33" s="88">
        <v>2020</v>
      </c>
      <c r="P33" s="88"/>
      <c r="Q33" s="88">
        <v>2021</v>
      </c>
      <c r="R33" s="88"/>
      <c r="S33" s="62"/>
      <c r="T33" s="62"/>
    </row>
    <row r="34" spans="6:20">
      <c r="F34" s="25" t="s">
        <v>67</v>
      </c>
      <c r="G34" s="25" t="s">
        <v>63</v>
      </c>
      <c r="H34" s="25" t="s">
        <v>64</v>
      </c>
      <c r="I34" s="25" t="s">
        <v>63</v>
      </c>
      <c r="J34" s="25" t="s">
        <v>64</v>
      </c>
      <c r="K34" s="25" t="s">
        <v>54</v>
      </c>
      <c r="L34" s="25" t="s">
        <v>55</v>
      </c>
      <c r="M34" s="25" t="s">
        <v>54</v>
      </c>
      <c r="N34" s="25" t="s">
        <v>55</v>
      </c>
      <c r="O34" s="25" t="s">
        <v>54</v>
      </c>
      <c r="P34" s="25" t="s">
        <v>55</v>
      </c>
      <c r="Q34" s="25" t="s">
        <v>54</v>
      </c>
      <c r="R34" s="25" t="s">
        <v>55</v>
      </c>
      <c r="S34" s="63"/>
      <c r="T34" s="63"/>
    </row>
    <row r="35" spans="6:20">
      <c r="F35" s="24" t="s">
        <v>26</v>
      </c>
      <c r="G35" s="30">
        <f>G16/G$22</f>
        <v>0.19971677287683784</v>
      </c>
      <c r="H35" s="30">
        <f t="shared" ref="H35:H41" si="13">H16/H$22</f>
        <v>0.17408963319376061</v>
      </c>
      <c r="I35" s="30">
        <f>I16/$I$22</f>
        <v>0.23716674382505923</v>
      </c>
      <c r="J35" s="30">
        <f>J16/$J$22</f>
        <v>0.2403122289679098</v>
      </c>
      <c r="K35" s="30">
        <f>K16/K$22</f>
        <v>0.38660664040517728</v>
      </c>
      <c r="L35" s="30">
        <f t="shared" ref="L35:R35" si="14">L16/L$22</f>
        <v>0.39703110273327052</v>
      </c>
      <c r="M35" s="30">
        <f t="shared" si="14"/>
        <v>0.4271952126463619</v>
      </c>
      <c r="N35" s="30">
        <f t="shared" si="14"/>
        <v>0.43964744858625215</v>
      </c>
      <c r="O35" s="30">
        <f t="shared" si="14"/>
        <v>0.14802922712771432</v>
      </c>
      <c r="P35" s="30">
        <f t="shared" si="14"/>
        <v>0.14207068743220841</v>
      </c>
      <c r="Q35" s="31">
        <f t="shared" si="14"/>
        <v>0.4359854239484951</v>
      </c>
      <c r="R35" s="31">
        <f t="shared" si="14"/>
        <v>0.43546288808410394</v>
      </c>
      <c r="S35" s="65"/>
      <c r="T35" s="65"/>
    </row>
    <row r="36" spans="6:20">
      <c r="F36" s="24" t="s">
        <v>12</v>
      </c>
      <c r="G36" s="30">
        <f t="shared" ref="G36:G41" si="15">G17/G$22</f>
        <v>0.29951268274397103</v>
      </c>
      <c r="H36" s="30">
        <f t="shared" si="13"/>
        <v>0.11763184967687959</v>
      </c>
      <c r="I36" s="30">
        <f t="shared" ref="I36:I41" si="16">I17/$I$22</f>
        <v>0.19217886223142072</v>
      </c>
      <c r="J36" s="30">
        <f t="shared" ref="J36:J41" si="17">J17/$J$22</f>
        <v>0.21387684301821336</v>
      </c>
      <c r="K36" s="30">
        <f t="shared" ref="K36:R41" si="18">K17/K$22</f>
        <v>0.15881085906118408</v>
      </c>
      <c r="L36" s="30">
        <f t="shared" si="18"/>
        <v>0.16954654937689811</v>
      </c>
      <c r="M36" s="30">
        <f t="shared" si="18"/>
        <v>0.16940798007575364</v>
      </c>
      <c r="N36" s="30">
        <f t="shared" si="18"/>
        <v>0.17883858062634134</v>
      </c>
      <c r="O36" s="30">
        <f t="shared" si="18"/>
        <v>0.21341977976741794</v>
      </c>
      <c r="P36" s="30">
        <f t="shared" si="18"/>
        <v>0.22902809897059123</v>
      </c>
      <c r="Q36" s="31">
        <f t="shared" si="18"/>
        <v>0.12329087296949866</v>
      </c>
      <c r="R36" s="31">
        <f t="shared" si="18"/>
        <v>0.14561724271298476</v>
      </c>
      <c r="S36" s="65"/>
      <c r="T36" s="65"/>
    </row>
    <row r="37" spans="6:20">
      <c r="F37" s="24" t="s">
        <v>13</v>
      </c>
      <c r="G37" s="30">
        <f t="shared" si="15"/>
        <v>8.5801157899121169E-2</v>
      </c>
      <c r="H37" s="30">
        <f t="shared" si="13"/>
        <v>0.30626291317689414</v>
      </c>
      <c r="I37" s="30">
        <f t="shared" si="16"/>
        <v>0.32738759837695053</v>
      </c>
      <c r="J37" s="30">
        <f t="shared" si="17"/>
        <v>0.32256721595836946</v>
      </c>
      <c r="K37" s="30">
        <f t="shared" si="18"/>
        <v>0.20447092154541749</v>
      </c>
      <c r="L37" s="30">
        <f t="shared" si="18"/>
        <v>0.19549167452089225</v>
      </c>
      <c r="M37" s="30">
        <f t="shared" si="18"/>
        <v>0.1160518168768052</v>
      </c>
      <c r="N37" s="30">
        <f t="shared" si="18"/>
        <v>0.10589044235617694</v>
      </c>
      <c r="O37" s="30">
        <f t="shared" si="18"/>
        <v>0.14138108469692293</v>
      </c>
      <c r="P37" s="30">
        <f t="shared" si="18"/>
        <v>0.13345476127130959</v>
      </c>
      <c r="Q37" s="31">
        <f t="shared" si="18"/>
        <v>0.15690503256238911</v>
      </c>
      <c r="R37" s="31">
        <f t="shared" si="18"/>
        <v>0.14115185823283288</v>
      </c>
      <c r="S37" s="65"/>
      <c r="T37" s="65"/>
    </row>
    <row r="38" spans="6:20">
      <c r="F38" s="24" t="s">
        <v>56</v>
      </c>
      <c r="G38" s="30">
        <f t="shared" si="15"/>
        <v>0.10850097879961682</v>
      </c>
      <c r="H38" s="30">
        <f t="shared" si="13"/>
        <v>9.0350469206982822E-2</v>
      </c>
      <c r="I38" s="30">
        <f t="shared" si="16"/>
        <v>3.4884670896762074E-2</v>
      </c>
      <c r="J38" s="30">
        <f t="shared" si="17"/>
        <v>3.4171725932350391E-2</v>
      </c>
      <c r="K38" s="30">
        <f t="shared" si="18"/>
        <v>7.4554169173151191E-2</v>
      </c>
      <c r="L38" s="30">
        <f t="shared" si="18"/>
        <v>7.1028379935071731E-2</v>
      </c>
      <c r="M38" s="30">
        <f t="shared" si="18"/>
        <v>0.16696933533959424</v>
      </c>
      <c r="N38" s="30">
        <f t="shared" si="18"/>
        <v>0.16464901131414997</v>
      </c>
      <c r="O38" s="30">
        <f t="shared" si="18"/>
        <v>0.29447360296387776</v>
      </c>
      <c r="P38" s="30">
        <f t="shared" si="18"/>
        <v>0.2955405930867937</v>
      </c>
      <c r="Q38" s="31">
        <f t="shared" si="18"/>
        <v>0.13890807101044333</v>
      </c>
      <c r="R38" s="31">
        <f t="shared" si="18"/>
        <v>0.1340142751661334</v>
      </c>
      <c r="S38" s="65"/>
      <c r="T38" s="65"/>
    </row>
    <row r="39" spans="6:20">
      <c r="F39" s="24" t="s">
        <v>19</v>
      </c>
      <c r="G39" s="30">
        <f t="shared" si="15"/>
        <v>2.8364363363738598E-2</v>
      </c>
      <c r="H39" s="30">
        <f t="shared" si="13"/>
        <v>3.1178164431951014E-2</v>
      </c>
      <c r="I39" s="30">
        <f t="shared" si="16"/>
        <v>2.7232373846028159E-5</v>
      </c>
      <c r="J39" s="30">
        <f t="shared" si="17"/>
        <v>3.279598021004877E-5</v>
      </c>
      <c r="K39" s="30">
        <f t="shared" si="18"/>
        <v>3.8810082859526907E-5</v>
      </c>
      <c r="L39" s="30">
        <f t="shared" si="18"/>
        <v>4.9499640253149849E-5</v>
      </c>
      <c r="M39" s="30">
        <f t="shared" si="18"/>
        <v>1.2106746917103374E-4</v>
      </c>
      <c r="N39" s="30">
        <f t="shared" si="18"/>
        <v>1.3788279346743464E-4</v>
      </c>
      <c r="O39" s="30">
        <f t="shared" si="18"/>
        <v>1.0167747247092724E-2</v>
      </c>
      <c r="P39" s="30">
        <f t="shared" si="18"/>
        <v>9.5573337699281658E-3</v>
      </c>
      <c r="Q39" s="31">
        <f t="shared" si="18"/>
        <v>8.4332869421101284E-2</v>
      </c>
      <c r="R39" s="31">
        <f t="shared" si="18"/>
        <v>9.4089518652649348E-2</v>
      </c>
      <c r="S39" s="65"/>
      <c r="T39" s="65"/>
    </row>
    <row r="40" spans="6:20">
      <c r="F40" s="24" t="s">
        <v>58</v>
      </c>
      <c r="G40" s="30">
        <f t="shared" si="15"/>
        <v>0.27810404431671454</v>
      </c>
      <c r="H40" s="30">
        <f t="shared" si="13"/>
        <v>0.28048697031353181</v>
      </c>
      <c r="I40" s="30">
        <f t="shared" si="16"/>
        <v>0.20835489229596144</v>
      </c>
      <c r="J40" s="30">
        <f t="shared" si="17"/>
        <v>0.1890391901429469</v>
      </c>
      <c r="K40" s="30">
        <f t="shared" si="18"/>
        <v>0.17551859973221043</v>
      </c>
      <c r="L40" s="30">
        <f t="shared" si="18"/>
        <v>0.16685279379361423</v>
      </c>
      <c r="M40" s="30">
        <f t="shared" si="18"/>
        <v>0.12025458759231394</v>
      </c>
      <c r="N40" s="30">
        <f t="shared" si="18"/>
        <v>0.11083663432361217</v>
      </c>
      <c r="O40" s="30">
        <f t="shared" si="18"/>
        <v>0.19252855819697437</v>
      </c>
      <c r="P40" s="30">
        <f t="shared" si="18"/>
        <v>0.19034852546916889</v>
      </c>
      <c r="Q40" s="31">
        <f t="shared" si="18"/>
        <v>6.0577730088072497E-2</v>
      </c>
      <c r="R40" s="31">
        <f t="shared" si="18"/>
        <v>4.9664217151295667E-2</v>
      </c>
      <c r="S40" s="65"/>
      <c r="T40" s="65"/>
    </row>
    <row r="41" spans="6:20">
      <c r="F41" s="28" t="s">
        <v>59</v>
      </c>
      <c r="G41" s="30">
        <f t="shared" si="15"/>
        <v>1</v>
      </c>
      <c r="H41" s="30">
        <f t="shared" si="13"/>
        <v>1</v>
      </c>
      <c r="I41" s="30">
        <f t="shared" si="16"/>
        <v>1</v>
      </c>
      <c r="J41" s="30">
        <f t="shared" si="17"/>
        <v>1</v>
      </c>
      <c r="K41" s="30">
        <f t="shared" si="18"/>
        <v>1</v>
      </c>
      <c r="L41" s="30">
        <f t="shared" si="18"/>
        <v>1</v>
      </c>
      <c r="M41" s="30">
        <f t="shared" si="18"/>
        <v>1</v>
      </c>
      <c r="N41" s="30">
        <f t="shared" si="18"/>
        <v>1</v>
      </c>
      <c r="O41" s="30">
        <f t="shared" si="18"/>
        <v>1</v>
      </c>
      <c r="P41" s="30">
        <f t="shared" si="18"/>
        <v>1</v>
      </c>
      <c r="Q41" s="31">
        <f t="shared" si="18"/>
        <v>1</v>
      </c>
      <c r="R41" s="31">
        <f t="shared" si="18"/>
        <v>1</v>
      </c>
      <c r="S41" s="65"/>
      <c r="T41" s="65"/>
    </row>
    <row r="43" spans="6:20">
      <c r="F43" s="46"/>
      <c r="G43" s="46"/>
      <c r="H43" s="46"/>
      <c r="I43" s="87">
        <v>2017</v>
      </c>
      <c r="J43" s="87"/>
      <c r="K43" s="87">
        <v>2018</v>
      </c>
      <c r="L43" s="87"/>
      <c r="M43" s="87">
        <v>2019</v>
      </c>
      <c r="N43" s="87"/>
      <c r="O43" s="87">
        <v>2020</v>
      </c>
      <c r="P43" s="87"/>
      <c r="Q43" s="87">
        <v>2021</v>
      </c>
      <c r="R43" s="87"/>
      <c r="S43" s="64"/>
      <c r="T43" s="64"/>
    </row>
    <row r="44" spans="6:20">
      <c r="F44" s="46" t="s">
        <v>65</v>
      </c>
      <c r="G44" s="46"/>
      <c r="H44" s="46"/>
      <c r="I44" s="46" t="s">
        <v>63</v>
      </c>
      <c r="J44" s="46" t="s">
        <v>64</v>
      </c>
      <c r="K44" s="46" t="s">
        <v>54</v>
      </c>
      <c r="L44" s="46" t="s">
        <v>55</v>
      </c>
      <c r="M44" s="46" t="s">
        <v>54</v>
      </c>
      <c r="N44" s="46" t="s">
        <v>55</v>
      </c>
      <c r="O44" s="46" t="s">
        <v>54</v>
      </c>
      <c r="P44" s="46" t="s">
        <v>55</v>
      </c>
      <c r="Q44" s="46" t="s">
        <v>54</v>
      </c>
      <c r="R44" s="46" t="s">
        <v>55</v>
      </c>
      <c r="S44" s="66"/>
      <c r="T44" s="66"/>
    </row>
    <row r="45" spans="6:20">
      <c r="F45" s="46" t="s">
        <v>26</v>
      </c>
      <c r="G45" s="46"/>
      <c r="H45" s="46"/>
      <c r="I45" s="50">
        <f>I25/I$31</f>
        <v>0.24551463644948066</v>
      </c>
      <c r="J45" s="50">
        <f t="shared" ref="J45:R45" si="19">J25/J$31</f>
        <v>0.13724915971245896</v>
      </c>
      <c r="K45" s="50">
        <f t="shared" si="19"/>
        <v>0.2830905221803896</v>
      </c>
      <c r="L45" s="50">
        <f t="shared" si="19"/>
        <v>0.1495723837188685</v>
      </c>
      <c r="M45" s="50">
        <f t="shared" si="19"/>
        <v>0.27908134686002367</v>
      </c>
      <c r="N45" s="50">
        <f t="shared" si="19"/>
        <v>0.1384661928163495</v>
      </c>
      <c r="O45" s="50">
        <f t="shared" si="19"/>
        <v>0.25848966063676637</v>
      </c>
      <c r="P45" s="50">
        <f t="shared" si="19"/>
        <v>0.1196296313515432</v>
      </c>
      <c r="Q45" s="50">
        <f t="shared" si="19"/>
        <v>0.37302477661583561</v>
      </c>
      <c r="R45" s="50">
        <f t="shared" si="19"/>
        <v>0.34341737880865447</v>
      </c>
      <c r="S45" s="67"/>
      <c r="T45" s="67"/>
    </row>
    <row r="46" spans="6:20">
      <c r="F46" s="46" t="s">
        <v>13</v>
      </c>
      <c r="G46" s="46"/>
      <c r="H46" s="46"/>
      <c r="I46" s="50">
        <f t="shared" ref="I46:R51" si="20">I26/I$31</f>
        <v>0.1693946070716609</v>
      </c>
      <c r="J46" s="50">
        <f t="shared" si="20"/>
        <v>0.23820447089475802</v>
      </c>
      <c r="K46" s="50">
        <f t="shared" si="20"/>
        <v>0.14180171331914662</v>
      </c>
      <c r="L46" s="50">
        <f t="shared" si="20"/>
        <v>0.20796771575599582</v>
      </c>
      <c r="M46" s="50">
        <f t="shared" si="20"/>
        <v>0.17271425904026888</v>
      </c>
      <c r="N46" s="50">
        <f t="shared" si="20"/>
        <v>0.26839835550869723</v>
      </c>
      <c r="O46" s="50">
        <f t="shared" si="20"/>
        <v>0.15599995536162661</v>
      </c>
      <c r="P46" s="50">
        <f t="shared" si="20"/>
        <v>0.27215809438582433</v>
      </c>
      <c r="Q46" s="50">
        <f t="shared" si="20"/>
        <v>0.19865828564985766</v>
      </c>
      <c r="R46" s="50">
        <f t="shared" si="20"/>
        <v>0.24867812588945473</v>
      </c>
      <c r="S46" s="67"/>
      <c r="T46" s="67"/>
    </row>
    <row r="47" spans="6:20">
      <c r="F47" s="46" t="s">
        <v>56</v>
      </c>
      <c r="G47" s="46"/>
      <c r="H47" s="46"/>
      <c r="I47" s="50">
        <f t="shared" si="20"/>
        <v>0.21990084985835695</v>
      </c>
      <c r="J47" s="50">
        <f t="shared" si="20"/>
        <v>0.25894013541202487</v>
      </c>
      <c r="K47" s="50">
        <f t="shared" si="20"/>
        <v>0.2377694112511595</v>
      </c>
      <c r="L47" s="50">
        <f t="shared" si="20"/>
        <v>0.28723047914705724</v>
      </c>
      <c r="M47" s="50">
        <f t="shared" si="20"/>
        <v>0.1988651687724321</v>
      </c>
      <c r="N47" s="50">
        <f t="shared" si="20"/>
        <v>0.2442836707566283</v>
      </c>
      <c r="O47" s="50">
        <f t="shared" si="20"/>
        <v>0.23957414991797699</v>
      </c>
      <c r="P47" s="50">
        <f t="shared" si="20"/>
        <v>0.30351612810803946</v>
      </c>
      <c r="Q47" s="50">
        <f t="shared" si="20"/>
        <v>0.13599797051610904</v>
      </c>
      <c r="R47" s="50">
        <f t="shared" si="20"/>
        <v>0.13497536762578335</v>
      </c>
      <c r="S47" s="67"/>
      <c r="T47" s="67"/>
    </row>
    <row r="48" spans="6:20">
      <c r="F48" s="46" t="s">
        <v>60</v>
      </c>
      <c r="G48" s="46"/>
      <c r="H48" s="46"/>
      <c r="I48" s="50">
        <f t="shared" si="20"/>
        <v>6.1745881859196307E-2</v>
      </c>
      <c r="J48" s="50">
        <f t="shared" si="20"/>
        <v>7.2974455183198367E-2</v>
      </c>
      <c r="K48" s="50">
        <f t="shared" si="20"/>
        <v>7.4032847711027444E-2</v>
      </c>
      <c r="L48" s="50">
        <f t="shared" si="20"/>
        <v>8.8344936032332871E-2</v>
      </c>
      <c r="M48" s="50">
        <f t="shared" si="20"/>
        <v>6.9168689446277049E-2</v>
      </c>
      <c r="N48" s="50">
        <f t="shared" si="20"/>
        <v>8.3124200567710485E-2</v>
      </c>
      <c r="O48" s="50">
        <f t="shared" si="20"/>
        <v>8.7223381579975223E-2</v>
      </c>
      <c r="P48" s="50">
        <f t="shared" si="20"/>
        <v>0.12493888807827475</v>
      </c>
      <c r="Q48" s="50">
        <f t="shared" si="20"/>
        <v>0.10460298221382867</v>
      </c>
      <c r="R48" s="50">
        <f t="shared" si="20"/>
        <v>0.12253339163661671</v>
      </c>
      <c r="S48" s="67"/>
      <c r="T48" s="67"/>
    </row>
    <row r="49" spans="6:20">
      <c r="F49" s="46" t="s">
        <v>12</v>
      </c>
      <c r="G49" s="46"/>
      <c r="H49" s="46"/>
      <c r="I49" s="50">
        <f t="shared" si="20"/>
        <v>2.9181093274577692E-2</v>
      </c>
      <c r="J49" s="50">
        <f t="shared" si="20"/>
        <v>3.9650465423856196E-2</v>
      </c>
      <c r="K49" s="50">
        <f t="shared" si="20"/>
        <v>1.3433731652752769E-2</v>
      </c>
      <c r="L49" s="50">
        <f t="shared" si="20"/>
        <v>1.9723541337591428E-2</v>
      </c>
      <c r="M49" s="50">
        <f t="shared" si="20"/>
        <v>1.876517084707786E-2</v>
      </c>
      <c r="N49" s="50">
        <f t="shared" si="20"/>
        <v>2.6685991453968154E-2</v>
      </c>
      <c r="O49" s="50">
        <f t="shared" si="20"/>
        <v>1.2900489906147819E-2</v>
      </c>
      <c r="P49" s="50">
        <f t="shared" si="20"/>
        <v>2.0430728573198918E-2</v>
      </c>
      <c r="Q49" s="50">
        <f t="shared" si="20"/>
        <v>3.2657778278884914E-2</v>
      </c>
      <c r="R49" s="50">
        <f t="shared" si="20"/>
        <v>4.502422893418942E-2</v>
      </c>
      <c r="S49" s="67"/>
      <c r="T49" s="67"/>
    </row>
    <row r="50" spans="6:20">
      <c r="F50" s="46" t="s">
        <v>58</v>
      </c>
      <c r="G50" s="46"/>
      <c r="H50" s="46"/>
      <c r="I50" s="50">
        <f t="shared" si="20"/>
        <v>0.27426293148672753</v>
      </c>
      <c r="J50" s="50">
        <f t="shared" si="20"/>
        <v>0.2529813133737035</v>
      </c>
      <c r="K50" s="50">
        <f t="shared" si="20"/>
        <v>0.24987177388552409</v>
      </c>
      <c r="L50" s="50">
        <f t="shared" si="20"/>
        <v>0.24716094400815422</v>
      </c>
      <c r="M50" s="50">
        <f t="shared" si="20"/>
        <v>0.26140536503392048</v>
      </c>
      <c r="N50" s="50">
        <f t="shared" si="20"/>
        <v>0.23904158889664637</v>
      </c>
      <c r="O50" s="50">
        <f t="shared" si="20"/>
        <v>0.24581236259750694</v>
      </c>
      <c r="P50" s="50">
        <f t="shared" si="20"/>
        <v>0.15932652950311932</v>
      </c>
      <c r="Q50" s="50">
        <f t="shared" si="20"/>
        <v>0.15505820672548412</v>
      </c>
      <c r="R50" s="50">
        <f t="shared" si="20"/>
        <v>0.1053715071053014</v>
      </c>
      <c r="S50" s="67"/>
      <c r="T50" s="67"/>
    </row>
    <row r="51" spans="6:20">
      <c r="F51" s="46" t="s">
        <v>59</v>
      </c>
      <c r="G51" s="46"/>
      <c r="H51" s="46"/>
      <c r="I51" s="50">
        <f t="shared" si="20"/>
        <v>1</v>
      </c>
      <c r="J51" s="50">
        <f t="shared" si="20"/>
        <v>1</v>
      </c>
      <c r="K51" s="50">
        <f t="shared" si="20"/>
        <v>1</v>
      </c>
      <c r="L51" s="50">
        <f t="shared" si="20"/>
        <v>1</v>
      </c>
      <c r="M51" s="50">
        <f t="shared" si="20"/>
        <v>1</v>
      </c>
      <c r="N51" s="50">
        <f t="shared" si="20"/>
        <v>1</v>
      </c>
      <c r="O51" s="50">
        <f t="shared" si="20"/>
        <v>1</v>
      </c>
      <c r="P51" s="50">
        <f t="shared" si="20"/>
        <v>1</v>
      </c>
      <c r="Q51" s="50">
        <f t="shared" si="20"/>
        <v>1</v>
      </c>
      <c r="R51" s="50">
        <f t="shared" si="20"/>
        <v>1</v>
      </c>
      <c r="S51" s="67"/>
      <c r="T51" s="67"/>
    </row>
  </sheetData>
  <mergeCells count="24">
    <mergeCell ref="M33:N33"/>
    <mergeCell ref="O33:P33"/>
    <mergeCell ref="Q33:R33"/>
    <mergeCell ref="I43:J43"/>
    <mergeCell ref="K43:L43"/>
    <mergeCell ref="M43:N43"/>
    <mergeCell ref="O43:P43"/>
    <mergeCell ref="Q43:R43"/>
    <mergeCell ref="G14:H14"/>
    <mergeCell ref="G23:H23"/>
    <mergeCell ref="G33:H33"/>
    <mergeCell ref="S14:T14"/>
    <mergeCell ref="I23:J23"/>
    <mergeCell ref="K23:L23"/>
    <mergeCell ref="M23:N23"/>
    <mergeCell ref="O23:P23"/>
    <mergeCell ref="Q23:R23"/>
    <mergeCell ref="I14:J14"/>
    <mergeCell ref="K14:L14"/>
    <mergeCell ref="M14:N14"/>
    <mergeCell ref="O14:P14"/>
    <mergeCell ref="Q14:R14"/>
    <mergeCell ref="I33:J33"/>
    <mergeCell ref="K33:L3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1E5F-3DA9-4BD1-9DF0-8C83E92120E2}">
  <dimension ref="A1:M51"/>
  <sheetViews>
    <sheetView topLeftCell="A13" workbookViewId="0">
      <selection activeCell="B23" sqref="B23"/>
    </sheetView>
  </sheetViews>
  <sheetFormatPr defaultRowHeight="15"/>
  <cols>
    <col min="1" max="1" width="27.140625" bestFit="1" customWidth="1"/>
    <col min="2" max="2" width="23.140625" bestFit="1" customWidth="1"/>
    <col min="3" max="4" width="27.140625" bestFit="1" customWidth="1"/>
    <col min="5" max="5" width="8.28515625" customWidth="1"/>
    <col min="6" max="6" width="23.85546875" bestFit="1" customWidth="1"/>
    <col min="7" max="7" width="10.5703125" bestFit="1" customWidth="1"/>
    <col min="13" max="13" width="30.42578125" bestFit="1" customWidth="1"/>
  </cols>
  <sheetData>
    <row r="1" spans="1:13">
      <c r="A1" s="25" t="s">
        <v>66</v>
      </c>
      <c r="B1" s="26">
        <v>2016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</row>
    <row r="2" spans="1:13">
      <c r="A2" s="24" t="s">
        <v>26</v>
      </c>
      <c r="B2" s="38">
        <v>69830.441655018687</v>
      </c>
      <c r="C2" s="38">
        <v>81883.668774794278</v>
      </c>
      <c r="D2" s="38">
        <v>89923.936496735914</v>
      </c>
      <c r="E2" s="38">
        <v>82443.33222748815</v>
      </c>
      <c r="F2" s="38">
        <v>76777.169311437625</v>
      </c>
      <c r="G2" s="38">
        <v>122509.05315930562</v>
      </c>
      <c r="H2" s="24"/>
    </row>
    <row r="3" spans="1:13">
      <c r="A3" s="24" t="s">
        <v>12</v>
      </c>
      <c r="B3" s="38">
        <v>154986.34989294567</v>
      </c>
      <c r="C3" s="38">
        <v>74552.330919545813</v>
      </c>
      <c r="D3" s="38">
        <v>86501.127946880806</v>
      </c>
      <c r="E3" s="38">
        <v>80372.294477455434</v>
      </c>
      <c r="F3" s="38">
        <v>68664.933765525871</v>
      </c>
      <c r="G3" s="38">
        <v>103601.36707835326</v>
      </c>
      <c r="H3" s="24"/>
    </row>
    <row r="4" spans="1:13">
      <c r="A4" s="24" t="s">
        <v>13</v>
      </c>
      <c r="B4" s="38">
        <v>17053.043453171573</v>
      </c>
      <c r="C4" s="38">
        <v>84209.554879974196</v>
      </c>
      <c r="D4" s="38">
        <v>96590.367548814786</v>
      </c>
      <c r="E4" s="38">
        <v>92988.426406926417</v>
      </c>
      <c r="F4" s="38">
        <v>78063.198707253483</v>
      </c>
      <c r="G4" s="38">
        <v>136018.3916898742</v>
      </c>
      <c r="H4" s="24"/>
    </row>
    <row r="5" spans="1:13">
      <c r="A5" s="24" t="s">
        <v>56</v>
      </c>
      <c r="B5" s="38">
        <v>73098.152881815709</v>
      </c>
      <c r="C5" s="38">
        <v>84700.71748934011</v>
      </c>
      <c r="D5" s="38">
        <v>96932.755083671218</v>
      </c>
      <c r="E5" s="38">
        <v>86042.160744115419</v>
      </c>
      <c r="F5" s="38">
        <v>73420.668742469352</v>
      </c>
      <c r="G5" s="38">
        <v>126830.52218942673</v>
      </c>
      <c r="H5" s="24"/>
    </row>
    <row r="6" spans="1:13">
      <c r="A6" s="24" t="s">
        <v>19</v>
      </c>
      <c r="B6" s="38">
        <v>55376.519513516752</v>
      </c>
      <c r="C6" s="38">
        <v>91447.371697797775</v>
      </c>
      <c r="D6" s="38">
        <v>97144.942054333209</v>
      </c>
      <c r="E6" s="38">
        <v>92055.987422286882</v>
      </c>
      <c r="F6" s="38">
        <v>74530.622386840114</v>
      </c>
      <c r="G6" s="38">
        <v>149250.83296424779</v>
      </c>
      <c r="H6" s="24"/>
    </row>
    <row r="7" spans="1:13">
      <c r="A7" s="24" t="s">
        <v>58</v>
      </c>
      <c r="B7" s="38">
        <v>60352.848477980733</v>
      </c>
      <c r="C7" s="38">
        <v>91431.509452660554</v>
      </c>
      <c r="D7" s="38">
        <v>97137.604940705889</v>
      </c>
      <c r="E7" s="38">
        <v>91941.610383026666</v>
      </c>
      <c r="F7" s="38">
        <v>74530.622386840114</v>
      </c>
      <c r="G7" s="38">
        <v>149250.83296424779</v>
      </c>
      <c r="H7" s="24"/>
    </row>
    <row r="8" spans="1:13">
      <c r="A8" s="28" t="s">
        <v>81</v>
      </c>
      <c r="B8" s="39">
        <f>AVERAGE(B2:B7)</f>
        <v>71782.892645741522</v>
      </c>
      <c r="C8" s="39">
        <f t="shared" ref="C8:G8" si="0">AVERAGE(C2:C7)</f>
        <v>84704.192202352118</v>
      </c>
      <c r="D8" s="39">
        <f t="shared" si="0"/>
        <v>94038.455678523635</v>
      </c>
      <c r="E8" s="39">
        <f t="shared" si="0"/>
        <v>87640.635276883157</v>
      </c>
      <c r="F8" s="39">
        <f t="shared" si="0"/>
        <v>74331.202550061091</v>
      </c>
      <c r="G8" s="39">
        <f t="shared" si="0"/>
        <v>131243.5000075759</v>
      </c>
      <c r="H8" s="24"/>
    </row>
    <row r="11" spans="1:13">
      <c r="A11" s="11"/>
      <c r="B11" s="11" t="s">
        <v>31</v>
      </c>
      <c r="C11" s="11" t="s">
        <v>75</v>
      </c>
      <c r="D11" s="11" t="s">
        <v>76</v>
      </c>
      <c r="E11" s="11" t="s">
        <v>77</v>
      </c>
      <c r="F11" s="11" t="s">
        <v>78</v>
      </c>
      <c r="G11" s="11" t="s">
        <v>79</v>
      </c>
      <c r="H11" s="11" t="s">
        <v>80</v>
      </c>
      <c r="M11" s="12" t="s">
        <v>71</v>
      </c>
    </row>
    <row r="12" spans="1:13">
      <c r="A12" s="24" t="s">
        <v>26</v>
      </c>
      <c r="B12" s="69">
        <v>72843.748434962588</v>
      </c>
      <c r="C12" s="69">
        <v>83893.735705279687</v>
      </c>
      <c r="D12" s="69">
        <v>88053.785429423981</v>
      </c>
      <c r="E12" s="69">
        <v>81026.791498475519</v>
      </c>
      <c r="F12" s="69">
        <v>88210.140273404628</v>
      </c>
      <c r="G12" s="69">
        <v>129112.1494090952</v>
      </c>
      <c r="H12" s="69">
        <v>125238.78492682235</v>
      </c>
      <c r="L12" s="20" t="s">
        <v>31</v>
      </c>
      <c r="M12" s="7">
        <v>67988.336080703433</v>
      </c>
    </row>
    <row r="13" spans="1:13">
      <c r="A13" s="24" t="s">
        <v>12</v>
      </c>
      <c r="B13" s="69">
        <v>134877.8451495957</v>
      </c>
      <c r="C13" s="69">
        <v>77539.530176379558</v>
      </c>
      <c r="D13" s="69">
        <v>84968.91957952446</v>
      </c>
      <c r="E13" s="69">
        <v>77445.454299473044</v>
      </c>
      <c r="F13" s="69">
        <v>77399.042093732714</v>
      </c>
      <c r="G13" s="69">
        <v>114931.38484838093</v>
      </c>
      <c r="H13" s="69">
        <v>110334.12945444569</v>
      </c>
      <c r="L13" s="20" t="s">
        <v>32</v>
      </c>
      <c r="M13" s="7">
        <v>83686.838303127326</v>
      </c>
    </row>
    <row r="14" spans="1:13">
      <c r="A14" s="24" t="s">
        <v>13</v>
      </c>
      <c r="B14" s="69">
        <v>33842.171309872225</v>
      </c>
      <c r="C14" s="69">
        <v>87304.758047184339</v>
      </c>
      <c r="D14" s="69">
        <v>95689.88226334269</v>
      </c>
      <c r="E14" s="69">
        <v>89257.119482008187</v>
      </c>
      <c r="F14" s="69">
        <v>92551.996952908667</v>
      </c>
      <c r="G14" s="69">
        <v>139244.15330702162</v>
      </c>
      <c r="H14" s="69">
        <v>135066.82870781099</v>
      </c>
      <c r="L14" s="20" t="s">
        <v>33</v>
      </c>
      <c r="M14" s="7">
        <v>93796.193870910909</v>
      </c>
    </row>
    <row r="15" spans="1:13">
      <c r="A15" s="24" t="s">
        <v>56</v>
      </c>
      <c r="B15" s="69">
        <v>75998.794033696817</v>
      </c>
      <c r="C15" s="69">
        <v>87758.72688792288</v>
      </c>
      <c r="D15" s="69">
        <v>94210.106498782276</v>
      </c>
      <c r="E15" s="69">
        <v>82886.787743703899</v>
      </c>
      <c r="F15" s="69">
        <v>86773.132104208693</v>
      </c>
      <c r="G15" s="69">
        <v>132353.25118168604</v>
      </c>
      <c r="H15" s="69">
        <v>123088.52359896802</v>
      </c>
      <c r="L15" s="20" t="s">
        <v>34</v>
      </c>
      <c r="M15" s="7">
        <v>79433.80681134999</v>
      </c>
    </row>
    <row r="16" spans="1:13">
      <c r="A16" s="24" t="s">
        <v>19</v>
      </c>
      <c r="B16" s="69">
        <v>64394.232559587006</v>
      </c>
      <c r="C16" s="69">
        <v>92871.764286931633</v>
      </c>
      <c r="D16" s="69">
        <v>95872.703396321624</v>
      </c>
      <c r="E16" s="69">
        <v>87674.64616342519</v>
      </c>
      <c r="F16" s="69">
        <v>93210.675031192033</v>
      </c>
      <c r="G16" s="69">
        <v>149168.48426280182</v>
      </c>
      <c r="H16" s="69">
        <v>146185.11457754578</v>
      </c>
      <c r="L16" s="20" t="s">
        <v>35</v>
      </c>
      <c r="M16" s="7">
        <v>80294.860013961137</v>
      </c>
    </row>
    <row r="17" spans="1:13">
      <c r="A17" s="24" t="s">
        <v>58</v>
      </c>
      <c r="B17" s="69">
        <v>68122.513721650685</v>
      </c>
      <c r="C17" s="69">
        <v>92858.03332467188</v>
      </c>
      <c r="D17" s="69">
        <v>95838.606301286083</v>
      </c>
      <c r="E17" s="69">
        <v>87588.863383980031</v>
      </c>
      <c r="F17" s="69">
        <v>93210.675031192033</v>
      </c>
      <c r="G17" s="69">
        <v>149168.48426280182</v>
      </c>
      <c r="H17" s="69">
        <v>144693.42973491777</v>
      </c>
      <c r="L17" s="20" t="s">
        <v>36</v>
      </c>
      <c r="M17" s="7">
        <v>148921.43815846395</v>
      </c>
    </row>
    <row r="18" spans="1:13">
      <c r="A18" s="28" t="s">
        <v>81</v>
      </c>
      <c r="B18" s="70">
        <v>75013.217534894167</v>
      </c>
      <c r="C18" s="70">
        <v>87037.758071394986</v>
      </c>
      <c r="D18" s="70">
        <v>92439.000578113526</v>
      </c>
      <c r="E18" s="70">
        <v>84313.277095177633</v>
      </c>
      <c r="F18" s="70">
        <v>88559.27691443979</v>
      </c>
      <c r="G18" s="70">
        <v>135662.98454529789</v>
      </c>
      <c r="H18" s="70">
        <f>AVERAGE(H12:H17)</f>
        <v>130767.80183341843</v>
      </c>
      <c r="L18" s="20" t="s">
        <v>37</v>
      </c>
      <c r="M18" s="7">
        <v>133102.3088724335</v>
      </c>
    </row>
    <row r="19" spans="1:13">
      <c r="A19" s="68" t="s">
        <v>90</v>
      </c>
      <c r="B19" s="40"/>
      <c r="E19" s="40"/>
      <c r="F19" s="40"/>
    </row>
    <row r="20" spans="1:13">
      <c r="A20" s="12"/>
      <c r="B20" s="12" t="s">
        <v>72</v>
      </c>
      <c r="C20" s="12" t="s">
        <v>73</v>
      </c>
      <c r="D20" s="76" t="s">
        <v>74</v>
      </c>
    </row>
    <row r="21" spans="1:13">
      <c r="A21" s="20">
        <v>2017</v>
      </c>
      <c r="B21" s="7">
        <v>95739.581490000011</v>
      </c>
      <c r="C21" s="7">
        <v>66431.546340000015</v>
      </c>
      <c r="D21" s="7">
        <v>95804.710457000008</v>
      </c>
      <c r="I21" s="40"/>
      <c r="J21" s="40"/>
      <c r="K21" s="40"/>
    </row>
    <row r="22" spans="1:13">
      <c r="A22" s="20">
        <v>2018</v>
      </c>
      <c r="B22" s="7">
        <v>108832.87809000001</v>
      </c>
      <c r="C22" s="7">
        <v>89667.339810000005</v>
      </c>
      <c r="D22" s="7">
        <v>68448.350999999995</v>
      </c>
      <c r="I22" s="40"/>
      <c r="J22" s="40"/>
      <c r="K22" s="40"/>
    </row>
    <row r="23" spans="1:13">
      <c r="A23" s="20">
        <v>2019</v>
      </c>
      <c r="B23" s="7">
        <v>104232.40400000001</v>
      </c>
      <c r="C23" s="7">
        <v>97893.947</v>
      </c>
      <c r="D23" s="7">
        <v>104232.40400000001</v>
      </c>
      <c r="I23" s="40"/>
      <c r="J23" s="40"/>
      <c r="K23" s="40"/>
    </row>
    <row r="24" spans="1:13">
      <c r="A24" s="20">
        <v>2020</v>
      </c>
      <c r="B24" s="7">
        <v>115608.99479999999</v>
      </c>
      <c r="C24" s="7">
        <v>88188.912699999986</v>
      </c>
      <c r="D24" s="7">
        <v>97526.562279999998</v>
      </c>
      <c r="I24" s="40"/>
      <c r="J24" s="40"/>
      <c r="K24" s="40"/>
    </row>
    <row r="25" spans="1:13">
      <c r="A25" s="20">
        <v>2021</v>
      </c>
      <c r="B25" s="7">
        <v>99086.115080000018</v>
      </c>
      <c r="C25" s="7">
        <v>82818.245440000013</v>
      </c>
      <c r="D25" s="7">
        <v>147741.83427599998</v>
      </c>
      <c r="I25" s="40"/>
      <c r="J25" s="40"/>
      <c r="K25" s="40"/>
    </row>
    <row r="26" spans="1:13">
      <c r="A26" s="20">
        <v>2022</v>
      </c>
      <c r="B26" s="7">
        <v>154110.10187999997</v>
      </c>
      <c r="C26" s="7">
        <v>168263.07042</v>
      </c>
      <c r="D26" s="7">
        <v>166690.51835999999</v>
      </c>
      <c r="I26" s="40"/>
      <c r="J26" s="40"/>
      <c r="K26" s="40"/>
    </row>
    <row r="27" spans="1:13">
      <c r="A27" s="20">
        <v>2023</v>
      </c>
      <c r="B27" s="7">
        <v>174307.90308000002</v>
      </c>
      <c r="C27" s="7">
        <v>178418.93852999998</v>
      </c>
      <c r="D27" s="7">
        <v>179339.8104708</v>
      </c>
      <c r="I27" s="40"/>
      <c r="J27" s="40"/>
      <c r="K27" s="40"/>
    </row>
    <row r="36" spans="1:8">
      <c r="A36" s="12"/>
      <c r="B36" s="12" t="s">
        <v>73</v>
      </c>
      <c r="C36" s="76" t="s">
        <v>74</v>
      </c>
      <c r="F36" s="12" t="s">
        <v>71</v>
      </c>
    </row>
    <row r="37" spans="1:8">
      <c r="A37" s="20">
        <v>2017</v>
      </c>
      <c r="B37" s="7"/>
      <c r="C37" s="7">
        <v>95739.581490000011</v>
      </c>
      <c r="E37" s="20" t="s">
        <v>31</v>
      </c>
      <c r="F37" s="7">
        <v>67988.336080703433</v>
      </c>
    </row>
    <row r="38" spans="1:8">
      <c r="A38" s="20">
        <v>2018</v>
      </c>
      <c r="B38" s="7"/>
      <c r="C38" s="7">
        <v>108832.87809000001</v>
      </c>
      <c r="D38" s="77">
        <f t="shared" ref="D38:D43" si="1">(C38-C37)/C38</f>
        <v>0.1203064444291588</v>
      </c>
      <c r="E38" s="20" t="s">
        <v>32</v>
      </c>
      <c r="F38" s="7">
        <v>83686.838303127326</v>
      </c>
      <c r="G38" s="77">
        <f t="shared" ref="G38:G43" si="2">(F38-F37)/F38</f>
        <v>0.1875862745054529</v>
      </c>
    </row>
    <row r="39" spans="1:8">
      <c r="A39" s="20">
        <v>2019</v>
      </c>
      <c r="B39" s="7"/>
      <c r="C39" s="7">
        <v>104232.40400000001</v>
      </c>
      <c r="D39" s="77">
        <f t="shared" si="1"/>
        <v>-4.4136697547530447E-2</v>
      </c>
      <c r="E39" s="20" t="s">
        <v>33</v>
      </c>
      <c r="F39" s="7">
        <v>93796.193870910909</v>
      </c>
      <c r="G39" s="77">
        <f t="shared" si="2"/>
        <v>0.10778001910927013</v>
      </c>
    </row>
    <row r="40" spans="1:8">
      <c r="A40" s="20">
        <v>2020</v>
      </c>
      <c r="B40" s="7">
        <f>B41*0.93</f>
        <v>94154.712608710688</v>
      </c>
      <c r="C40" s="7">
        <v>97822.995599999995</v>
      </c>
      <c r="D40" s="77">
        <f t="shared" si="1"/>
        <v>-6.55204674594939E-2</v>
      </c>
      <c r="E40" s="20" t="s">
        <v>34</v>
      </c>
      <c r="F40" s="7">
        <v>79433.80681134999</v>
      </c>
      <c r="G40" s="77">
        <f t="shared" si="2"/>
        <v>-0.18080950210117253</v>
      </c>
    </row>
    <row r="41" spans="1:8">
      <c r="A41" s="20">
        <v>2021</v>
      </c>
      <c r="B41" s="7">
        <f>B42*0.58</f>
        <v>101241.62646097923</v>
      </c>
      <c r="C41" s="7">
        <v>147889.72399999999</v>
      </c>
      <c r="D41" s="77">
        <f t="shared" si="1"/>
        <v>0.33854095501591441</v>
      </c>
      <c r="E41" s="20" t="s">
        <v>35</v>
      </c>
      <c r="F41" s="7">
        <v>80294.860013961137</v>
      </c>
      <c r="G41" s="77">
        <f t="shared" si="2"/>
        <v>1.0723640373262157E-2</v>
      </c>
    </row>
    <row r="42" spans="1:8">
      <c r="A42" s="20">
        <v>2022</v>
      </c>
      <c r="B42" s="21">
        <v>174554.52838099867</v>
      </c>
      <c r="C42" s="21">
        <v>166690.51835999999</v>
      </c>
      <c r="D42" s="77">
        <f t="shared" si="1"/>
        <v>0.11278862496183555</v>
      </c>
      <c r="E42" s="20" t="s">
        <v>36</v>
      </c>
      <c r="F42" s="7">
        <v>148921.43815846395</v>
      </c>
      <c r="G42" s="77">
        <f t="shared" si="2"/>
        <v>0.46082403576762948</v>
      </c>
    </row>
    <row r="43" spans="1:8">
      <c r="A43" s="20">
        <v>2023</v>
      </c>
      <c r="B43" s="21">
        <v>135296.26707131983</v>
      </c>
      <c r="C43" s="21">
        <v>179241.14562000002</v>
      </c>
      <c r="D43" s="77">
        <f t="shared" si="1"/>
        <v>7.0020905169887612E-2</v>
      </c>
      <c r="E43" s="20" t="s">
        <v>37</v>
      </c>
      <c r="F43" s="7">
        <v>133102.3088724335</v>
      </c>
      <c r="G43" s="77">
        <f t="shared" si="2"/>
        <v>-0.11884939803104133</v>
      </c>
    </row>
    <row r="46" spans="1:8">
      <c r="B46">
        <f>'Foreign exchange'!$C$9*B47</f>
        <v>95.739581490000006</v>
      </c>
      <c r="C46">
        <f>'Foreign exchange'!C8*C47</f>
        <v>108.83287809000001</v>
      </c>
      <c r="D46">
        <f>D47*'Foreign exchange'!C7</f>
        <v>104.232404</v>
      </c>
      <c r="E46">
        <f>E47*'Foreign exchange'!C6</f>
        <v>97.822995599999999</v>
      </c>
      <c r="F46">
        <f>'Foreign exchange'!C5*F47</f>
        <v>147.889724</v>
      </c>
      <c r="G46">
        <f>G47*'Foreign exchange'!C4</f>
        <v>166.69051836</v>
      </c>
      <c r="H46">
        <f>H47*'Foreign exchange'!C3</f>
        <v>179.24114562000003</v>
      </c>
    </row>
    <row r="47" spans="1:8">
      <c r="B47" s="78">
        <v>1.47</v>
      </c>
      <c r="C47" s="78">
        <v>1.59</v>
      </c>
      <c r="D47" s="78">
        <v>1.48</v>
      </c>
      <c r="E47" s="78">
        <v>1.32</v>
      </c>
      <c r="F47" s="78">
        <v>2</v>
      </c>
      <c r="G47" s="78">
        <v>2.12</v>
      </c>
      <c r="H47" s="78">
        <v>2.1800000000000002</v>
      </c>
    </row>
    <row r="48" spans="1:8">
      <c r="B48">
        <f>B46*1000</f>
        <v>95739.581490000011</v>
      </c>
      <c r="C48">
        <f t="shared" ref="C48:H48" si="3">C46*1000</f>
        <v>108832.87809000001</v>
      </c>
      <c r="D48">
        <f t="shared" si="3"/>
        <v>104232.40400000001</v>
      </c>
      <c r="E48">
        <f t="shared" si="3"/>
        <v>97822.995599999995</v>
      </c>
      <c r="F48">
        <f t="shared" si="3"/>
        <v>147889.72399999999</v>
      </c>
      <c r="G48">
        <f t="shared" si="3"/>
        <v>166690.51835999999</v>
      </c>
      <c r="H48">
        <f t="shared" si="3"/>
        <v>179241.14562000002</v>
      </c>
    </row>
    <row r="50" spans="2:8" ht="15.75" thickBot="1"/>
    <row r="51" spans="2:8" ht="15.75" thickBot="1">
      <c r="B51" s="79">
        <v>1.02</v>
      </c>
      <c r="C51" s="80">
        <v>1.31</v>
      </c>
      <c r="D51" s="80">
        <v>1.39</v>
      </c>
      <c r="E51" s="80">
        <v>1.19</v>
      </c>
      <c r="F51" s="80">
        <v>1.1200000000000001</v>
      </c>
      <c r="G51" s="81">
        <v>2.14</v>
      </c>
      <c r="H51" s="81">
        <v>2.17</v>
      </c>
    </row>
  </sheetData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89AA-B25C-4A8D-9305-05617210D173}">
  <dimension ref="B2:F9"/>
  <sheetViews>
    <sheetView showGridLines="0" topLeftCell="A2" workbookViewId="0">
      <selection activeCell="B2" sqref="B2:F9"/>
    </sheetView>
  </sheetViews>
  <sheetFormatPr defaultRowHeight="15"/>
  <sheetData>
    <row r="2" spans="2:6" ht="38.25">
      <c r="B2" s="22" t="s">
        <v>40</v>
      </c>
      <c r="C2" s="22" t="s">
        <v>41</v>
      </c>
      <c r="D2" s="22" t="s">
        <v>42</v>
      </c>
      <c r="E2" s="22" t="s">
        <v>43</v>
      </c>
      <c r="F2" s="22" t="s">
        <v>44</v>
      </c>
    </row>
    <row r="3" spans="2:6">
      <c r="B3" s="23">
        <v>2023</v>
      </c>
      <c r="C3" s="23">
        <v>82.220708999999999</v>
      </c>
      <c r="D3" s="23">
        <v>81.116755999999995</v>
      </c>
      <c r="E3" s="23">
        <v>82.899286000000004</v>
      </c>
      <c r="F3" s="23">
        <v>122</v>
      </c>
    </row>
    <row r="4" spans="2:6">
      <c r="B4" s="23">
        <v>2022</v>
      </c>
      <c r="C4" s="23">
        <v>78.627602999999993</v>
      </c>
      <c r="D4" s="23">
        <v>73.877999000000003</v>
      </c>
      <c r="E4" s="23">
        <v>83.038965000000005</v>
      </c>
      <c r="F4" s="23">
        <v>257</v>
      </c>
    </row>
    <row r="5" spans="2:6">
      <c r="B5" s="23">
        <v>2021</v>
      </c>
      <c r="C5" s="23">
        <v>73.944862000000001</v>
      </c>
      <c r="D5" s="23">
        <v>72.349744999999999</v>
      </c>
      <c r="E5" s="23">
        <v>76.393625</v>
      </c>
      <c r="F5" s="23">
        <v>258</v>
      </c>
    </row>
    <row r="6" spans="2:6">
      <c r="B6" s="23">
        <v>2020</v>
      </c>
      <c r="C6" s="23">
        <v>74.108329999999995</v>
      </c>
      <c r="D6" s="23">
        <v>70.797432999999998</v>
      </c>
      <c r="E6" s="23">
        <v>76.936421999999993</v>
      </c>
      <c r="F6" s="23">
        <v>257</v>
      </c>
    </row>
    <row r="7" spans="2:6">
      <c r="B7" s="23">
        <v>2019</v>
      </c>
      <c r="C7" s="23">
        <v>70.427300000000002</v>
      </c>
      <c r="D7" s="23">
        <v>68.364643000000001</v>
      </c>
      <c r="E7" s="23">
        <v>72.411996000000002</v>
      </c>
      <c r="F7" s="23">
        <v>255</v>
      </c>
    </row>
    <row r="8" spans="2:6">
      <c r="B8" s="23">
        <v>2018</v>
      </c>
      <c r="C8" s="23">
        <v>68.448351000000002</v>
      </c>
      <c r="D8" s="23">
        <v>63.369863000000002</v>
      </c>
      <c r="E8" s="23">
        <v>74.406645999999995</v>
      </c>
      <c r="F8" s="23">
        <v>255</v>
      </c>
    </row>
    <row r="9" spans="2:6">
      <c r="B9" s="23">
        <v>2017</v>
      </c>
      <c r="C9" s="23">
        <v>65.128967000000003</v>
      </c>
      <c r="D9" s="23">
        <v>63.619396999999999</v>
      </c>
      <c r="E9" s="23">
        <v>68.391412000000003</v>
      </c>
      <c r="F9" s="23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9410-677B-45DA-A260-849E9EE6A3BF}">
  <dimension ref="A1:O11"/>
  <sheetViews>
    <sheetView tabSelected="1" workbookViewId="0">
      <selection activeCell="G9" sqref="G9"/>
    </sheetView>
  </sheetViews>
  <sheetFormatPr defaultRowHeight="15"/>
  <cols>
    <col min="1" max="1" width="11.140625" bestFit="1" customWidth="1"/>
  </cols>
  <sheetData>
    <row r="1" spans="1:15">
      <c r="A1" s="60" t="s">
        <v>68</v>
      </c>
      <c r="B1" s="89">
        <v>2017</v>
      </c>
      <c r="C1" s="89"/>
      <c r="D1" s="89">
        <v>2018</v>
      </c>
      <c r="E1" s="89"/>
      <c r="F1" s="89">
        <v>2019</v>
      </c>
      <c r="G1" s="89"/>
      <c r="H1" s="89">
        <v>2020</v>
      </c>
      <c r="I1" s="89"/>
      <c r="J1" s="89">
        <v>2021</v>
      </c>
      <c r="K1" s="89"/>
      <c r="L1" s="89">
        <v>2022</v>
      </c>
      <c r="M1" s="89"/>
      <c r="N1" s="89">
        <v>2023</v>
      </c>
      <c r="O1" s="89"/>
    </row>
    <row r="2" spans="1:15">
      <c r="B2" t="s">
        <v>54</v>
      </c>
      <c r="C2" t="s">
        <v>69</v>
      </c>
      <c r="D2" t="s">
        <v>54</v>
      </c>
      <c r="E2" t="s">
        <v>69</v>
      </c>
      <c r="F2" t="s">
        <v>54</v>
      </c>
      <c r="G2" t="s">
        <v>69</v>
      </c>
      <c r="H2" t="s">
        <v>54</v>
      </c>
      <c r="I2" t="s">
        <v>69</v>
      </c>
      <c r="J2" t="s">
        <v>54</v>
      </c>
      <c r="K2" t="s">
        <v>69</v>
      </c>
      <c r="L2" t="s">
        <v>54</v>
      </c>
      <c r="M2" t="s">
        <v>69</v>
      </c>
      <c r="N2" t="s">
        <v>54</v>
      </c>
      <c r="O2" t="s">
        <v>69</v>
      </c>
    </row>
    <row r="3" spans="1:15">
      <c r="A3" t="s">
        <v>70</v>
      </c>
      <c r="B3" s="61">
        <v>17083.47</v>
      </c>
      <c r="C3" s="61">
        <v>25127.06</v>
      </c>
      <c r="D3" s="61">
        <v>27432.01</v>
      </c>
      <c r="E3" s="61">
        <v>32779.360000000001</v>
      </c>
      <c r="F3" s="61">
        <v>39292.519999999997</v>
      </c>
      <c r="G3" s="61">
        <v>41891.379999999997</v>
      </c>
      <c r="H3" s="61">
        <v>39307.160000000003</v>
      </c>
      <c r="I3" s="61">
        <v>49484.17</v>
      </c>
      <c r="J3" s="61">
        <v>40719.29</v>
      </c>
      <c r="K3" s="61">
        <v>50712.2</v>
      </c>
      <c r="L3" s="61">
        <v>94045.02</v>
      </c>
      <c r="M3" s="61">
        <v>63150.76</v>
      </c>
      <c r="N3" s="61">
        <v>74690.720000000001</v>
      </c>
      <c r="O3" s="61">
        <v>56115.27</v>
      </c>
    </row>
    <row r="4" spans="1:15">
      <c r="B4">
        <f>B3*10^5</f>
        <v>1708347000</v>
      </c>
      <c r="C4" s="40">
        <f>B4/C3</f>
        <v>67988.336080703433</v>
      </c>
      <c r="D4">
        <f>D3*10^5</f>
        <v>2743201000</v>
      </c>
      <c r="E4" s="40">
        <f>D4/E3</f>
        <v>83686.838303127326</v>
      </c>
      <c r="F4">
        <f>F3*10^5</f>
        <v>3929251999.9999995</v>
      </c>
      <c r="G4" s="40">
        <f>F4/G3</f>
        <v>93796.193870910909</v>
      </c>
      <c r="H4">
        <f>H3*10^5</f>
        <v>3930716000.0000005</v>
      </c>
      <c r="I4" s="40">
        <f>H4/I3</f>
        <v>79433.80681134999</v>
      </c>
      <c r="J4">
        <f>J3*10^5</f>
        <v>4071929000</v>
      </c>
      <c r="K4" s="40">
        <f>J4/K3</f>
        <v>80294.860013961137</v>
      </c>
      <c r="L4">
        <f>L3*10^5</f>
        <v>9404502000</v>
      </c>
      <c r="M4" s="40">
        <f>L4/M3</f>
        <v>148921.43815846395</v>
      </c>
      <c r="N4">
        <f>N3*10^5</f>
        <v>7469072000</v>
      </c>
      <c r="O4" s="40">
        <f>N4/O3</f>
        <v>133102.3088724335</v>
      </c>
    </row>
    <row r="5" spans="1:15">
      <c r="A5">
        <v>2017</v>
      </c>
      <c r="C5" s="40">
        <f>B4/C3</f>
        <v>67988.336080703433</v>
      </c>
      <c r="D5" s="40"/>
      <c r="F5" s="40"/>
      <c r="H5" s="40"/>
      <c r="J5" s="40"/>
      <c r="L5" s="40"/>
      <c r="N5" s="40"/>
    </row>
    <row r="6" spans="1:15">
      <c r="A6">
        <v>2018</v>
      </c>
      <c r="C6" s="40">
        <f>D4/E3</f>
        <v>83686.838303127326</v>
      </c>
      <c r="D6" s="82">
        <f>(C6-C5)/C6</f>
        <v>0.1875862745054529</v>
      </c>
    </row>
    <row r="7" spans="1:15">
      <c r="A7">
        <v>2019</v>
      </c>
      <c r="C7" s="40">
        <f>F4/G3</f>
        <v>93796.193870910909</v>
      </c>
      <c r="D7" s="82">
        <f t="shared" ref="D7:D11" si="0">(C7-C6)/C7</f>
        <v>0.10778001910927013</v>
      </c>
    </row>
    <row r="8" spans="1:15">
      <c r="A8">
        <v>2020</v>
      </c>
      <c r="C8" s="40">
        <f>H4/I3</f>
        <v>79433.80681134999</v>
      </c>
      <c r="D8" s="82">
        <f t="shared" si="0"/>
        <v>-0.18080950210117253</v>
      </c>
    </row>
    <row r="9" spans="1:15">
      <c r="A9">
        <v>2021</v>
      </c>
      <c r="C9" s="40">
        <f>J4/K3</f>
        <v>80294.860013961137</v>
      </c>
      <c r="D9" s="82">
        <f t="shared" si="0"/>
        <v>1.0723640373262157E-2</v>
      </c>
    </row>
    <row r="10" spans="1:15">
      <c r="A10">
        <v>2022</v>
      </c>
      <c r="C10" s="40">
        <f>L4/M3</f>
        <v>148921.43815846395</v>
      </c>
      <c r="D10" s="82">
        <f t="shared" si="0"/>
        <v>0.46082403576762948</v>
      </c>
      <c r="E10">
        <f>C10*19%</f>
        <v>28295.073250108151</v>
      </c>
      <c r="F10" s="40"/>
    </row>
    <row r="11" spans="1:15">
      <c r="A11">
        <v>2023</v>
      </c>
      <c r="C11" s="40">
        <f>N4/O3</f>
        <v>133102.3088724335</v>
      </c>
      <c r="D11" s="82">
        <f t="shared" si="0"/>
        <v>-0.11884939803104133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A88E-689F-4662-AB3D-DC8C52FF9BD1}">
  <dimension ref="A1:E23"/>
  <sheetViews>
    <sheetView workbookViewId="0">
      <selection activeCell="J14" sqref="J14"/>
    </sheetView>
  </sheetViews>
  <sheetFormatPr defaultRowHeight="15"/>
  <cols>
    <col min="1" max="1" width="9.28515625" customWidth="1"/>
    <col min="2" max="2" width="12.28515625" bestFit="1" customWidth="1"/>
    <col min="3" max="3" width="12" bestFit="1" customWidth="1"/>
  </cols>
  <sheetData>
    <row r="1" spans="1:5">
      <c r="A1" s="11" t="s">
        <v>82</v>
      </c>
      <c r="B1" s="11" t="s">
        <v>83</v>
      </c>
      <c r="C1" s="11" t="s">
        <v>84</v>
      </c>
      <c r="D1" s="11" t="s">
        <v>85</v>
      </c>
      <c r="E1" s="11" t="s">
        <v>86</v>
      </c>
    </row>
    <row r="2" spans="1:5">
      <c r="A2" s="9" t="s">
        <v>3</v>
      </c>
      <c r="B2" s="70">
        <v>31979442.010000002</v>
      </c>
      <c r="C2" s="70">
        <v>50591180.439999998</v>
      </c>
      <c r="D2" s="9"/>
      <c r="E2" s="9"/>
    </row>
    <row r="3" spans="1:5">
      <c r="A3" s="3" t="s">
        <v>26</v>
      </c>
      <c r="B3" s="69">
        <v>13537080.01</v>
      </c>
      <c r="C3" s="69">
        <v>21926877.170000002</v>
      </c>
      <c r="D3" s="71">
        <v>0.42299999999999999</v>
      </c>
      <c r="E3" s="71">
        <v>0.433</v>
      </c>
    </row>
    <row r="4" spans="1:5">
      <c r="A4" s="3" t="s">
        <v>12</v>
      </c>
      <c r="B4" s="69">
        <v>2800690</v>
      </c>
      <c r="C4" s="69">
        <v>4389267.82</v>
      </c>
      <c r="D4" s="71">
        <v>8.7999999999999995E-2</v>
      </c>
      <c r="E4" s="71">
        <v>8.6999999999999994E-2</v>
      </c>
    </row>
    <row r="5" spans="1:5">
      <c r="A5" s="3" t="s">
        <v>13</v>
      </c>
      <c r="B5" s="69">
        <v>4759100</v>
      </c>
      <c r="C5" s="69">
        <v>8833606.2139999997</v>
      </c>
      <c r="D5" s="71">
        <v>0.14899999999999999</v>
      </c>
      <c r="E5" s="71">
        <v>0.17499999999999999</v>
      </c>
    </row>
    <row r="6" spans="1:5">
      <c r="A6" s="3" t="s">
        <v>87</v>
      </c>
      <c r="B6" s="69">
        <v>7150300</v>
      </c>
      <c r="C6" s="69">
        <v>10398787.67</v>
      </c>
      <c r="D6" s="71">
        <v>0.224</v>
      </c>
      <c r="E6" s="71">
        <v>0.20599999999999999</v>
      </c>
    </row>
    <row r="7" spans="1:5">
      <c r="A7" s="3" t="s">
        <v>19</v>
      </c>
      <c r="B7" s="69">
        <v>146690</v>
      </c>
      <c r="C7" s="69">
        <v>283164.7</v>
      </c>
      <c r="D7" s="71">
        <v>5.0000000000000001E-3</v>
      </c>
      <c r="E7" s="71">
        <v>6.0000000000000001E-3</v>
      </c>
    </row>
    <row r="8" spans="1:5">
      <c r="A8" s="9" t="s">
        <v>20</v>
      </c>
      <c r="B8" s="70">
        <v>3585582</v>
      </c>
      <c r="C8" s="70">
        <v>4759476.8619999997</v>
      </c>
      <c r="D8" s="72">
        <v>0.112</v>
      </c>
      <c r="E8" s="72">
        <v>9.4E-2</v>
      </c>
    </row>
    <row r="9" spans="1:5">
      <c r="A9" s="73"/>
      <c r="B9" s="74"/>
      <c r="C9" s="74"/>
      <c r="D9" s="75"/>
      <c r="E9" s="75"/>
    </row>
    <row r="10" spans="1:5">
      <c r="A10" s="9" t="s">
        <v>88</v>
      </c>
      <c r="B10" s="70">
        <v>10605190</v>
      </c>
      <c r="C10" s="70">
        <v>17126036.420000002</v>
      </c>
      <c r="D10" s="11" t="s">
        <v>85</v>
      </c>
      <c r="E10" s="11" t="s">
        <v>86</v>
      </c>
    </row>
    <row r="11" spans="1:5">
      <c r="A11" s="3" t="s">
        <v>26</v>
      </c>
      <c r="B11" s="69">
        <v>7136000</v>
      </c>
      <c r="C11" s="69">
        <v>11546185.890000001</v>
      </c>
      <c r="D11" s="71">
        <v>0.67300000000000004</v>
      </c>
      <c r="E11" s="71">
        <v>0.67400000000000004</v>
      </c>
    </row>
    <row r="12" spans="1:5">
      <c r="A12" s="3" t="s">
        <v>12</v>
      </c>
      <c r="B12" s="69">
        <v>882580</v>
      </c>
      <c r="C12" s="69">
        <v>910105.13</v>
      </c>
      <c r="D12" s="71">
        <v>8.3000000000000004E-2</v>
      </c>
      <c r="E12" s="71">
        <v>5.2999999999999999E-2</v>
      </c>
    </row>
    <row r="13" spans="1:5">
      <c r="A13" s="3" t="s">
        <v>13</v>
      </c>
      <c r="B13" s="69">
        <v>1322170</v>
      </c>
      <c r="C13" s="69">
        <v>2837879.9</v>
      </c>
      <c r="D13" s="71">
        <v>0.125</v>
      </c>
      <c r="E13" s="71">
        <v>0.16600000000000001</v>
      </c>
    </row>
    <row r="14" spans="1:5">
      <c r="A14" s="3" t="s">
        <v>87</v>
      </c>
      <c r="B14" s="69">
        <v>289500</v>
      </c>
      <c r="C14" s="69">
        <v>375037.27</v>
      </c>
      <c r="D14" s="71">
        <v>2.7E-2</v>
      </c>
      <c r="E14" s="71">
        <v>2.1999999999999999E-2</v>
      </c>
    </row>
    <row r="15" spans="1:5">
      <c r="A15" s="3" t="s">
        <v>19</v>
      </c>
      <c r="B15" s="69">
        <v>1322170</v>
      </c>
      <c r="C15" s="69">
        <v>2837879.9</v>
      </c>
      <c r="D15" s="71">
        <v>0.125</v>
      </c>
      <c r="E15" s="71">
        <v>0.16600000000000001</v>
      </c>
    </row>
    <row r="16" spans="1:5">
      <c r="A16" s="9" t="s">
        <v>20</v>
      </c>
      <c r="B16" s="70">
        <v>-347230</v>
      </c>
      <c r="C16" s="70">
        <v>-1381051.67</v>
      </c>
      <c r="D16" s="72">
        <v>-3.3000000000000002E-2</v>
      </c>
      <c r="E16" s="72">
        <v>-8.1000000000000003E-2</v>
      </c>
    </row>
    <row r="17" spans="1:5">
      <c r="A17" s="73"/>
      <c r="B17" s="74"/>
      <c r="C17" s="74"/>
      <c r="D17" s="75"/>
      <c r="E17" s="75"/>
    </row>
    <row r="18" spans="1:5">
      <c r="A18" s="9" t="s">
        <v>89</v>
      </c>
      <c r="B18" s="70">
        <v>8401960</v>
      </c>
      <c r="C18" s="70">
        <v>14831463.970000001</v>
      </c>
      <c r="D18" s="11" t="s">
        <v>85</v>
      </c>
      <c r="E18" s="11" t="s">
        <v>86</v>
      </c>
    </row>
    <row r="19" spans="1:5">
      <c r="A19" s="3" t="s">
        <v>26</v>
      </c>
      <c r="B19" s="69">
        <v>2600000</v>
      </c>
      <c r="C19" s="69">
        <v>4652633.03</v>
      </c>
      <c r="D19" s="71">
        <v>0.309</v>
      </c>
      <c r="E19" s="71">
        <v>0.314</v>
      </c>
    </row>
    <row r="20" spans="1:5">
      <c r="A20" s="3" t="s">
        <v>12</v>
      </c>
      <c r="B20" s="69">
        <v>2863420</v>
      </c>
      <c r="C20" s="69">
        <v>4766253.18</v>
      </c>
      <c r="D20" s="71">
        <v>0.34100000000000003</v>
      </c>
      <c r="E20" s="71">
        <v>0.32100000000000001</v>
      </c>
    </row>
    <row r="21" spans="1:5">
      <c r="A21" s="3" t="s">
        <v>19</v>
      </c>
      <c r="B21" s="69">
        <v>1541040</v>
      </c>
      <c r="C21" s="69">
        <v>3304610.9</v>
      </c>
      <c r="D21" s="71">
        <v>0.183</v>
      </c>
      <c r="E21" s="71">
        <v>0.223</v>
      </c>
    </row>
    <row r="22" spans="1:5">
      <c r="A22" s="3" t="s">
        <v>87</v>
      </c>
      <c r="B22" s="69">
        <v>1397500</v>
      </c>
      <c r="C22" s="69">
        <v>2107966.86</v>
      </c>
      <c r="D22" s="71">
        <v>0.16600000000000001</v>
      </c>
      <c r="E22" s="71">
        <v>0.14199999999999999</v>
      </c>
    </row>
    <row r="23" spans="1:5">
      <c r="A23" s="9" t="s">
        <v>20</v>
      </c>
      <c r="B23" s="70">
        <v>0</v>
      </c>
      <c r="C23" s="70">
        <v>0</v>
      </c>
      <c r="D23" s="72">
        <v>0</v>
      </c>
      <c r="E23" s="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Ports</vt:lpstr>
      <vt:lpstr>Charts</vt:lpstr>
      <vt:lpstr>ITC price</vt:lpstr>
      <vt:lpstr>Prices</vt:lpstr>
      <vt:lpstr>Foreign exchange</vt:lpstr>
      <vt:lpstr>MCA Data</vt:lpstr>
      <vt:lpstr>Countries Port Wise 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2023-06-21T14:47:58Z</dcterms:created>
  <dcterms:modified xsi:type="dcterms:W3CDTF">2023-06-27T12:04:27Z</dcterms:modified>
</cp:coreProperties>
</file>