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rawings/drawing3.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hardik.malhotra\Desktop\Desktop Data\BPCL - Acrylic Acid\"/>
    </mc:Choice>
  </mc:AlternateContent>
  <xr:revisionPtr revIDLastSave="0" documentId="8_{8CB67581-18C6-4F35-9142-BEB1351ED9E5}" xr6:coauthVersionLast="47" xr6:coauthVersionMax="47" xr10:uidLastSave="{00000000-0000-0000-0000-000000000000}"/>
  <bookViews>
    <workbookView xWindow="-120" yWindow="-120" windowWidth="20730" windowHeight="11160" xr2:uid="{00000000-000D-0000-FFFF-FFFF00000000}"/>
  </bookViews>
  <sheets>
    <sheet name="Demand-Supply" sheetId="1" r:id="rId1"/>
    <sheet name="Value" sheetId="3" r:id="rId2"/>
    <sheet name="Company Shares" sheetId="2" r:id="rId3"/>
    <sheet name="LG Chem" sheetId="4" r:id="rId4"/>
    <sheet name="Sumitomo" sheetId="5" r:id="rId5"/>
    <sheet name="SDP" sheetId="6" r:id="rId6"/>
    <sheet name="Formosa" sheetId="8" r:id="rId7"/>
    <sheet name="Nippon" sheetId="9" r:id="rId8"/>
    <sheet name="Evonik" sheetId="10" r:id="rId9"/>
    <sheet name="Global Scenario" sheetId="11" r:id="rId10"/>
    <sheet name="Top Companies" sheetId="12" r:id="rId11"/>
    <sheet name="Diaper Manufacturing" sheetId="1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4" i="1" l="1"/>
  <c r="S24" i="1"/>
  <c r="O4" i="1"/>
  <c r="O19" i="1" s="1"/>
  <c r="P4" i="1"/>
  <c r="P19" i="1" s="1"/>
  <c r="P20" i="1" s="1"/>
  <c r="Q4" i="1"/>
  <c r="Q19" i="1" s="1"/>
  <c r="N10" i="1"/>
  <c r="O3" i="1"/>
  <c r="O18" i="1" s="1"/>
  <c r="P3" i="1"/>
  <c r="P18" i="1" s="1"/>
  <c r="Q3" i="1"/>
  <c r="Q18" i="1" s="1"/>
  <c r="O20" i="1" l="1"/>
  <c r="Q20" i="1"/>
  <c r="G19" i="11" l="1"/>
  <c r="E42" i="12"/>
  <c r="E46" i="12"/>
  <c r="E45" i="12"/>
  <c r="E43" i="12"/>
  <c r="F46" i="12"/>
  <c r="G46" i="12"/>
  <c r="G45" i="12"/>
  <c r="F45" i="12"/>
  <c r="D45" i="12"/>
  <c r="C45" i="12"/>
  <c r="G43" i="12"/>
  <c r="F43" i="12"/>
  <c r="D43" i="12"/>
  <c r="C43" i="12"/>
  <c r="G42" i="12"/>
  <c r="F42" i="12"/>
  <c r="D42" i="12"/>
  <c r="C42" i="12"/>
  <c r="Q27" i="12"/>
  <c r="Q28" i="12"/>
  <c r="Q29" i="12"/>
  <c r="Q30" i="12"/>
  <c r="Q31" i="12"/>
  <c r="Q32" i="12"/>
  <c r="Q33" i="12"/>
  <c r="Q34" i="12"/>
  <c r="Q35" i="12"/>
  <c r="Q36" i="12"/>
  <c r="Q26" i="12"/>
  <c r="S22" i="12"/>
  <c r="J27" i="12"/>
  <c r="K27" i="12" s="1"/>
  <c r="J28" i="12"/>
  <c r="K28" i="12" s="1"/>
  <c r="R32" i="12" s="1"/>
  <c r="N35" i="12"/>
  <c r="O35" i="12" s="1"/>
  <c r="N34" i="12"/>
  <c r="O34" i="12" s="1"/>
  <c r="N33" i="12"/>
  <c r="N38" i="12" s="1"/>
  <c r="N32" i="12"/>
  <c r="O32" i="12" s="1"/>
  <c r="N31" i="12"/>
  <c r="O31" i="12" s="1"/>
  <c r="N30" i="12"/>
  <c r="O30" i="12" s="1"/>
  <c r="N29" i="12"/>
  <c r="O29" i="12" s="1"/>
  <c r="N28" i="12"/>
  <c r="O28" i="12" s="1"/>
  <c r="N27" i="12"/>
  <c r="O27" i="12" s="1"/>
  <c r="N26" i="12"/>
  <c r="O26" i="12" s="1"/>
  <c r="J29" i="12"/>
  <c r="K29" i="12" s="1"/>
  <c r="J30" i="12"/>
  <c r="K30" i="12" s="1"/>
  <c r="J31" i="12"/>
  <c r="K31" i="12" s="1"/>
  <c r="J32" i="12"/>
  <c r="K32" i="12" s="1"/>
  <c r="J35" i="12"/>
  <c r="K35" i="12" s="1"/>
  <c r="J33" i="12"/>
  <c r="K33" i="12" s="1"/>
  <c r="J34" i="12"/>
  <c r="K34" i="12" s="1"/>
  <c r="J26" i="12"/>
  <c r="K26" i="12" s="1"/>
  <c r="R29" i="12" s="1"/>
  <c r="I36" i="12"/>
  <c r="J36" i="12" s="1"/>
  <c r="K36" i="12" s="1"/>
  <c r="E13" i="12"/>
  <c r="D7" i="12"/>
  <c r="G28" i="12"/>
  <c r="G30" i="12"/>
  <c r="F31" i="12"/>
  <c r="C13" i="12"/>
  <c r="C12" i="12"/>
  <c r="F4" i="12"/>
  <c r="F5" i="12"/>
  <c r="F6" i="12"/>
  <c r="F7" i="12"/>
  <c r="F3" i="12"/>
  <c r="L12" i="12"/>
  <c r="M12" i="12" s="1"/>
  <c r="N12" i="12" s="1"/>
  <c r="L11" i="12"/>
  <c r="M11" i="12" s="1"/>
  <c r="N11" i="12" s="1"/>
  <c r="L10" i="12"/>
  <c r="M10" i="12" s="1"/>
  <c r="N10" i="12" s="1"/>
  <c r="L9" i="12"/>
  <c r="M9" i="12" s="1"/>
  <c r="N9" i="12" s="1"/>
  <c r="L8" i="12"/>
  <c r="M8" i="12" s="1"/>
  <c r="N8" i="12" s="1"/>
  <c r="L7" i="12"/>
  <c r="M7" i="12" s="1"/>
  <c r="N7" i="12" s="1"/>
  <c r="L6" i="12"/>
  <c r="M6" i="12" s="1"/>
  <c r="N6" i="12" s="1"/>
  <c r="L5" i="12"/>
  <c r="P5" i="12" s="1"/>
  <c r="L4" i="12"/>
  <c r="M4" i="12" s="1"/>
  <c r="N4" i="12" s="1"/>
  <c r="L3" i="12"/>
  <c r="P3" i="12" s="1"/>
  <c r="I5" i="12"/>
  <c r="I15" i="12"/>
  <c r="I7" i="12"/>
  <c r="I3" i="12"/>
  <c r="I12" i="12"/>
  <c r="I4" i="12"/>
  <c r="I8" i="12"/>
  <c r="R22" i="12"/>
  <c r="Q22" i="12"/>
  <c r="P22" i="12"/>
  <c r="I23" i="12"/>
  <c r="J23" i="12"/>
  <c r="K23" i="12"/>
  <c r="L23" i="12"/>
  <c r="M23" i="12"/>
  <c r="N23" i="12"/>
  <c r="O23" i="12"/>
  <c r="H23" i="12"/>
  <c r="K18" i="11"/>
  <c r="L18" i="11"/>
  <c r="M18" i="11"/>
  <c r="N18" i="11"/>
  <c r="J18" i="11"/>
  <c r="I18" i="11"/>
  <c r="R33" i="12" l="1"/>
  <c r="O33" i="12"/>
  <c r="F8" i="12"/>
  <c r="N36" i="12"/>
  <c r="O36" i="12" s="1"/>
  <c r="P10" i="12"/>
  <c r="P9" i="12"/>
  <c r="Q11" i="12"/>
  <c r="K37" i="12"/>
  <c r="P8" i="12"/>
  <c r="Q10" i="12"/>
  <c r="M5" i="12"/>
  <c r="N5" i="12" s="1"/>
  <c r="I16" i="12"/>
  <c r="J15" i="12" s="1"/>
  <c r="Q9" i="12"/>
  <c r="P7" i="12"/>
  <c r="P6" i="12"/>
  <c r="Q6" i="12"/>
  <c r="Q8" i="12"/>
  <c r="Q7" i="12"/>
  <c r="P12" i="12"/>
  <c r="P4" i="12"/>
  <c r="P11" i="12"/>
  <c r="Q4" i="12"/>
  <c r="Q12" i="12"/>
  <c r="L13" i="12"/>
  <c r="M3" i="12"/>
  <c r="Q3" i="12" s="1"/>
  <c r="H22" i="11"/>
  <c r="D25" i="11"/>
  <c r="E25" i="11" s="1"/>
  <c r="F25" i="11" s="1"/>
  <c r="G25" i="11" s="1"/>
  <c r="H25" i="11" s="1"/>
  <c r="I25" i="11" s="1"/>
  <c r="J25" i="11" s="1"/>
  <c r="K25" i="11" s="1"/>
  <c r="L25" i="11" s="1"/>
  <c r="M25" i="11" s="1"/>
  <c r="N25" i="11" s="1"/>
  <c r="I22" i="11"/>
  <c r="J22" i="11"/>
  <c r="K22" i="11"/>
  <c r="L22" i="11"/>
  <c r="M22" i="11"/>
  <c r="N22" i="11"/>
  <c r="G22" i="11"/>
  <c r="E8" i="12"/>
  <c r="B22" i="11"/>
  <c r="C10" i="12"/>
  <c r="E3" i="12"/>
  <c r="E4" i="12"/>
  <c r="E5" i="12"/>
  <c r="E6" i="12"/>
  <c r="E7" i="12"/>
  <c r="E9" i="12"/>
  <c r="Q5" i="12" l="1"/>
  <c r="L14" i="12"/>
  <c r="L16" i="12" s="1"/>
  <c r="P13" i="12"/>
  <c r="P14" i="12" s="1"/>
  <c r="M13" i="12"/>
  <c r="N3" i="12"/>
  <c r="J3" i="12"/>
  <c r="J8" i="12"/>
  <c r="J10" i="12"/>
  <c r="J12" i="12"/>
  <c r="J4" i="12"/>
  <c r="J5" i="12"/>
  <c r="J13" i="12"/>
  <c r="J6" i="12"/>
  <c r="J14" i="12"/>
  <c r="J9" i="12"/>
  <c r="J11" i="12"/>
  <c r="J7" i="12"/>
  <c r="D11" i="12"/>
  <c r="K19" i="11"/>
  <c r="L19" i="11"/>
  <c r="M19" i="11"/>
  <c r="N19" i="11"/>
  <c r="I19" i="11"/>
  <c r="H19" i="11"/>
  <c r="F18" i="11"/>
  <c r="N13" i="12" l="1"/>
  <c r="Q13" i="12"/>
  <c r="Q14" i="12" s="1"/>
  <c r="M14" i="12"/>
  <c r="M15" i="12" s="1"/>
  <c r="L15" i="12"/>
  <c r="E11" i="12"/>
  <c r="D10" i="12"/>
  <c r="J19" i="11"/>
  <c r="E18" i="11"/>
  <c r="E19" i="11" s="1"/>
  <c r="C24" i="11"/>
  <c r="C22" i="11" s="1"/>
  <c r="C18" i="11"/>
  <c r="D19" i="11" s="1"/>
  <c r="B18" i="11"/>
  <c r="B20" i="11" s="1"/>
  <c r="G30" i="3"/>
  <c r="H30" i="3"/>
  <c r="I30" i="3"/>
  <c r="J30" i="3"/>
  <c r="B29" i="3"/>
  <c r="C29" i="3"/>
  <c r="D29" i="3"/>
  <c r="E29" i="3"/>
  <c r="B77" i="1"/>
  <c r="C77" i="1"/>
  <c r="D77" i="1"/>
  <c r="E77" i="1"/>
  <c r="C72" i="1"/>
  <c r="D72" i="1"/>
  <c r="E72" i="1"/>
  <c r="B72" i="1"/>
  <c r="H13" i="2"/>
  <c r="H14" i="2"/>
  <c r="H15" i="2"/>
  <c r="H16" i="2"/>
  <c r="H17" i="2"/>
  <c r="H12" i="2"/>
  <c r="G13" i="2"/>
  <c r="G14" i="2"/>
  <c r="G15" i="2"/>
  <c r="G16" i="2"/>
  <c r="G17" i="2"/>
  <c r="G12" i="2"/>
  <c r="D18" i="2"/>
  <c r="C18" i="2"/>
  <c r="D17" i="2"/>
  <c r="C17" i="2"/>
  <c r="E37" i="9"/>
  <c r="D37" i="9"/>
  <c r="C42" i="9"/>
  <c r="C40" i="9"/>
  <c r="B43" i="9"/>
  <c r="C41" i="9" s="1"/>
  <c r="E38" i="9"/>
  <c r="E36" i="9"/>
  <c r="D38" i="9"/>
  <c r="D36" i="9"/>
  <c r="E13" i="2"/>
  <c r="E14" i="2"/>
  <c r="E15" i="2"/>
  <c r="E16" i="2"/>
  <c r="E12" i="2"/>
  <c r="N14" i="12" l="1"/>
  <c r="M16" i="12"/>
  <c r="C20" i="11"/>
  <c r="C19" i="11"/>
  <c r="D24" i="11"/>
  <c r="F19" i="11"/>
  <c r="D23" i="2"/>
  <c r="D21" i="2"/>
  <c r="D22" i="2"/>
  <c r="D20" i="2"/>
  <c r="H6" i="2"/>
  <c r="E24" i="11" l="1"/>
  <c r="D22" i="11"/>
  <c r="D20" i="11" s="1"/>
  <c r="I8" i="8"/>
  <c r="H7" i="8"/>
  <c r="C54" i="8"/>
  <c r="E57" i="8"/>
  <c r="E56" i="8"/>
  <c r="C57" i="8"/>
  <c r="C56" i="8"/>
  <c r="I7" i="8"/>
  <c r="H6" i="8"/>
  <c r="H5" i="8"/>
  <c r="E37" i="6"/>
  <c r="D37" i="6"/>
  <c r="E35" i="6"/>
  <c r="E36" i="6"/>
  <c r="D36" i="6"/>
  <c r="D35" i="6"/>
  <c r="F24" i="11" l="1"/>
  <c r="E22" i="11"/>
  <c r="E20" i="11" s="1"/>
  <c r="P3" i="3"/>
  <c r="S65" i="1"/>
  <c r="R65" i="1"/>
  <c r="S64" i="1"/>
  <c r="R64" i="1"/>
  <c r="C4" i="3"/>
  <c r="D4" i="3"/>
  <c r="E4" i="3"/>
  <c r="F4" i="3"/>
  <c r="G4" i="3"/>
  <c r="H4" i="3"/>
  <c r="I4" i="3"/>
  <c r="J4" i="3"/>
  <c r="K4" i="3"/>
  <c r="L4" i="3"/>
  <c r="M4" i="3"/>
  <c r="N4" i="3"/>
  <c r="B4" i="3"/>
  <c r="E40" i="5"/>
  <c r="B47" i="5"/>
  <c r="C46" i="5" s="1"/>
  <c r="O24" i="11" l="1"/>
  <c r="F22" i="11"/>
  <c r="F20" i="11" s="1"/>
  <c r="G24" i="11"/>
  <c r="C44" i="5"/>
  <c r="E41" i="5"/>
  <c r="E42" i="5"/>
  <c r="D41" i="5"/>
  <c r="D42" i="5"/>
  <c r="D40" i="5"/>
  <c r="F46" i="4"/>
  <c r="C45" i="4"/>
  <c r="C46" i="4"/>
  <c r="C47" i="4"/>
  <c r="C48" i="4"/>
  <c r="C44" i="4"/>
  <c r="B49" i="4"/>
  <c r="D41" i="4"/>
  <c r="E41" i="4"/>
  <c r="E39" i="4"/>
  <c r="E40" i="4"/>
  <c r="D40" i="4"/>
  <c r="D39" i="4"/>
  <c r="E5" i="2"/>
  <c r="F5" i="2" s="1"/>
  <c r="E6" i="2"/>
  <c r="F6" i="2" s="1"/>
  <c r="E7" i="2"/>
  <c r="F7" i="2" s="1"/>
  <c r="E8" i="2"/>
  <c r="F8" i="2" s="1"/>
  <c r="E4" i="2"/>
  <c r="F4" i="2" s="1"/>
  <c r="B6" i="3"/>
  <c r="Q2" i="3"/>
  <c r="P2" i="3"/>
  <c r="O2" i="3"/>
  <c r="C6" i="3"/>
  <c r="D6" i="3"/>
  <c r="E6" i="3"/>
  <c r="F6" i="3"/>
  <c r="G6" i="3"/>
  <c r="H6" i="3"/>
  <c r="I6" i="3"/>
  <c r="J6" i="3"/>
  <c r="K6" i="3"/>
  <c r="L6" i="3"/>
  <c r="M6" i="3"/>
  <c r="N6" i="3"/>
  <c r="H24" i="11" l="1"/>
  <c r="G27" i="11"/>
  <c r="E9" i="2"/>
  <c r="F9" i="2" s="1"/>
  <c r="C45" i="5"/>
  <c r="O6" i="3"/>
  <c r="Q6" i="3"/>
  <c r="P6" i="3"/>
  <c r="I24" i="11" l="1"/>
  <c r="H27" i="11"/>
  <c r="C9" i="2"/>
  <c r="D9" i="2" s="1"/>
  <c r="D5" i="2"/>
  <c r="D6" i="2"/>
  <c r="D7" i="2"/>
  <c r="D8" i="2"/>
  <c r="D4" i="2"/>
  <c r="P24" i="11" l="1"/>
  <c r="I27" i="11"/>
  <c r="J24" i="11"/>
  <c r="C54" i="1"/>
  <c r="D54" i="1"/>
  <c r="E54" i="1"/>
  <c r="F54" i="1"/>
  <c r="G54" i="1"/>
  <c r="H54" i="1"/>
  <c r="I54" i="1"/>
  <c r="J54" i="1"/>
  <c r="K54" i="1"/>
  <c r="L54" i="1"/>
  <c r="M54" i="1"/>
  <c r="C42" i="1"/>
  <c r="D42" i="1"/>
  <c r="E42" i="1"/>
  <c r="F42" i="1"/>
  <c r="G42" i="1"/>
  <c r="H42" i="1"/>
  <c r="I42" i="1"/>
  <c r="J42" i="1"/>
  <c r="K42" i="1"/>
  <c r="L42" i="1"/>
  <c r="M42" i="1"/>
  <c r="B42" i="1"/>
  <c r="E24" i="1"/>
  <c r="E46" i="1" s="1"/>
  <c r="E15" i="3" s="1"/>
  <c r="F14" i="1"/>
  <c r="G14" i="1"/>
  <c r="H14" i="1"/>
  <c r="I14" i="1"/>
  <c r="J14" i="1"/>
  <c r="K14" i="1"/>
  <c r="L14" i="1"/>
  <c r="M14" i="1"/>
  <c r="N14" i="1"/>
  <c r="C4" i="1"/>
  <c r="C24" i="1" s="1"/>
  <c r="C57" i="1" s="1"/>
  <c r="C20" i="3" s="1"/>
  <c r="D4" i="1"/>
  <c r="D24" i="1" s="1"/>
  <c r="D59" i="1" s="1"/>
  <c r="D22" i="3" s="1"/>
  <c r="E4" i="1"/>
  <c r="F4" i="1"/>
  <c r="F19" i="1" s="1"/>
  <c r="F24" i="1" s="1"/>
  <c r="G4" i="1"/>
  <c r="G19" i="1" s="1"/>
  <c r="H4" i="1"/>
  <c r="H19" i="1" s="1"/>
  <c r="I4" i="1"/>
  <c r="I19" i="1" s="1"/>
  <c r="J4" i="1"/>
  <c r="J19" i="1" s="1"/>
  <c r="K4" i="1"/>
  <c r="K19" i="1" s="1"/>
  <c r="L4" i="1"/>
  <c r="L19" i="1" s="1"/>
  <c r="M4" i="1"/>
  <c r="M19" i="1" s="1"/>
  <c r="N4" i="1"/>
  <c r="N19" i="1" s="1"/>
  <c r="C3" i="1"/>
  <c r="D3" i="1"/>
  <c r="E3" i="1"/>
  <c r="F3" i="1"/>
  <c r="F18" i="1" s="1"/>
  <c r="G3" i="1"/>
  <c r="G18" i="1" s="1"/>
  <c r="H3" i="1"/>
  <c r="H18" i="1" s="1"/>
  <c r="I3" i="1"/>
  <c r="I18" i="1" s="1"/>
  <c r="J3" i="1"/>
  <c r="J18" i="1" s="1"/>
  <c r="K3" i="1"/>
  <c r="K18" i="1" s="1"/>
  <c r="L3" i="1"/>
  <c r="L18" i="1" s="1"/>
  <c r="M3" i="1"/>
  <c r="M18" i="1" s="1"/>
  <c r="N3" i="1"/>
  <c r="N18" i="1" s="1"/>
  <c r="B3" i="1"/>
  <c r="B4" i="1"/>
  <c r="E58" i="1" l="1"/>
  <c r="E21" i="3" s="1"/>
  <c r="K24" i="11"/>
  <c r="J27" i="11"/>
  <c r="F46" i="1"/>
  <c r="F20" i="1"/>
  <c r="D46" i="1"/>
  <c r="D15" i="3" s="1"/>
  <c r="E45" i="1"/>
  <c r="E14" i="3" s="1"/>
  <c r="D60" i="1"/>
  <c r="D23" i="3" s="1"/>
  <c r="C34" i="1"/>
  <c r="C9" i="3" s="1"/>
  <c r="F60" i="1"/>
  <c r="C59" i="1"/>
  <c r="C22" i="3" s="1"/>
  <c r="C46" i="1"/>
  <c r="C15" i="3" s="1"/>
  <c r="F45" i="1"/>
  <c r="E60" i="1"/>
  <c r="E23" i="3" s="1"/>
  <c r="F58" i="1"/>
  <c r="F47" i="1"/>
  <c r="D45" i="1"/>
  <c r="D14" i="3" s="1"/>
  <c r="C60" i="1"/>
  <c r="C23" i="3" s="1"/>
  <c r="D58" i="1"/>
  <c r="D21" i="3" s="1"/>
  <c r="F48" i="1"/>
  <c r="E47" i="1"/>
  <c r="C45" i="1"/>
  <c r="C14" i="3" s="1"/>
  <c r="C58" i="1"/>
  <c r="C21" i="3" s="1"/>
  <c r="F57" i="1"/>
  <c r="E48" i="1"/>
  <c r="E17" i="3" s="1"/>
  <c r="D47" i="1"/>
  <c r="F34" i="1"/>
  <c r="F59" i="1"/>
  <c r="E57" i="1"/>
  <c r="E20" i="3" s="1"/>
  <c r="D48" i="1"/>
  <c r="D17" i="3" s="1"/>
  <c r="C47" i="1"/>
  <c r="E34" i="1"/>
  <c r="E9" i="3" s="1"/>
  <c r="E59" i="1"/>
  <c r="E22" i="3" s="1"/>
  <c r="D57" i="1"/>
  <c r="D20" i="3" s="1"/>
  <c r="C48" i="1"/>
  <c r="C17" i="3" s="1"/>
  <c r="D34" i="1"/>
  <c r="D9" i="3" s="1"/>
  <c r="N54" i="1"/>
  <c r="N42" i="1"/>
  <c r="F26" i="1"/>
  <c r="G26" i="1" s="1"/>
  <c r="G24" i="1" s="1"/>
  <c r="E26" i="1"/>
  <c r="D26" i="1"/>
  <c r="K5" i="1"/>
  <c r="J20" i="1"/>
  <c r="K20" i="1"/>
  <c r="J5" i="1"/>
  <c r="H20" i="1"/>
  <c r="I20" i="1"/>
  <c r="L20" i="1"/>
  <c r="M20" i="1"/>
  <c r="F25" i="1"/>
  <c r="N20" i="1"/>
  <c r="G20" i="1"/>
  <c r="M5" i="1"/>
  <c r="G5" i="1"/>
  <c r="L5" i="1"/>
  <c r="F5" i="1"/>
  <c r="N5" i="1"/>
  <c r="H5" i="1"/>
  <c r="I5" i="1"/>
  <c r="L24" i="11" l="1"/>
  <c r="K27" i="11"/>
  <c r="D35" i="1"/>
  <c r="D16" i="3"/>
  <c r="F23" i="3"/>
  <c r="F21" i="3"/>
  <c r="F20" i="3"/>
  <c r="F16" i="3"/>
  <c r="C35" i="1"/>
  <c r="C16" i="3"/>
  <c r="E35" i="1"/>
  <c r="E16" i="3"/>
  <c r="F14" i="3"/>
  <c r="F22" i="3"/>
  <c r="F17" i="3"/>
  <c r="F15" i="3"/>
  <c r="F9" i="3"/>
  <c r="F35" i="1"/>
  <c r="G25" i="1"/>
  <c r="G47" i="1"/>
  <c r="G46" i="1"/>
  <c r="G15" i="3" s="1"/>
  <c r="G59" i="1"/>
  <c r="G22" i="3" s="1"/>
  <c r="G34" i="1"/>
  <c r="G9" i="3" s="1"/>
  <c r="G57" i="1"/>
  <c r="G20" i="3" s="1"/>
  <c r="G58" i="1"/>
  <c r="G21" i="3" s="1"/>
  <c r="G45" i="1"/>
  <c r="G14" i="3" s="1"/>
  <c r="G60" i="1"/>
  <c r="G23" i="3" s="1"/>
  <c r="G48" i="1"/>
  <c r="G17" i="3" s="1"/>
  <c r="H26" i="1"/>
  <c r="B24" i="1"/>
  <c r="R24" i="1" s="1"/>
  <c r="M24" i="11" l="1"/>
  <c r="L27" i="11"/>
  <c r="C30" i="1"/>
  <c r="C31" i="1" s="1"/>
  <c r="C36" i="1" s="1"/>
  <c r="C11" i="3" s="1"/>
  <c r="C10" i="3"/>
  <c r="E30" i="1"/>
  <c r="E31" i="1" s="1"/>
  <c r="E36" i="1" s="1"/>
  <c r="E11" i="3" s="1"/>
  <c r="E10" i="3"/>
  <c r="G35" i="1"/>
  <c r="G16" i="3"/>
  <c r="F10" i="3"/>
  <c r="D30" i="1"/>
  <c r="D31" i="1" s="1"/>
  <c r="D36" i="1" s="1"/>
  <c r="D11" i="3" s="1"/>
  <c r="D10" i="3"/>
  <c r="F30" i="1"/>
  <c r="F31" i="1" s="1"/>
  <c r="F36" i="1" s="1"/>
  <c r="B57" i="1"/>
  <c r="B34" i="1"/>
  <c r="B47" i="1"/>
  <c r="B46" i="1"/>
  <c r="B45" i="1"/>
  <c r="B48" i="1"/>
  <c r="I26" i="1"/>
  <c r="J26" i="1" s="1"/>
  <c r="K26" i="1" s="1"/>
  <c r="L26" i="1" s="1"/>
  <c r="H24" i="1"/>
  <c r="C26" i="1"/>
  <c r="N24" i="11" l="1"/>
  <c r="M27" i="11"/>
  <c r="B9" i="3"/>
  <c r="O9" i="3" s="1"/>
  <c r="R34" i="1"/>
  <c r="B20" i="3"/>
  <c r="O20" i="3" s="1"/>
  <c r="R57" i="1"/>
  <c r="F11" i="3"/>
  <c r="G10" i="3"/>
  <c r="G30" i="1"/>
  <c r="G31" i="1" s="1"/>
  <c r="G36" i="1" s="1"/>
  <c r="G11" i="3" s="1"/>
  <c r="B16" i="3"/>
  <c r="O16" i="3" s="1"/>
  <c r="R47" i="1"/>
  <c r="B15" i="3"/>
  <c r="O15" i="3" s="1"/>
  <c r="R46" i="1"/>
  <c r="B17" i="3"/>
  <c r="O17" i="3" s="1"/>
  <c r="R48" i="1"/>
  <c r="B14" i="3"/>
  <c r="O14" i="3" s="1"/>
  <c r="R45" i="1"/>
  <c r="H58" i="1"/>
  <c r="H21" i="3" s="1"/>
  <c r="H45" i="1"/>
  <c r="H14" i="3" s="1"/>
  <c r="H57" i="1"/>
  <c r="H20" i="3" s="1"/>
  <c r="H46" i="1"/>
  <c r="H15" i="3" s="1"/>
  <c r="H59" i="1"/>
  <c r="H22" i="3" s="1"/>
  <c r="H34" i="1"/>
  <c r="H9" i="3" s="1"/>
  <c r="H47" i="1"/>
  <c r="H60" i="1"/>
  <c r="H23" i="3" s="1"/>
  <c r="H48" i="1"/>
  <c r="H17" i="3" s="1"/>
  <c r="B35" i="1"/>
  <c r="I24" i="1"/>
  <c r="H25" i="1"/>
  <c r="M26" i="1"/>
  <c r="N26" i="1" s="1"/>
  <c r="Q24" i="11" l="1"/>
  <c r="N27" i="11"/>
  <c r="B10" i="3"/>
  <c r="O10" i="3" s="1"/>
  <c r="R35" i="1"/>
  <c r="H35" i="1"/>
  <c r="H16" i="3"/>
  <c r="I58" i="1"/>
  <c r="I45" i="1"/>
  <c r="I47" i="1"/>
  <c r="I59" i="1"/>
  <c r="I46" i="1"/>
  <c r="I34" i="1"/>
  <c r="I57" i="1"/>
  <c r="I60" i="1"/>
  <c r="I48" i="1"/>
  <c r="B30" i="1"/>
  <c r="B31" i="1" s="1"/>
  <c r="B36" i="1" s="1"/>
  <c r="I25" i="1"/>
  <c r="J24" i="1"/>
  <c r="I14" i="3" l="1"/>
  <c r="P14" i="3" s="1"/>
  <c r="I35" i="1"/>
  <c r="I16" i="3"/>
  <c r="P16" i="3" s="1"/>
  <c r="I17" i="3"/>
  <c r="P17" i="3" s="1"/>
  <c r="I21" i="3"/>
  <c r="P21" i="3" s="1"/>
  <c r="I23" i="3"/>
  <c r="P23" i="3" s="1"/>
  <c r="I15" i="3"/>
  <c r="P15" i="3" s="1"/>
  <c r="I22" i="3"/>
  <c r="P22" i="3" s="1"/>
  <c r="B11" i="3"/>
  <c r="O11" i="3" s="1"/>
  <c r="R36" i="1"/>
  <c r="I20" i="3"/>
  <c r="P20" i="3" s="1"/>
  <c r="I9" i="3"/>
  <c r="P9" i="3" s="1"/>
  <c r="H30" i="1"/>
  <c r="H31" i="1" s="1"/>
  <c r="H36" i="1" s="1"/>
  <c r="H11" i="3" s="1"/>
  <c r="H10" i="3"/>
  <c r="J47" i="1"/>
  <c r="J58" i="1"/>
  <c r="J21" i="3" s="1"/>
  <c r="J45" i="1"/>
  <c r="J14" i="3" s="1"/>
  <c r="J46" i="1"/>
  <c r="J15" i="3" s="1"/>
  <c r="J59" i="1"/>
  <c r="J22" i="3" s="1"/>
  <c r="J34" i="1"/>
  <c r="J9" i="3" s="1"/>
  <c r="J57" i="1"/>
  <c r="J20" i="3" s="1"/>
  <c r="J60" i="1"/>
  <c r="J23" i="3" s="1"/>
  <c r="J48" i="1"/>
  <c r="J17" i="3" s="1"/>
  <c r="J25" i="1"/>
  <c r="K24" i="1"/>
  <c r="J35" i="1" l="1"/>
  <c r="J16" i="3"/>
  <c r="I30" i="1"/>
  <c r="I31" i="1" s="1"/>
  <c r="I36" i="1" s="1"/>
  <c r="I10" i="3"/>
  <c r="P10" i="3" s="1"/>
  <c r="K57" i="1"/>
  <c r="K20" i="3" s="1"/>
  <c r="K47" i="1"/>
  <c r="K58" i="1"/>
  <c r="K21" i="3" s="1"/>
  <c r="K45" i="1"/>
  <c r="K14" i="3" s="1"/>
  <c r="K46" i="1"/>
  <c r="K15" i="3" s="1"/>
  <c r="K59" i="1"/>
  <c r="K22" i="3" s="1"/>
  <c r="K34" i="1"/>
  <c r="K9" i="3" s="1"/>
  <c r="K60" i="1"/>
  <c r="K23" i="3" s="1"/>
  <c r="K48" i="1"/>
  <c r="K17" i="3" s="1"/>
  <c r="L24" i="1"/>
  <c r="K25" i="1"/>
  <c r="K35" i="1" l="1"/>
  <c r="K16" i="3"/>
  <c r="I11" i="3"/>
  <c r="P11" i="3" s="1"/>
  <c r="J30" i="1"/>
  <c r="J31" i="1" s="1"/>
  <c r="J36" i="1" s="1"/>
  <c r="J11" i="3" s="1"/>
  <c r="J10" i="3"/>
  <c r="L59" i="1"/>
  <c r="L22" i="3" s="1"/>
  <c r="L34" i="1"/>
  <c r="L9" i="3" s="1"/>
  <c r="L57" i="1"/>
  <c r="L20" i="3" s="1"/>
  <c r="L47" i="1"/>
  <c r="L46" i="1"/>
  <c r="L15" i="3" s="1"/>
  <c r="L58" i="1"/>
  <c r="L21" i="3" s="1"/>
  <c r="L45" i="1"/>
  <c r="L14" i="3" s="1"/>
  <c r="L48" i="1"/>
  <c r="L17" i="3" s="1"/>
  <c r="L60" i="1"/>
  <c r="L23" i="3" s="1"/>
  <c r="L25" i="1"/>
  <c r="M24" i="1"/>
  <c r="L35" i="1" l="1"/>
  <c r="L16" i="3"/>
  <c r="K30" i="1"/>
  <c r="K31" i="1" s="1"/>
  <c r="K36" i="1" s="1"/>
  <c r="K11" i="3" s="1"/>
  <c r="K10" i="3"/>
  <c r="M46" i="1"/>
  <c r="M15" i="3" s="1"/>
  <c r="M59" i="1"/>
  <c r="M22" i="3" s="1"/>
  <c r="M34" i="1"/>
  <c r="M9" i="3" s="1"/>
  <c r="M57" i="1"/>
  <c r="M20" i="3" s="1"/>
  <c r="M45" i="1"/>
  <c r="M14" i="3" s="1"/>
  <c r="M47" i="1"/>
  <c r="M58" i="1"/>
  <c r="M21" i="3" s="1"/>
  <c r="M60" i="1"/>
  <c r="M23" i="3" s="1"/>
  <c r="M48" i="1"/>
  <c r="M17" i="3" s="1"/>
  <c r="M25" i="1"/>
  <c r="N24" i="1"/>
  <c r="O24" i="1" l="1"/>
  <c r="M35" i="1"/>
  <c r="M16" i="3"/>
  <c r="L30" i="1"/>
  <c r="L31" i="1" s="1"/>
  <c r="L36" i="1" s="1"/>
  <c r="L11" i="3" s="1"/>
  <c r="L10" i="3"/>
  <c r="N57" i="1"/>
  <c r="N34" i="1"/>
  <c r="N45" i="1"/>
  <c r="N47" i="1"/>
  <c r="N58" i="1"/>
  <c r="N59" i="1"/>
  <c r="N46" i="1"/>
  <c r="N48" i="1"/>
  <c r="N60" i="1"/>
  <c r="N25" i="1"/>
  <c r="B59" i="1"/>
  <c r="B54" i="1"/>
  <c r="B60" i="1" s="1"/>
  <c r="B58" i="1"/>
  <c r="O25" i="1" l="1"/>
  <c r="P24" i="1"/>
  <c r="N20" i="3"/>
  <c r="Q20" i="3" s="1"/>
  <c r="S57" i="1"/>
  <c r="S48" i="1"/>
  <c r="N17" i="3"/>
  <c r="Q17" i="3" s="1"/>
  <c r="T48" i="1"/>
  <c r="M30" i="1"/>
  <c r="M31" i="1" s="1"/>
  <c r="M36" i="1" s="1"/>
  <c r="M11" i="3" s="1"/>
  <c r="M10" i="3"/>
  <c r="B21" i="3"/>
  <c r="O21" i="3" s="1"/>
  <c r="R58" i="1"/>
  <c r="S58" i="1"/>
  <c r="N21" i="3"/>
  <c r="Q21" i="3" s="1"/>
  <c r="S47" i="1"/>
  <c r="T47" i="1"/>
  <c r="N16" i="3"/>
  <c r="Q16" i="3" s="1"/>
  <c r="S34" i="1"/>
  <c r="N9" i="3"/>
  <c r="Q9" i="3" s="1"/>
  <c r="S60" i="1"/>
  <c r="N23" i="3"/>
  <c r="Q23" i="3" s="1"/>
  <c r="T46" i="1"/>
  <c r="N15" i="3"/>
  <c r="Q15" i="3" s="1"/>
  <c r="S46" i="1"/>
  <c r="N22" i="3"/>
  <c r="Q22" i="3" s="1"/>
  <c r="S59" i="1"/>
  <c r="B23" i="3"/>
  <c r="O23" i="3" s="1"/>
  <c r="R60" i="1"/>
  <c r="B22" i="3"/>
  <c r="O22" i="3" s="1"/>
  <c r="R59" i="1"/>
  <c r="T45" i="1"/>
  <c r="S45" i="1"/>
  <c r="N14" i="3"/>
  <c r="Q14" i="3" s="1"/>
  <c r="N35" i="1"/>
  <c r="Q24" i="1" l="1"/>
  <c r="P25" i="1"/>
  <c r="S35" i="1"/>
  <c r="N10" i="3"/>
  <c r="Q10" i="3" s="1"/>
  <c r="N30" i="1"/>
  <c r="N31" i="1" s="1"/>
  <c r="N36" i="1" s="1"/>
  <c r="Q25" i="1" l="1"/>
  <c r="N11" i="3"/>
  <c r="Q11" i="3" s="1"/>
  <c r="S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tc={40794182-2EB4-49DC-B4F3-BEB5F4859995}</author>
    <author>tc={BE04FA0E-0306-4FE3-A476-C84E1BAED818}</author>
    <author>tc={A91C4664-FE83-4C9E-A0AF-272CDE022B2C}</author>
  </authors>
  <commentList>
    <comment ref="F18" authorId="0" shapeId="0" xr:uid="{40794182-2EB4-49DC-B4F3-BEB5F4859995}">
      <text>
        <t>[Threaded comment]
Your version of Excel allows you to read this threaded comment; however, any edits to it will get removed if the file is opened in a newer version of Excel. Learn more: https://go.microsoft.com/fwlink/?linkid=870924
Comment:
    BPCL Demonstration Plant. Done in Jan 2022</t>
      </text>
    </comment>
    <comment ref="G21" authorId="1" shapeId="0" xr:uid="{BE04FA0E-0306-4FE3-A476-C84E1BAED818}">
      <text>
        <t>[Threaded comment]
Your version of Excel allows you to read this threaded comment; however, any edits to it will get removed if the file is opened in a newer version of Excel. Learn more: https://go.microsoft.com/fwlink/?linkid=870924
Comment:
    tentative</t>
      </text>
    </comment>
    <comment ref="G22" authorId="2" shapeId="0" xr:uid="{A91C4664-FE83-4C9E-A0AF-272CDE022B2C}">
      <text>
        <t>[Threaded comment]
Your version of Excel allows you to read this threaded comment; however, any edits to it will get removed if the file is opened in a newer version of Excel. Learn more: https://go.microsoft.com/fwlink/?linkid=870924
Comment:
    tentative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tc={84B3CCDF-0C5B-4545-8A2F-369BE0468B19}</author>
    <author>tc={6633745A-2D40-49C3-A845-9C971FED4110}</author>
    <author>tc={25E037CA-9DDC-46DC-8FEC-2FF465F14D66}</author>
  </authors>
  <commentList>
    <comment ref="B2" authorId="0" shapeId="0" xr:uid="{84B3CCDF-0C5B-4545-8A2F-369BE0468B19}">
      <text>
        <t>[Threaded comment]
Your version of Excel allows you to read this threaded comment; however, any edits to it will get removed if the file is opened in a newer version of Excel. Learn more: https://go.microsoft.com/fwlink/?linkid=870924
Comment:
    Page 2</t>
      </text>
    </comment>
    <comment ref="B34" authorId="1" shapeId="0" xr:uid="{6633745A-2D40-49C3-A845-9C971FED4110}">
      <text>
        <t>[Threaded comment]
Your version of Excel allows you to read this threaded comment; however, any edits to it will get removed if the file is opened in a newer version of Excel. Learn more: https://go.microsoft.com/fwlink/?linkid=870924
Comment:
    Page 102</t>
      </text>
    </comment>
    <comment ref="D36" authorId="2" shapeId="0" xr:uid="{25E037CA-9DDC-46DC-8FEC-2FF465F14D66}">
      <text>
        <t>[Threaded comment]
Your version of Excel allows you to read this threaded comment; however, any edits to it will get removed if the file is opened in a newer version of Excel. Learn more: https://go.microsoft.com/fwlink/?linkid=870924
Comment:
    Page 105</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tc={A74B0636-1EAD-4272-AE8B-10A56F0BB8DE}</author>
    <author>tc={C8D58230-F10C-4BE3-9CDC-7E15A68F6851}</author>
    <author>tc={02DA5D56-BBCD-4D10-9BCD-631696F5ABC6}</author>
    <author>tc={C20D7863-1D40-4519-8780-BD23199EFF69}</author>
    <author>tc={C37749AC-C3DC-43AA-926E-47EB420979BA}</author>
    <author>tc={5BB014A6-20AE-417F-AA85-A239575D140E}</author>
    <author>tc={4F6EC3B4-B0DD-45C2-B9FD-D0D4B7E06EC6}</author>
  </authors>
  <commentList>
    <comment ref="B7" authorId="0" shapeId="0" xr:uid="{A74B0636-1EAD-4272-AE8B-10A56F0BB8DE}">
      <text>
        <t>[Threaded comment]
Your version of Excel allows you to read this threaded comment; however, any edits to it will get removed if the file is opened in a newer version of Excel. Learn more: https://go.microsoft.com/fwlink/?linkid=870924
Comment:
    Page 3</t>
      </text>
    </comment>
    <comment ref="B27" authorId="1" shapeId="0" xr:uid="{C8D58230-F10C-4BE3-9CDC-7E15A68F6851}">
      <text>
        <t>[Threaded comment]
Your version of Excel allows you to read this threaded comment; however, any edits to it will get removed if the file is opened in a newer version of Excel. Learn more: https://go.microsoft.com/fwlink/?linkid=870924
Comment:
    Page 3</t>
      </text>
    </comment>
    <comment ref="B29" authorId="2" shapeId="0" xr:uid="{02DA5D56-BBCD-4D10-9BCD-631696F5ABC6}">
      <text>
        <t>[Threaded comment]
Your version of Excel allows you to read this threaded comment; however, any edits to it will get removed if the file is opened in a newer version of Excel. Learn more: https://go.microsoft.com/fwlink/?linkid=870924
Comment:
    Page 10</t>
      </text>
    </comment>
    <comment ref="B31" authorId="3" shapeId="0" xr:uid="{C20D7863-1D40-4519-8780-BD23199EFF69}">
      <text>
        <t>[Threaded comment]
Your version of Excel allows you to read this threaded comment; however, any edits to it will get removed if the file is opened in a newer version of Excel. Learn more: https://go.microsoft.com/fwlink/?linkid=870924
Comment:
    Page 3</t>
      </text>
    </comment>
    <comment ref="B33" authorId="4" shapeId="0" xr:uid="{C37749AC-C3DC-43AA-926E-47EB420979BA}">
      <text>
        <t>[Threaded comment]
Your version of Excel allows you to read this threaded comment; however, any edits to it will get removed if the file is opened in a newer version of Excel. Learn more: https://go.microsoft.com/fwlink/?linkid=870924
Comment:
    Page 11</t>
      </text>
    </comment>
    <comment ref="B35" authorId="5" shapeId="0" xr:uid="{5BB014A6-20AE-417F-AA85-A239575D140E}">
      <text>
        <t>[Threaded comment]
Your version of Excel allows you to read this threaded comment; however, any edits to it will get removed if the file is opened in a newer version of Excel. Learn more: https://go.microsoft.com/fwlink/?linkid=870924
Comment:
    Page 4</t>
      </text>
    </comment>
    <comment ref="B49" authorId="6" shapeId="0" xr:uid="{4F6EC3B4-B0DD-45C2-B9FD-D0D4B7E06EC6}">
      <text>
        <t>[Threaded comment]
Your version of Excel allows you to read this threaded comment; however, any edits to it will get removed if the file is opened in a newer version of Excel. Learn more: https://go.microsoft.com/fwlink/?linkid=870924
Comment:
    Page 5</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tc={4FCA30BA-4BDB-44C7-AAE0-2900632C9083}</author>
    <author>tc={73E9702F-C907-478F-AD15-235364355BB2}</author>
  </authors>
  <commentList>
    <comment ref="B24" authorId="0" shapeId="0" xr:uid="{4FCA30BA-4BDB-44C7-AAE0-2900632C9083}">
      <text>
        <t>[Threaded comment]
Your version of Excel allows you to read this threaded comment; however, any edits to it will get removed if the file is opened in a newer version of Excel. Learn more: https://go.microsoft.com/fwlink/?linkid=870924
Comment:
    Page 6</t>
      </text>
    </comment>
    <comment ref="B39" authorId="1" shapeId="0" xr:uid="{73E9702F-C907-478F-AD15-235364355BB2}">
      <text>
        <t>[Threaded comment]
Your version of Excel allows you to read this threaded comment; however, any edits to it will get removed if the file is opened in a newer version of Excel. Learn more: https://go.microsoft.com/fwlink/?linkid=870924
Comment:
    Page 25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tc={1AA665CC-93A9-4B3F-B133-4D14FD5C1046}</author>
    <author>tc={8402CAB2-FA0D-47BC-8155-A7D76D4F7AE9}</author>
    <author>tc={C8DCC0EB-FF9D-4505-8560-A0EBC5DE6E78}</author>
    <author>tc={23FE7A2E-4D46-4366-A545-F3115B46860A}</author>
    <author>tc={F5A5122B-4D7D-489B-B45A-DA2BD8651018}</author>
    <author>tc={8822FFE1-119F-4571-8C73-4B33900BFCE3}</author>
    <author>tc={CE177A21-1CE3-48FA-9870-1C10B78660D2}</author>
  </authors>
  <commentList>
    <comment ref="B9" authorId="0" shapeId="0" xr:uid="{1AA665CC-93A9-4B3F-B133-4D14FD5C1046}">
      <text>
        <t>[Threaded comment]
Your version of Excel allows you to read this threaded comment; however, any edits to it will get removed if the file is opened in a newer version of Excel. Learn more: https://go.microsoft.com/fwlink/?linkid=870924
Comment:
    Page 29</t>
      </text>
    </comment>
    <comment ref="B11" authorId="1" shapeId="0" xr:uid="{8402CAB2-FA0D-47BC-8155-A7D76D4F7AE9}">
      <text>
        <t>[Threaded comment]
Your version of Excel allows you to read this threaded comment; however, any edits to it will get removed if the file is opened in a newer version of Excel. Learn more: https://go.microsoft.com/fwlink/?linkid=870924
Comment:
    Page 23</t>
      </text>
    </comment>
    <comment ref="B13" authorId="2" shapeId="0" xr:uid="{C8DCC0EB-FF9D-4505-8560-A0EBC5DE6E78}">
      <text>
        <t>[Threaded comment]
Your version of Excel allows you to read this threaded comment; however, any edits to it will get removed if the file is opened in a newer version of Excel. Learn more: https://go.microsoft.com/fwlink/?linkid=870924
Comment:
    Page 20</t>
      </text>
    </comment>
    <comment ref="B15" authorId="3" shapeId="0" xr:uid="{23FE7A2E-4D46-4366-A545-F3115B46860A}">
      <text>
        <t>[Threaded comment]
Your version of Excel allows you to read this threaded comment; however, any edits to it will get removed if the file is opened in a newer version of Excel. Learn more: https://go.microsoft.com/fwlink/?linkid=870924
Comment:
    Page 3</t>
      </text>
    </comment>
    <comment ref="B33" authorId="4" shapeId="0" xr:uid="{F5A5122B-4D7D-489B-B45A-DA2BD8651018}">
      <text>
        <t>[Threaded comment]
Your version of Excel allows you to read this threaded comment; however, any edits to it will get removed if the file is opened in a newer version of Excel. Learn more: https://go.microsoft.com/fwlink/?linkid=870924
Comment:
    Page 161</t>
      </text>
    </comment>
    <comment ref="B39" authorId="5" shapeId="0" xr:uid="{8822FFE1-119F-4571-8C73-4B33900BFCE3}">
      <text>
        <t>[Threaded comment]
Your version of Excel allows you to read this threaded comment; however, any edits to it will get removed if the file is opened in a newer version of Excel. Learn more: https://go.microsoft.com/fwlink/?linkid=870924
Comment:
    Page 31</t>
      </text>
    </comment>
    <comment ref="B44" authorId="6" shapeId="0" xr:uid="{CE177A21-1CE3-48FA-9870-1C10B78660D2}">
      <text>
        <t>[Threaded comment]
Your version of Excel allows you to read this threaded comment; however, any edits to it will get removed if the file is opened in a newer version of Excel. Learn more: https://go.microsoft.com/fwlink/?linkid=870924
Comment:
    Page 157</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tc={10436046-486F-427E-B91A-87BF36EB1D65}</author>
    <author>tc={412E7BE9-87AB-4D1F-99F3-7BC436F3A496}</author>
  </authors>
  <commentList>
    <comment ref="B26" authorId="0" shapeId="0" xr:uid="{10436046-486F-427E-B91A-87BF36EB1D65}">
      <text>
        <t>[Threaded comment]
Your version of Excel allows you to read this threaded comment; however, any edits to it will get removed if the file is opened in a newer version of Excel. Learn more: https://go.microsoft.com/fwlink/?linkid=870924
Comment:
    Page 60</t>
      </text>
    </comment>
    <comment ref="B28" authorId="1" shapeId="0" xr:uid="{412E7BE9-87AB-4D1F-99F3-7BC436F3A496}">
      <text>
        <t>[Threaded comment]
Your version of Excel allows you to read this threaded comment; however, any edits to it will get removed if the file is opened in a newer version of Excel. Learn more: https://go.microsoft.com/fwlink/?linkid=870924
Comment:
    Page 63</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tc={DDC3131A-28BB-4C0C-A64C-E371DD935268}</author>
    <author>tc={1C0A5F7E-DDD0-4DDD-ABBF-299978C8D276}</author>
    <author>tc={7507BD16-AE94-4F95-B264-3B014047D3E9}</author>
    <author>tc={34CC428F-7BF7-4DC4-89A2-D6D0259F0754}</author>
    <author>tc={3A74B709-E5DD-476F-9E5C-D9DD60A30C38}</author>
    <author>tc={BF195B71-F56C-4D00-BD4E-9ACABAEB2E3B}</author>
    <author>tc={DB55D8BA-6EB3-4D40-8540-8528CA654D30}</author>
    <author>tc={0254ECAA-D769-4486-B33D-4B2239A2B2A1}</author>
    <author>tc={1AAB28F6-8EA2-4B1A-A539-6FD45B4FC131}</author>
  </authors>
  <commentList>
    <comment ref="B2" authorId="0" shapeId="0" xr:uid="{DDC3131A-28BB-4C0C-A64C-E371DD935268}">
      <text>
        <t>[Threaded comment]
Your version of Excel allows you to read this threaded comment; however, any edits to it will get removed if the file is opened in a newer version of Excel. Learn more: https://go.microsoft.com/fwlink/?linkid=870924
Comment:
    Page 25</t>
      </text>
    </comment>
    <comment ref="A4" authorId="1" shapeId="0" xr:uid="{1C0A5F7E-DDD0-4DDD-ABBF-299978C8D276}">
      <text>
        <t>[Threaded comment]
Your version of Excel allows you to read this threaded comment; however, any edits to it will get removed if the file is opened in a newer version of Excel. Learn more: https://go.microsoft.com/fwlink/?linkid=870924
Comment:
    CY 2019</t>
      </text>
    </comment>
    <comment ref="B4" authorId="2" shapeId="0" xr:uid="{7507BD16-AE94-4F95-B264-3B014047D3E9}">
      <text>
        <t>[Threaded comment]
Your version of Excel allows you to read this threaded comment; however, any edits to it will get removed if the file is opened in a newer version of Excel. Learn more: https://go.microsoft.com/fwlink/?linkid=870924
Comment:
    Page 161</t>
      </text>
    </comment>
    <comment ref="A6" authorId="3" shapeId="0" xr:uid="{34CC428F-7BF7-4DC4-89A2-D6D0259F0754}">
      <text>
        <t>[Threaded comment]
Your version of Excel allows you to read this threaded comment; however, any edits to it will get removed if the file is opened in a newer version of Excel. Learn more: https://go.microsoft.com/fwlink/?linkid=870924
Comment:
    Old data: 2015</t>
      </text>
    </comment>
    <comment ref="A8" authorId="4" shapeId="0" xr:uid="{3A74B709-E5DD-476F-9E5C-D9DD60A30C38}">
      <text>
        <t>[Threaded comment]
Your version of Excel allows you to read this threaded comment; however, any edits to it will get removed if the file is opened in a newer version of Excel. Learn more: https://go.microsoft.com/fwlink/?linkid=870924
Comment:
    2020 Data</t>
      </text>
    </comment>
    <comment ref="A12" authorId="5" shapeId="0" xr:uid="{BF195B71-F56C-4D00-BD4E-9ACABAEB2E3B}">
      <text>
        <t>[Threaded comment]
Your version of Excel allows you to read this threaded comment; however, any edits to it will get removed if the file is opened in a newer version of Excel. Learn more: https://go.microsoft.com/fwlink/?linkid=870924
Comment:
    Outdated Data</t>
      </text>
    </comment>
    <comment ref="F18" authorId="6" shapeId="0" xr:uid="{DB55D8BA-6EB3-4D40-8540-8528CA654D30}">
      <text>
        <t>[Threaded comment]
Your version of Excel allows you to read this threaded comment; however, any edits to it will get removed if the file is opened in a newer version of Excel. Learn more: https://go.microsoft.com/fwlink/?linkid=870924
Comment:
    BPCL 200 MT</t>
      </text>
    </comment>
    <comment ref="I18" authorId="7" shapeId="0" xr:uid="{0254ECAA-D769-4486-B33D-4B2239A2B2A1}">
      <text>
        <t>[Threaded comment]
Your version of Excel allows you to read this threaded comment; however, any edits to it will get removed if the file is opened in a newer version of Excel. Learn more: https://go.microsoft.com/fwlink/?linkid=870924
Comment:
    66000 MT of Sumitomo</t>
      </text>
    </comment>
    <comment ref="J18" authorId="8" shapeId="0" xr:uid="{1AAB28F6-8EA2-4B1A-A539-6FD45B4FC131}">
      <text>
        <t>[Threaded comment]
Your version of Excel allows you to read this threaded comment; however, any edits to it will get removed if the file is opened in a newer version of Excel. Learn more: https://go.microsoft.com/fwlink/?linkid=870924
Comment:
    50,000 MT BPCL</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tc={2DBA707F-454C-43D9-B12B-6C97E472DFA6}</author>
    <author>tc={1B5551BE-D907-4E9E-B9A2-434012916103}</author>
    <author>tc={01FEAAFD-E27C-4A23-BD79-07B214989C60}</author>
    <author>tc={EE4256AA-23D4-4DF3-80EF-996492F76E5F}</author>
    <author>tc={6F5B421C-C552-4F48-9EC9-CE3D916E5C79}</author>
  </authors>
  <commentList>
    <comment ref="G19" authorId="0" shapeId="0" xr:uid="{2DBA707F-454C-43D9-B12B-6C97E472DFA6}">
      <text>
        <t>[Threaded comment]
Your version of Excel allows you to read this threaded comment; however, any edits to it will get removed if the file is opened in a newer version of Excel. Learn more: https://go.microsoft.com/fwlink/?linkid=870924
Comment:
    BPCL 200 MT</t>
      </text>
    </comment>
    <comment ref="J19" authorId="1" shapeId="0" xr:uid="{1B5551BE-D907-4E9E-B9A2-434012916103}">
      <text>
        <t>[Threaded comment]
Your version of Excel allows you to read this threaded comment; however, any edits to it will get removed if the file is opened in a newer version of Excel. Learn more: https://go.microsoft.com/fwlink/?linkid=870924
Comment:
    66000 MT of Sumitomo</t>
      </text>
    </comment>
    <comment ref="K19" authorId="2" shapeId="0" xr:uid="{01FEAAFD-E27C-4A23-BD79-07B214989C60}">
      <text>
        <t>[Threaded comment]
Your version of Excel allows you to read this threaded comment; however, any edits to it will get removed if the file is opened in a newer version of Excel. Learn more: https://go.microsoft.com/fwlink/?linkid=870924
Comment:
    50,000 MT BPCL</t>
      </text>
    </comment>
    <comment ref="D42" authorId="3" shapeId="0" xr:uid="{EE4256AA-23D4-4DF3-80EF-996492F76E5F}">
      <text>
        <t>[Threaded comment]
Your version of Excel allows you to read this threaded comment; however, any edits to it will get removed if the file is opened in a newer version of Excel. Learn more: https://go.microsoft.com/fwlink/?linkid=870924
Comment:
    BPCL 200 MT</t>
      </text>
    </comment>
    <comment ref="F42" authorId="4" shapeId="0" xr:uid="{6F5B421C-C552-4F48-9EC9-CE3D916E5C79}">
      <text>
        <t>[Threaded comment]
Your version of Excel allows you to read this threaded comment; however, any edits to it will get removed if the file is opened in a newer version of Excel. Learn more: https://go.microsoft.com/fwlink/?linkid=870924
Comment:
    66000 MT of Sumitomo</t>
      </text>
    </comment>
  </commentList>
</comments>
</file>

<file path=xl/sharedStrings.xml><?xml version="1.0" encoding="utf-8"?>
<sst xmlns="http://schemas.openxmlformats.org/spreadsheetml/2006/main" count="630" uniqueCount="410">
  <si>
    <t>FY</t>
  </si>
  <si>
    <t>2017-2018</t>
  </si>
  <si>
    <t>2018-2019</t>
  </si>
  <si>
    <t>2019-2020</t>
  </si>
  <si>
    <t>2020-2021</t>
  </si>
  <si>
    <t>2021-2022</t>
  </si>
  <si>
    <t>2022-2023</t>
  </si>
  <si>
    <t>2023-2024</t>
  </si>
  <si>
    <t>2024-2025</t>
  </si>
  <si>
    <t>2025-2026</t>
  </si>
  <si>
    <t>2026-2027</t>
  </si>
  <si>
    <t>2027-2028</t>
  </si>
  <si>
    <t>2028-2029</t>
  </si>
  <si>
    <t>2029-2030</t>
  </si>
  <si>
    <t>Historic</t>
  </si>
  <si>
    <t>Base</t>
  </si>
  <si>
    <t>Forecasted</t>
  </si>
  <si>
    <t>Demand-Supply Gap</t>
  </si>
  <si>
    <t>Capacity (Metric Tons)</t>
  </si>
  <si>
    <t>Production (Metric Tons)</t>
  </si>
  <si>
    <t>Operating rate (%)</t>
  </si>
  <si>
    <t>Import (Metric Tons)</t>
  </si>
  <si>
    <t>-</t>
  </si>
  <si>
    <t>Export (Metric Tons)</t>
  </si>
  <si>
    <t>Inventory (Metric Tons)</t>
  </si>
  <si>
    <t>Domestic Consumption (Metric Tons)</t>
  </si>
  <si>
    <t>Demand Supply Gap</t>
  </si>
  <si>
    <t>South</t>
  </si>
  <si>
    <t>North</t>
  </si>
  <si>
    <t>India SAP Market, Installed Capacity, By Volume (Metric Tonnes)</t>
  </si>
  <si>
    <t>India SAP Market, Production, By Volume (Metric Tonnes)</t>
  </si>
  <si>
    <t>India SAP Market, Operating Efficiency (%)</t>
  </si>
  <si>
    <t>India SAP Market, Installed Capacity, By Company, By Volume (Metric Tonnes)</t>
  </si>
  <si>
    <t>India SAP Market, Production, By Company, By Volume (Metric Tonnes)</t>
  </si>
  <si>
    <t>India SAP Market, Operating Efficiency, By Company (%)</t>
  </si>
  <si>
    <t>India SAP Market, Demand-Supply Gap</t>
  </si>
  <si>
    <t>India SAP Market, By Product Type, By Volume (Metric Tonnes)</t>
  </si>
  <si>
    <t>India SAP Market, By Region, By Volume (Metric Tonnes)</t>
  </si>
  <si>
    <t>Others</t>
  </si>
  <si>
    <t>Sodium Polyacrylate</t>
  </si>
  <si>
    <t>Potassium Polyacrylate</t>
  </si>
  <si>
    <t>India SAP Market, By End-Use Sectors, By Volume (Metric Tonnes)</t>
  </si>
  <si>
    <t>Personal Care</t>
  </si>
  <si>
    <t>Healthcare</t>
  </si>
  <si>
    <t>Agriculture &amp; Horticulture</t>
  </si>
  <si>
    <t>East</t>
  </si>
  <si>
    <t>India SAP Market, By Product Type, By Volume (%)</t>
  </si>
  <si>
    <t>India SAP Market, By End-Use Sectors, By Volume (%)</t>
  </si>
  <si>
    <t>BPCL</t>
  </si>
  <si>
    <t xml:space="preserve">West </t>
  </si>
  <si>
    <t>Company Name</t>
  </si>
  <si>
    <t>Formosa Plastics Corporation</t>
  </si>
  <si>
    <t>Sumitomo Corporation</t>
  </si>
  <si>
    <t>Itochu Chemical Frontier Corporation</t>
  </si>
  <si>
    <t>Volume(MT) - FY2022</t>
  </si>
  <si>
    <t>SDP Global</t>
  </si>
  <si>
    <t>LG Chem Ltd.</t>
  </si>
  <si>
    <t>ASP</t>
  </si>
  <si>
    <t>ASP(INR per MT)</t>
  </si>
  <si>
    <t>Domestic Consumption (INR Crore)</t>
  </si>
  <si>
    <t>FY2018-FY2022</t>
  </si>
  <si>
    <t>FY2022-FY2025</t>
  </si>
  <si>
    <t>FY2025-FY2030</t>
  </si>
  <si>
    <t>India SAP Market, By Product Type, By Value (INR Crore)</t>
  </si>
  <si>
    <t>India SAP Market, By End-Use Sectors, By Value (INR Crore)</t>
  </si>
  <si>
    <t>India SAP Market, By Region, By Value (INR Crore)</t>
  </si>
  <si>
    <t>Volume %</t>
  </si>
  <si>
    <t>Market Vol</t>
  </si>
  <si>
    <t>Market Value</t>
  </si>
  <si>
    <t>Produces SAP using self developed aqueous solution polymerization process</t>
  </si>
  <si>
    <t>http://www.lgchem.com/upload/file/chinaplas/Division_Info/Acrylates_SAP_vf.pdf</t>
  </si>
  <si>
    <t>The expansion will increase the production capacity of its plants in the southwestern city of Yeosu by 180,000 tpy of crude acrylic acid to 700,000 tpy, and by 100,000 tpy of super absorbent polymer to 500,000 tpy, LG Chem said.</t>
  </si>
  <si>
    <t>https://www.constructionboxscore.com/project-news/lg-chem-to-invest-$278-mm-to-increase-acrylic-acid,-super-absorbent-polymer-output.aspx</t>
  </si>
  <si>
    <r>
      <rPr>
        <b/>
        <sz val="11"/>
        <color theme="1"/>
        <rFont val="Calibri"/>
        <family val="2"/>
        <scheme val="minor"/>
      </rPr>
      <t>August 2021:</t>
    </r>
    <r>
      <rPr>
        <sz val="11"/>
        <color theme="1"/>
        <rFont val="Calibri"/>
        <family val="2"/>
        <scheme val="minor"/>
      </rPr>
      <t xml:space="preserve"> LG Chem announced on the 4th that it mass-produced the world’s first ‘Bio-balanced’ SAP (Super Absorbent Polymer) that received ISCC Plus international certification and shipped its first exports.</t>
    </r>
  </si>
  <si>
    <t>https://www.lgcorp.com/media/release/23687</t>
  </si>
  <si>
    <t>Bio-balanced SAP refers to SAP  attributed to renewable raw materials such as waste and residue oils and fats it is a product that received ISCC Plus certification from ISCC, which is one of the most reputable certification authorities in the world for renewable products.</t>
  </si>
  <si>
    <t>Furthermore, it is the first case that applied the eco-friendly integrated brand ‘LETZero’ that LG Chem recently launched.</t>
  </si>
  <si>
    <t>This product, which was shipped from the Yeosu Plant, will be delivered to ‘Baby Life’, a client of LG Chem located in Jordan, and be used for making diapers, etc.</t>
  </si>
  <si>
    <t>The production of the Bio-balanced SAP takes place in the context of the strategic partnership (MOU) LG Chem entered into last year with Neste, the world’s leading producer of renewable diesel and sustainable aviation fuel, and a forerunner as a provider of renewable and circular solutions for the petrochemical industry.</t>
  </si>
  <si>
    <t>Upon performing a Life Cycle Assessment(LCA), it was determined that LG Chem’s Bio-balanced SAP leads to a significant decrease of 111% in greenhouse gas emissions compared to existing fossil-fuel based products and the assessment has been verified by the Korean Society for Life Cycle Assessment (KSLCA).</t>
  </si>
  <si>
    <t>https://www.lgchem.com/company/company-information/business-domain/petrochemical</t>
  </si>
  <si>
    <t>Production Capacity as of 2022</t>
  </si>
  <si>
    <t>Yeosu Complex</t>
  </si>
  <si>
    <t>Manufacturing Plants</t>
  </si>
  <si>
    <t>https://www.lgchem.com/company/company-information/global-network/domestic-corporation</t>
  </si>
  <si>
    <t>Gimcheon Plant</t>
  </si>
  <si>
    <r>
      <rPr>
        <b/>
        <sz val="11"/>
        <color theme="1"/>
        <rFont val="Calibri"/>
        <family val="2"/>
        <scheme val="minor"/>
      </rPr>
      <t xml:space="preserve">2014 - </t>
    </r>
    <r>
      <rPr>
        <sz val="11"/>
        <color theme="1"/>
        <rFont val="Calibri"/>
        <family val="2"/>
        <scheme val="minor"/>
      </rPr>
      <t>Constructed the expansion of SAP(80,000 tons) factory in Yeosu Complex</t>
    </r>
  </si>
  <si>
    <t>https://www.lgchem.com/company/company-information/company-history</t>
  </si>
  <si>
    <t>https://www.lgchem.com/upload/file/audit-report/LG_Chem_2021_1Q_Consolidated_Financial_Statements_ENG.pdf</t>
  </si>
  <si>
    <t>Revenue</t>
  </si>
  <si>
    <t>Revenue - Global &amp; Segment</t>
  </si>
  <si>
    <t>AQUA KEEP, super absorbent polymer, is a product researched and developed by our company for many years. This resin that absorbs up to 1,000 times its weight in water and is imbued with various added functions because it can be precisely designed in accordance with user needs.</t>
  </si>
  <si>
    <t>Drawing on these functions, this product is used to make disposable diapers, various hygiene products, and industrial products and has drawn high quality evaluations from users.</t>
  </si>
  <si>
    <t>Our company’s products are produced in Japan, Singapore, France, and South Korea, and are used in countries around the world.</t>
  </si>
  <si>
    <t>https://www.sumitomoseika.co.jp/en/product/kyusui/</t>
  </si>
  <si>
    <t>Sumitomo Seika established in 1944, is a chemical company offering products with unique functions. Our products are super absorbent polymers for disposable diapers, functional chemicals, such as polymer products for cosmetics or pharmaceutical products, electronics gases for liquid crystal and LED, and oxygen gas generators for steel manufacturers. </t>
  </si>
  <si>
    <t>https://www.sumitomoseika.co.jp/en/company/outline/</t>
  </si>
  <si>
    <t>https://sanyocorp.com/wp-content/uploads/2012/07/AQUAKEEP.pdf</t>
  </si>
  <si>
    <t>Sumitomo Seika Singapore Pte. Ltd.</t>
  </si>
  <si>
    <t>Manufacturing Locations</t>
  </si>
  <si>
    <t>https://www.sumitomoseika.co.jp/en/company/group/</t>
  </si>
  <si>
    <t>Sumitomo Seika Polymers Korea Co., Ltd.</t>
  </si>
  <si>
    <t>Sumitomo Seika Europe S.A./N.V.</t>
  </si>
  <si>
    <t>Japan, South Korea, Singapore, and France</t>
  </si>
  <si>
    <t>https://www.sumitomoseika.co.jp/_assets/dl/company/outline/sumitomoseika_company_profile@en.pdf?___</t>
  </si>
  <si>
    <t>Himeji Works</t>
  </si>
  <si>
    <t xml:space="preserve">Segment Wise Sales </t>
  </si>
  <si>
    <t>https://ssl4.eir-parts.net/doc/4008/ir_material_for_fiscal_ym4/120539/00.pdf</t>
  </si>
  <si>
    <t>Net Sales</t>
  </si>
  <si>
    <t>Global Production Capacity By Region</t>
  </si>
  <si>
    <t>https://www.sumitomoseika.co.jp/_assets/dl/ir/ir_plan/ir_20191109@en.pdf</t>
  </si>
  <si>
    <t>Total Sales</t>
  </si>
  <si>
    <t>SDP Global, a subsidiary of Sanyo Chemical, is the world leading manufacturer specialized in SAP, and SANWET is SDP Global’s brand with more than 40 years experience.</t>
  </si>
  <si>
    <t>SANWET has more than 20 types of SAP that match various customers’ needs.</t>
  </si>
  <si>
    <t>https://www.sanyo-chemical.co.jp/eng/products_info/superabsorbent-polymer</t>
  </si>
  <si>
    <t>https://www.sanyo-chemical.co.jp/eng/products_info/superabsorbent-polymer/sanwet</t>
  </si>
  <si>
    <t>Product Grades &amp; Specifications</t>
  </si>
  <si>
    <t>https://www.sanyo-chemical.co.jp/eng/products_info/superabsorbent-polymer/about_sdp</t>
  </si>
  <si>
    <t>Johor, Malaysia</t>
  </si>
  <si>
    <t>Jiangsu, China</t>
  </si>
  <si>
    <t>Nagoya Factory, Japan</t>
  </si>
  <si>
    <t>https://www.sanyo-chemical.co.jp/eng/company/figures</t>
  </si>
  <si>
    <t>Sales &amp; Location</t>
  </si>
  <si>
    <t>Its initial production capacity is planned 80,000 tons per year. This provides for our group’s total annual capacity of SAP to 440,000 tons from 360,000 tons, which is combined total output of 130,000 tons in Japan and 230,000 tons in China.</t>
  </si>
  <si>
    <t>https://www.sanyo-chemical.co.jp/eng/wp/wp-content/uploads/2015/09/k150929a_e.pdf</t>
  </si>
  <si>
    <t>Product &amp; Specification</t>
  </si>
  <si>
    <t>Manufacturing Location</t>
  </si>
  <si>
    <t>Production</t>
  </si>
  <si>
    <t>Global Revenue</t>
  </si>
  <si>
    <t>Segment Revenue</t>
  </si>
  <si>
    <t>Key Development, Product Launch, etc.</t>
  </si>
  <si>
    <t>Nagoya, Japan</t>
  </si>
  <si>
    <t>Nantong, China</t>
  </si>
  <si>
    <t>Johor Bahru, Malaysia</t>
  </si>
  <si>
    <t>We have supplied to more than 200 customers, and acquired excellent reputation for our high quality SAP from in customers world wide.</t>
  </si>
  <si>
    <t>We have the production capacity of 420 thousand ton per year in Japan, China, and Malaysia, and also have top range capacity in China.</t>
  </si>
  <si>
    <t>https://www.sanyo-chemical.co.jp/eng/wp/wp-content/uploads/2022/11/Sanyo-Chemical-Group-Integrated-Report-2022.pdf</t>
  </si>
  <si>
    <t>Total &amp; Segment Sales</t>
  </si>
  <si>
    <t>Sanyo Chemical Industries, Ltd. announces that its wholly owned subsidiary SDP Global Co., Ltd. has developed an eco-friendly superabsorbent polymer (SAP) made using plant-based biomass as part of its raw materials and has acquired the Biomass Mark certified by the Japan Organics Recycling Association.</t>
  </si>
  <si>
    <t>https://www.sanyo-chemical.co.jp/eng/archives/5299</t>
  </si>
  <si>
    <t>Sanyo Chemical established in 1949 in Kyoto, Japan, is a global manufacturer and seller of performance chemicals. Beginning as a manufacture of soap and texture agents we have since diversified our product portfolio to meet the needs of the market, Today, we feature over 3,000 different types of products and have established an international presence. Our portfolio of chemicals spans a variety of industries and types, from automotive components to daily-use electronics, as well as cosmetics and medical equipment, all with the aim of creating ore safe and environmentally friendlier offerings, improving lives and societies across the world. We aim to contribute to realize a sustainable society through our corporate activities.</t>
  </si>
  <si>
    <t>https://www.sanyo-chemical.co.jp/eng/wp/wp-content/uploads/2022/09/k20220822.pdf</t>
  </si>
  <si>
    <t>The research group of Associate Professor Tatsuya Tominaga of Bioanalytical Technology, Tokushima University Graduate School of Biomedical Sciences and Professor Koichi Ute of Chemical Science and Technology, Tokushima University Graduate School of Advanced Technology and Science, and Sanyo Chemical Industries, Ltd. (hereafter Sanyo Chemical) have developed a purification method to recover exosomes*1 with high accuracy and yield using a superabsorbent polymer (SAP). Through this technology, the research group of Tokushima university and Sanyo Chemical aim to contribute toward prevention of diseases and extension of healthy life expectancy. We will recruit co-creation partner companies for business development to realize early social implementation.</t>
  </si>
  <si>
    <t>https://www.sanyo-chemical.co.jp/eng/wp/wp-content/uploads/2022/01/k20220124_e.pdf</t>
  </si>
  <si>
    <t>1 KRW=USD</t>
  </si>
  <si>
    <t>Operating Profit</t>
  </si>
  <si>
    <t>USD</t>
  </si>
  <si>
    <t>https://www.lgchem.com/upload/file/audit-report/2021_LG_Chem_Consolidated_Financial_Statements_en[0].pdf</t>
  </si>
  <si>
    <t>Profit Before Tax</t>
  </si>
  <si>
    <t>Petrochemicals</t>
  </si>
  <si>
    <t>LG Energy Solutions</t>
  </si>
  <si>
    <t>Advanced Materials</t>
  </si>
  <si>
    <t>Life Sciences</t>
  </si>
  <si>
    <t>Total</t>
  </si>
  <si>
    <t>Following the expansion, its production plant in Yeosu, South Jeolla Province, has an annual production capacity of 510,000 tons of acrylic acid and 360,000 tons of SAP, the world’s fifth- and fourth-largest capacities, respectively.</t>
  </si>
  <si>
    <t>https://www.koreaherald.com/view.php?ud=20150819001069#:~:text=for%20market%20leadership.-,Following%20the%20expansion%2C%20its%20production%20plant%20in%20Yeosu%2C%20South%20Jeolla,fourth%2Dlargest%20capacities%2C%20respectively.</t>
  </si>
  <si>
    <t>FY2022</t>
  </si>
  <si>
    <t>FY2021</t>
  </si>
  <si>
    <t>1 JPY= USD</t>
  </si>
  <si>
    <t>Sales</t>
  </si>
  <si>
    <t>Operating Income</t>
  </si>
  <si>
    <t>Net Income</t>
  </si>
  <si>
    <t>Super Absorbent Polymers</t>
  </si>
  <si>
    <t>Functional Materials</t>
  </si>
  <si>
    <t>Taiwan</t>
  </si>
  <si>
    <t>Malaysia</t>
  </si>
  <si>
    <t>China</t>
  </si>
  <si>
    <t>Singapore</t>
  </si>
  <si>
    <t>Japan</t>
  </si>
  <si>
    <t>Thailand</t>
  </si>
  <si>
    <t>Indonesia</t>
  </si>
  <si>
    <t>South Korea</t>
  </si>
  <si>
    <t>United Kingdom</t>
  </si>
  <si>
    <t>Itochu</t>
  </si>
  <si>
    <t>https://www.sumitomoseika.co.jp/_assets/dl/csr/responsiblecare/SumitomoseikaReport2022_web_en.pdf</t>
  </si>
  <si>
    <t>New Plant Plans</t>
  </si>
  <si>
    <t>CIF Price (INR/MT)</t>
  </si>
  <si>
    <t>FOB (INR/MT)</t>
  </si>
  <si>
    <t>Pricing</t>
  </si>
  <si>
    <t>Product Name</t>
  </si>
  <si>
    <t>Features</t>
  </si>
  <si>
    <t>Net sales</t>
  </si>
  <si>
    <t>Profit before income taxes</t>
  </si>
  <si>
    <t>We are ranked sixth in the global market, accounting for about 10% of the market share.</t>
  </si>
  <si>
    <t>SDP is a specialist SAP manufacturer founded in September 2013 as a joint venture between Sanyo Chemical Industries (70% stake) and Toyota Tsusho (30%).</t>
  </si>
  <si>
    <t>https://www.sanyo-chemical.co.jp/eng/wp/wp-content/uploads/2013/10/k131030a_e.pdf</t>
  </si>
  <si>
    <t>https://www.sanyo-chemical.co.jp/eng/wp/wp-content/uploads/2022/06/annual_fy21_e_4.pdf</t>
  </si>
  <si>
    <t>Annual Report</t>
  </si>
  <si>
    <t>Formosa Plastics Group was established in 1954. </t>
  </si>
  <si>
    <t>http://www.taisap.com/about.html</t>
  </si>
  <si>
    <t>Formosa Plastics Group evolved into a big corporate with four major business unites, which include, Formosa Plastics Corporation, Nan Ya Plastics Corporation, Formosa Chemicals And Fiber Corporation, Formosa Petrochemical Corporation.</t>
  </si>
  <si>
    <t>Our SAP production initiated in 1993, with brand name as Taisap, in our Sing Kang plant.</t>
  </si>
  <si>
    <t>Sing Kang plant, Mai Liao plant and NingBo plant. SAP capacity totals 200,000 ton per year.</t>
  </si>
  <si>
    <t>Formosa Super Absorbent Polymer (Ningbo): 45,000</t>
  </si>
  <si>
    <t>http://formosa.co.jp/outline/images/pdf/Formosa_Plastics_Group_E.pdf</t>
  </si>
  <si>
    <t>The sales volume of super absorbent polymer (SAP) in 2021 decreased by 9% to 168k tons from 2020 because of the decreasing shipments to the US and Europe markets on shortage of upstream materials, acrylic acid, and surging freight rate.</t>
  </si>
  <si>
    <t>https://www.fpg.com.tw/uploads/images/media-center/ebook-top/2022/2021%E5%B9%B4%E5%A0%B1%E8%8B%B1%E6%96%87%E7%89%88-final.pdf</t>
  </si>
  <si>
    <t>Under Petrochemicals &amp; Chemicals Segment</t>
  </si>
  <si>
    <t>https://www.fpg.com.tw/uploads/images/media-center/ebook-top/FPG%20Introduction2018_en.pdf</t>
  </si>
  <si>
    <t>Formosa Plastics + Sales + PBT</t>
  </si>
  <si>
    <t>Characteristics</t>
  </si>
  <si>
    <t>unit</t>
  </si>
  <si>
    <t>BC283</t>
  </si>
  <si>
    <t>BC383G</t>
  </si>
  <si>
    <t>Apparent Bulk Density</t>
  </si>
  <si>
    <t>Centrifuged Retention Capacity</t>
  </si>
  <si>
    <t>AAP(0.7psi)</t>
  </si>
  <si>
    <t>Average Particle Size</t>
  </si>
  <si>
    <t>Particle Size Distribution (PSD)</t>
  </si>
  <si>
    <t>&gt; 850 μm</t>
  </si>
  <si>
    <t>850-150 μm</t>
  </si>
  <si>
    <t>&lt; 150 μm</t>
  </si>
  <si>
    <t>g/L</t>
  </si>
  <si>
    <t>g/g</t>
  </si>
  <si>
    <t>μm</t>
  </si>
  <si>
    <t>%</t>
  </si>
  <si>
    <t>580-700</t>
  </si>
  <si>
    <t>&lt;1</t>
  </si>
  <si>
    <t>&gt;97</t>
  </si>
  <si>
    <t>&lt;2</t>
  </si>
  <si>
    <t>Exterior</t>
  </si>
  <si>
    <t>Particle Size Distribution (microns)</t>
  </si>
  <si>
    <t>Density (g/L)</t>
  </si>
  <si>
    <t>Solubility pH</t>
  </si>
  <si>
    <t>Value (1g/1liter of purified water)</t>
  </si>
  <si>
    <t>Residual Acrylic Acid (ppm)</t>
  </si>
  <si>
    <t>Purified Water Absorption Rate (times)</t>
  </si>
  <si>
    <t>White Powder</t>
  </si>
  <si>
    <t>850-150</t>
  </si>
  <si>
    <t>600-700</t>
  </si>
  <si>
    <t>insoluble in water and organic solvents</t>
  </si>
  <si>
    <t xml:space="preserve"> 6-7</t>
  </si>
  <si>
    <t>&lt;1000</t>
  </si>
  <si>
    <t>&gt;300</t>
  </si>
  <si>
    <t>TAIRYSORB Product Specification</t>
  </si>
  <si>
    <t>Apparent Bulk Density (g/L)</t>
  </si>
  <si>
    <t>Centrifuged Retention Capacity (g/g)</t>
  </si>
  <si>
    <t>AAP(0.7psi) (g/g)</t>
  </si>
  <si>
    <t>Average Particle Size (μm)</t>
  </si>
  <si>
    <t>&gt; 850 μm (%)</t>
  </si>
  <si>
    <t>850-150 μm (%)</t>
  </si>
  <si>
    <t>&lt; 150 μm (%)</t>
  </si>
  <si>
    <t>Taiwan, China</t>
  </si>
  <si>
    <t>Mailiao</t>
  </si>
  <si>
    <t>Hsinkang</t>
  </si>
  <si>
    <t>Ningbo</t>
  </si>
  <si>
    <t>Global Demand</t>
  </si>
  <si>
    <t>http://www.fpc.com.tw/fpcwuploads/files/2019_1301_20200610.pdf</t>
  </si>
  <si>
    <t>Page 179</t>
  </si>
  <si>
    <t>Consumption Norms</t>
  </si>
  <si>
    <t>http://www.fpc.com.tw/fpcwuploads/files/FPC_2016%20CSR_EN-Final.pdf</t>
  </si>
  <si>
    <t>Revenue By Segment</t>
  </si>
  <si>
    <t>Divisions</t>
  </si>
  <si>
    <t>Plastics Division</t>
  </si>
  <si>
    <t>Polyolefin Division</t>
  </si>
  <si>
    <t>Polypropylene Division</t>
  </si>
  <si>
    <t>Tairylan Division</t>
  </si>
  <si>
    <t>Chemicals Division</t>
  </si>
  <si>
    <t>Carbide Division</t>
  </si>
  <si>
    <t>% of Total Sales (2019)</t>
  </si>
  <si>
    <t>Income Before Tax</t>
  </si>
  <si>
    <t>End-Use</t>
  </si>
  <si>
    <t>Products Offered</t>
  </si>
  <si>
    <t>Baby Care</t>
  </si>
  <si>
    <t>BC388 series/GK series</t>
  </si>
  <si>
    <t>Adult Incontinence</t>
  </si>
  <si>
    <t>BC283UT/BC586G, BC683 series</t>
  </si>
  <si>
    <t>Femi Care</t>
  </si>
  <si>
    <t>BC283FHA, BC191</t>
  </si>
  <si>
    <t>Under Pad</t>
  </si>
  <si>
    <t>BC283HA/BC283FHA</t>
  </si>
  <si>
    <t>Agriculture</t>
  </si>
  <si>
    <t>AG301/AG302</t>
  </si>
  <si>
    <t>GK402</t>
  </si>
  <si>
    <t>Engineering &amp; Construction Division</t>
  </si>
  <si>
    <t>Nippon Shokubai</t>
  </si>
  <si>
    <t xml:space="preserve">QINGDAO SOCO NEW MATERIAL CO.,LTD </t>
  </si>
  <si>
    <t xml:space="preserve">SHANGHAI CELECHEM INDUSTRY CO.,LTD </t>
  </si>
  <si>
    <t>YIXING DANSON SCIENCE AND TECHNOLOGY CO LTD</t>
  </si>
  <si>
    <t>Value (INR Crore)</t>
  </si>
  <si>
    <t>ASP (INR/MT)</t>
  </si>
  <si>
    <t>AQUALIC™ CA</t>
  </si>
  <si>
    <t>AQUALIC™ CS</t>
  </si>
  <si>
    <t>ACRYHOPE™</t>
  </si>
  <si>
    <t>Appearance</t>
  </si>
  <si>
    <t>White powder</t>
  </si>
  <si>
    <t>Deionized Water</t>
  </si>
  <si>
    <t>300-1,000</t>
  </si>
  <si>
    <t>100-200</t>
  </si>
  <si>
    <t>200-300</t>
  </si>
  <si>
    <t>30-60</t>
  </si>
  <si>
    <t>30-40</t>
  </si>
  <si>
    <t>ー</t>
  </si>
  <si>
    <t>20-30</t>
  </si>
  <si>
    <t>Average Particle Diameter (μm)</t>
  </si>
  <si>
    <t>300-450</t>
  </si>
  <si>
    <t>10-100</t>
  </si>
  <si>
    <t>800-1,000</t>
  </si>
  <si>
    <t>Examples of Applications</t>
  </si>
  <si>
    <t>Disposable diapers, Feminine hygiene products, Pet sheets, Refrigerants, Disposable hand and body warmers, Waste liquid solidifiers, Air fresheners, Drip sheets</t>
  </si>
  <si>
    <t>Water blocking agents for civil engineering,Water blocking agents for cables</t>
  </si>
  <si>
    <t>Water retaining agents for horticulture, growing grass, and planting trees and shrubs for greenery</t>
  </si>
  <si>
    <t>General-purpose type (Daily-use items)</t>
  </si>
  <si>
    <t>Salt-tolerant type (Civil engineering)</t>
  </si>
  <si>
    <t>For water retaining agents (Horticulture)</t>
  </si>
  <si>
    <t>Absorption Amount (g/g-SAP)</t>
  </si>
  <si>
    <t>Normal Saline Solution (NSS)</t>
  </si>
  <si>
    <t>Artificial Seawater</t>
  </si>
  <si>
    <t>Calcium Chloride Aqueous Solution</t>
  </si>
  <si>
    <t xml:space="preserve"> 10-20</t>
  </si>
  <si>
    <t xml:space="preserve"> 1-5</t>
  </si>
  <si>
    <t xml:space="preserve"> 10-15</t>
  </si>
  <si>
    <t>https://www.shokubai.co.jp/en/products/detail/sap/</t>
  </si>
  <si>
    <t>Manufacturing Capacity</t>
  </si>
  <si>
    <t>The SAP produced at the Belgium subsidiary NIPPON SHOKUBAI EUROPE N.V. has acquired Biomass Certification from the International Sustainability &amp; Carbon Certification (ISCC) Association.
Nippon Shokubai has jointly developed new technologies for recycling superabsorbent polymers (SAP) in used disposable diapers.</t>
  </si>
  <si>
    <t>Nippon Shokubai produces SAP in an integrated system, starting with the raw material of acrylic acid.</t>
  </si>
  <si>
    <t>Developed New Recycling Technology for Superabsorbent Polymers</t>
  </si>
  <si>
    <t>https://www.shokubai.co.jp/en/news/202011057222/</t>
  </si>
  <si>
    <t>Nippon Shokubai Obtains ISCC PLUS for Superabsorbent Polymers Derived from Caustic Soda Produced from Renewable Energy -Contributing to the reduction of the environmental impact of disposable diapers-</t>
  </si>
  <si>
    <t>https://www.shokubai.co.jp/en/news/202203047412/</t>
  </si>
  <si>
    <t>“Nippon Shokubai”) announces that in collaboration with ALGO ARTIS CORPORATION (hereinafter “ALGO ARTIS”) it has developed an optimization solution for the production planning of superabsorbent polymers (SAP) with an Algorithm (AI) and has started its official operation.</t>
  </si>
  <si>
    <t>https://www.shokubai.co.jp/en/news/202210047422/</t>
  </si>
  <si>
    <t>We began mass-producing AQUALIC™ CA, known as superabsorbent polymers, in 1985 using acrylic acid as a raw material</t>
  </si>
  <si>
    <t>https://www.shokubai.co.jp/en/docs/company/profile.pdf</t>
  </si>
  <si>
    <t>Sales of superabsorbent polymers increased due to higher selling prices in line with rising raw material prices and product overseas market conditions, as well as an increase in sales volume.</t>
  </si>
  <si>
    <t>https://www.shokubai.co.jp/en/wordpress/wp-content/uploads/2022/11/technoamenity_report2022.pdf</t>
  </si>
  <si>
    <t>Profit before income tax (loss)</t>
  </si>
  <si>
    <t>Millions of Yen</t>
  </si>
  <si>
    <t>USD Million</t>
  </si>
  <si>
    <t>Environment &amp; Catalyst</t>
  </si>
  <si>
    <t>Operating profit (loss)</t>
  </si>
  <si>
    <t>Basic Chemicals</t>
  </si>
  <si>
    <t>Functional Chemicals</t>
  </si>
  <si>
    <t>Sumitomo Seika Chemicals Co., Ltd.</t>
  </si>
  <si>
    <t>Sanyo Chemicals Industries, Ltd. (SDP Global)</t>
  </si>
  <si>
    <t>Nippon Shokubai Co., Ltd.</t>
  </si>
  <si>
    <t>Volume (MT)</t>
  </si>
  <si>
    <t>Our superabsorbents are produced at sites in Krefeld and Rheinmünster (Germany), Greensboro NC and Garyville LA (USA) as well as in Al Jubail (Saudi Arabia).</t>
  </si>
  <si>
    <t>https://www.superabsorber.com/en/about</t>
  </si>
  <si>
    <t>Other production facilities include Rheinmünster (for superabsorbents) and Marl (acrylic acid). We also have production plants in the USA, in Greensboro, NC and Garyville, LA (superabsorbents) and a joint venture site in Al Jubail, Saudi Arabia (superabsorbents). In addition, we maintain laboratories for research, development and application technology in Krefeld (Germany) and Greensboro (USA). </t>
  </si>
  <si>
    <t>https://www.superabsorber.com/en/applications/favor</t>
  </si>
  <si>
    <t>The company's global facilities currently have a production capacity of approximately 570,000 metric tons a year.</t>
  </si>
  <si>
    <t>https://corporate.evonik.com/de/presse/pressemitteilungen/products/evonik-strengthens-leading-market-position-in-superabsorbent-polymers-with-flexible-and-cost-optimiz-105083.html#:~:text=Evonik%20is%20a%20leading%20global,570%2C000%20metric%20tons%20a%20year.</t>
  </si>
  <si>
    <t>https://www.nonwovens-industry.com/issues/2021-01-01/view_far-east-report/superabsorbent-polymer-makers-in-the-world-and-their-production-capacities/</t>
  </si>
  <si>
    <t>All companies' capacities</t>
  </si>
  <si>
    <t>On April 6, 2022, the European Commission has published its decision to impose anti-dumping measures on imports of superabsorbent polymers (“SAP”) into the European Union, originating in the Republic of Korea. The anti-dumping duty rates are 13.4 percent on imports by LG Chem Ltd. and 18.8 percent against imports of SAP from all other companies in the Republic of Korea.</t>
  </si>
  <si>
    <t>https://corporate.evonik.com/en/investor-relations/eu-imposes-anti-dumping-measures-on-korean-superabsorbent-polymer-imports-172431.html</t>
  </si>
  <si>
    <t>Global SAP demand have reached 3.03m tpa with growth rate at 3.5% while global SAP capacity has increased from 3.76m tpa to 4.18m tpa with growth rate 11%.</t>
  </si>
  <si>
    <t>Capacity</t>
  </si>
  <si>
    <t>Operating Efficiency</t>
  </si>
  <si>
    <t>Demand</t>
  </si>
  <si>
    <t>China’s annual capacity is 740,000 tons/year (23% share); Japan’s annual capacity is 660,000 tons/year (20% share); Europe’s annual capacity is 542,000 tons/year (17% share); the U.S.’s annual capacity is 501,000 tons/year (16% share); Korea’s annual capacity is 360,000 tons/year (11% share); and others are 434,000 tons/year (13% share). Due to the high demand for SAP in China, production capacity in the country will grow significantly in the future.</t>
  </si>
  <si>
    <t>https://www.nonwovens-industry.com/issues/2015-11-01/view_far-east-report/an-update-on-the-global-superabsorbent-polymer-producers/?widget=listSection</t>
  </si>
  <si>
    <t>BASF</t>
  </si>
  <si>
    <t>Evonik</t>
  </si>
  <si>
    <t>LG Chem</t>
  </si>
  <si>
    <t>Sumitomo</t>
  </si>
  <si>
    <t>Sanyo</t>
  </si>
  <si>
    <t>Formosa</t>
  </si>
  <si>
    <t>CY</t>
  </si>
  <si>
    <t>Global</t>
  </si>
  <si>
    <t>CY2018-CY2022</t>
  </si>
  <si>
    <t>CY2022-CY2025</t>
  </si>
  <si>
    <t>CY2025-CY2030</t>
  </si>
  <si>
    <t xml:space="preserve">Country </t>
  </si>
  <si>
    <t>US</t>
  </si>
  <si>
    <t>Europe</t>
  </si>
  <si>
    <t>Capacity (KT)</t>
  </si>
  <si>
    <t>Brazil</t>
  </si>
  <si>
    <t>Sinagpore</t>
  </si>
  <si>
    <t>Belgium</t>
  </si>
  <si>
    <t>Germany</t>
  </si>
  <si>
    <t>Saudi Arabia</t>
  </si>
  <si>
    <t>Countries</t>
  </si>
  <si>
    <t>Capacity CY 2022</t>
  </si>
  <si>
    <t>Production CY2022</t>
  </si>
  <si>
    <t>Essity Aktiebolag (AB)</t>
  </si>
  <si>
    <t>Kao Corporation</t>
  </si>
  <si>
    <t>Kimberly-Clark Corporation</t>
  </si>
  <si>
    <t>Procter &amp; Gamble Company (P&amp;G)</t>
  </si>
  <si>
    <t>Unicharm Corporation</t>
  </si>
  <si>
    <t>Ontex</t>
  </si>
  <si>
    <t>Nobel Hygiene</t>
  </si>
  <si>
    <t>Domtar</t>
  </si>
  <si>
    <t>Bumkins</t>
  </si>
  <si>
    <t>Hengan International Group</t>
  </si>
  <si>
    <t>Lagos, Nigeria
Tianjin, China</t>
  </si>
  <si>
    <t>https://www.spglobal.com/commodityinsights/en/ci/products/superabsorbentpolymers.html</t>
  </si>
  <si>
    <t>Regional Shares</t>
  </si>
  <si>
    <t>Moreover, unlike the US and Europe, where the high penetration levels of baby diapers and feminine hygiene products have peaked, there are significant avenues for growth in China, India, ASEAN countries (especially Indonesia, Vietnam, and Thailand), and those in Africa (Nigeria, Ethiopia, and Kenya, among others).</t>
  </si>
  <si>
    <t>https://insights.frost.com/gl_pr_cmn_jbrinkley_mfec_polymer_may21</t>
  </si>
  <si>
    <t>India</t>
  </si>
  <si>
    <t>Vietnam</t>
  </si>
  <si>
    <t>Nigeria</t>
  </si>
  <si>
    <t>Ethiopia</t>
  </si>
  <si>
    <t>Kenya</t>
  </si>
  <si>
    <t>Europe Market Size</t>
  </si>
  <si>
    <t>https://www.news.kimberly-clark.com/press-releases?item=125312</t>
  </si>
  <si>
    <t>Americas</t>
  </si>
  <si>
    <t>MEA</t>
  </si>
  <si>
    <t>Italy</t>
  </si>
  <si>
    <t>France</t>
  </si>
  <si>
    <t>South Africa</t>
  </si>
  <si>
    <t>Manufacturing</t>
  </si>
  <si>
    <t>2030-2031</t>
  </si>
  <si>
    <t>2031-2032</t>
  </si>
  <si>
    <t>2032-2033</t>
  </si>
  <si>
    <t>FY2018-FY2023</t>
  </si>
  <si>
    <t>FY2023-FY2028</t>
  </si>
  <si>
    <t>FY2028-FY2033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</si>
</sst>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_ * #,##0_ ;_ * \-#,##0_ ;_ * &quot;-&quot;??_ ;_ @_ "/>
    <numFmt numFmtId="165" formatCode="0.0%"/>
    <numFmt numFmtId="166" formatCode="0.0"/>
    <numFmt numFmtId="167" formatCode="_ * #,##0.0_ ;_ * \-#,##0.0_ ;_ * &quot;-&quot;??_ ;_ @_ "/>
    <numFmt numFmtId="168" formatCode="0.000%"/>
  </numFmts>
  <fonts count="11"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sz val="12"/>
      <color theme="1"/>
      <name val="Arial"/>
      <family val="2"/>
    </font>
    <font>
      <sz val="8"/>
      <name val="Calibri"/>
      <family val="2"/>
      <scheme val="minor"/>
    </font>
    <font>
      <sz val="10"/>
      <color theme="1"/>
      <name val="Arial"/>
      <family val="2"/>
    </font>
    <font>
      <u/>
      <sz val="11"/>
      <color theme="10"/>
      <name val="Calibri"/>
      <family val="2"/>
      <scheme val="minor"/>
    </font>
    <font>
      <sz val="10"/>
      <color theme="1"/>
      <name val="Calibri"/>
      <family val="2"/>
      <scheme val="minor"/>
    </font>
  </fonts>
  <fills count="12">
    <fill>
      <patternFill patternType="none"/>
    </fill>
    <fill>
      <patternFill patternType="gray125"/>
    </fill>
    <fill>
      <patternFill patternType="solid">
        <fgColor theme="8" tint="-0.49998474074526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00"/>
        <bgColor indexed="64"/>
      </patternFill>
    </fill>
  </fills>
  <borders count="15">
    <border>
      <left/>
      <right/>
      <top/>
      <bottom/>
      <diagonal/>
    </border>
    <border>
      <left/>
      <right/>
      <top style="thin">
        <color theme="1"/>
      </top>
      <bottom/>
      <diagonal/>
    </border>
    <border>
      <left/>
      <right/>
      <top style="thin">
        <color theme="1"/>
      </top>
      <bottom style="thin">
        <color theme="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9" fillId="0" borderId="0" applyNumberFormat="0" applyFill="0" applyBorder="0" applyAlignment="0" applyProtection="0"/>
  </cellStyleXfs>
  <cellXfs count="220">
    <xf numFmtId="0" fontId="0" fillId="0" borderId="0" xfId="0"/>
    <xf numFmtId="0" fontId="2" fillId="2" borderId="0" xfId="0" applyFont="1" applyFill="1" applyAlignment="1">
      <alignment horizontal="center" vertical="center"/>
    </xf>
    <xf numFmtId="0" fontId="3" fillId="4" borderId="0" xfId="0" applyFont="1" applyFill="1" applyAlignment="1">
      <alignment horizontal="left" vertical="center"/>
    </xf>
    <xf numFmtId="0" fontId="0" fillId="0" borderId="0" xfId="0" applyAlignment="1">
      <alignment horizontal="left" vertical="center"/>
    </xf>
    <xf numFmtId="0" fontId="3" fillId="6" borderId="0" xfId="0" applyFont="1" applyFill="1" applyAlignment="1">
      <alignment horizontal="left" vertical="center" wrapText="1"/>
    </xf>
    <xf numFmtId="0" fontId="3" fillId="7" borderId="0" xfId="0" applyFont="1" applyFill="1" applyAlignment="1">
      <alignment horizontal="left" vertical="center"/>
    </xf>
    <xf numFmtId="0" fontId="3" fillId="0" borderId="0" xfId="0" applyFont="1" applyAlignment="1">
      <alignment horizontal="left" vertical="center"/>
    </xf>
    <xf numFmtId="1" fontId="6" fillId="0" borderId="0" xfId="0" applyNumberFormat="1" applyFont="1" applyAlignment="1">
      <alignment horizontal="center" vertical="center"/>
    </xf>
    <xf numFmtId="0" fontId="3" fillId="7" borderId="0" xfId="0" applyFont="1" applyFill="1" applyAlignment="1">
      <alignment horizontal="left"/>
    </xf>
    <xf numFmtId="0" fontId="3" fillId="6" borderId="0" xfId="0" applyFont="1" applyFill="1" applyAlignment="1">
      <alignment horizontal="left" wrapText="1"/>
    </xf>
    <xf numFmtId="9" fontId="6" fillId="0" borderId="0" xfId="2" applyFont="1" applyAlignment="1">
      <alignment horizontal="center" vertical="center"/>
    </xf>
    <xf numFmtId="165" fontId="6" fillId="0" borderId="0" xfId="2" applyNumberFormat="1" applyFont="1" applyAlignment="1">
      <alignment horizontal="center" vertical="center"/>
    </xf>
    <xf numFmtId="0" fontId="3" fillId="0" borderId="0" xfId="0" applyFont="1" applyAlignment="1">
      <alignment horizontal="left"/>
    </xf>
    <xf numFmtId="9" fontId="0" fillId="0" borderId="8" xfId="2" applyFont="1" applyBorder="1" applyAlignment="1">
      <alignment horizontal="center" vertical="center"/>
    </xf>
    <xf numFmtId="9" fontId="0" fillId="0" borderId="9" xfId="2" applyFont="1" applyBorder="1" applyAlignment="1">
      <alignment horizontal="center" vertical="center"/>
    </xf>
    <xf numFmtId="9" fontId="0" fillId="0" borderId="11" xfId="2" applyFont="1" applyFill="1" applyBorder="1" applyAlignment="1">
      <alignment horizontal="center" vertical="center"/>
    </xf>
    <xf numFmtId="9" fontId="0" fillId="0" borderId="12" xfId="2" applyFont="1" applyFill="1" applyBorder="1" applyAlignment="1">
      <alignment horizontal="center" vertical="center"/>
    </xf>
    <xf numFmtId="0" fontId="0" fillId="0" borderId="0" xfId="0" applyAlignment="1">
      <alignment horizontal="center" vertical="center"/>
    </xf>
    <xf numFmtId="0" fontId="3" fillId="3" borderId="1" xfId="0" applyFont="1" applyFill="1" applyBorder="1" applyAlignment="1">
      <alignment horizontal="center" vertical="center"/>
    </xf>
    <xf numFmtId="164" fontId="0" fillId="0" borderId="3" xfId="0" applyNumberFormat="1" applyBorder="1" applyAlignment="1">
      <alignment horizontal="center" vertical="center"/>
    </xf>
    <xf numFmtId="164" fontId="0" fillId="0" borderId="4" xfId="0" applyNumberFormat="1" applyBorder="1" applyAlignment="1">
      <alignment horizontal="center" vertical="center"/>
    </xf>
    <xf numFmtId="164" fontId="0" fillId="0" borderId="5" xfId="0" applyNumberFormat="1" applyBorder="1" applyAlignment="1">
      <alignment horizontal="center" vertical="center"/>
    </xf>
    <xf numFmtId="9" fontId="4" fillId="0" borderId="0" xfId="2" applyFont="1" applyFill="1" applyAlignment="1">
      <alignment horizontal="center" vertical="center"/>
    </xf>
    <xf numFmtId="164" fontId="0" fillId="0" borderId="6" xfId="1" applyNumberFormat="1" applyFont="1" applyBorder="1" applyAlignment="1">
      <alignment horizontal="center" vertical="center"/>
    </xf>
    <xf numFmtId="164" fontId="0" fillId="0" borderId="0" xfId="1" applyNumberFormat="1" applyFont="1" applyBorder="1" applyAlignment="1">
      <alignment horizontal="center" vertical="center"/>
    </xf>
    <xf numFmtId="164" fontId="0" fillId="0" borderId="7" xfId="1" applyNumberFormat="1" applyFont="1" applyBorder="1" applyAlignment="1">
      <alignment horizontal="center" vertical="center"/>
    </xf>
    <xf numFmtId="165" fontId="4" fillId="5" borderId="2" xfId="2" applyNumberFormat="1" applyFont="1" applyFill="1" applyBorder="1" applyAlignment="1">
      <alignment horizontal="center" vertical="center"/>
    </xf>
    <xf numFmtId="164" fontId="0" fillId="0" borderId="0" xfId="1" applyNumberFormat="1" applyFont="1" applyAlignment="1">
      <alignment horizontal="center" vertical="center"/>
    </xf>
    <xf numFmtId="9" fontId="0" fillId="0" borderId="10" xfId="2" applyFont="1" applyBorder="1" applyAlignment="1">
      <alignment horizontal="center" vertical="center"/>
    </xf>
    <xf numFmtId="1" fontId="0" fillId="0" borderId="0" xfId="0" applyNumberFormat="1" applyAlignment="1">
      <alignment horizontal="center" vertical="center"/>
    </xf>
    <xf numFmtId="165" fontId="0" fillId="0" borderId="0" xfId="0" applyNumberFormat="1" applyAlignment="1">
      <alignment horizontal="center" vertical="center"/>
    </xf>
    <xf numFmtId="164" fontId="0" fillId="0" borderId="0" xfId="0" applyNumberFormat="1" applyAlignment="1">
      <alignment horizontal="center" vertical="center"/>
    </xf>
    <xf numFmtId="9" fontId="0" fillId="0" borderId="0" xfId="2" applyFont="1" applyAlignment="1">
      <alignment horizontal="center" vertical="center"/>
    </xf>
    <xf numFmtId="1" fontId="0" fillId="0" borderId="0" xfId="2" applyNumberFormat="1" applyFont="1" applyAlignment="1">
      <alignment horizontal="center" vertical="center"/>
    </xf>
    <xf numFmtId="3" fontId="0" fillId="0" borderId="11" xfId="0" applyNumberFormat="1" applyBorder="1" applyAlignment="1">
      <alignment horizontal="center" vertical="center"/>
    </xf>
    <xf numFmtId="3" fontId="0" fillId="0" borderId="12" xfId="0" applyNumberFormat="1" applyBorder="1" applyAlignment="1">
      <alignment horizontal="center" vertical="center"/>
    </xf>
    <xf numFmtId="3" fontId="0" fillId="0" borderId="13" xfId="0" applyNumberFormat="1" applyBorder="1" applyAlignment="1">
      <alignment horizontal="center" vertical="center"/>
    </xf>
    <xf numFmtId="3" fontId="0" fillId="0" borderId="0" xfId="0" applyNumberFormat="1" applyAlignment="1">
      <alignment horizontal="center" vertical="center"/>
    </xf>
    <xf numFmtId="9" fontId="0" fillId="0" borderId="0" xfId="2" applyFont="1" applyFill="1" applyAlignment="1">
      <alignment horizontal="center" vertical="center"/>
    </xf>
    <xf numFmtId="164" fontId="0" fillId="0" borderId="0" xfId="1" applyNumberFormat="1" applyFont="1" applyFill="1" applyAlignment="1">
      <alignment horizontal="center" vertical="center"/>
    </xf>
    <xf numFmtId="164" fontId="0" fillId="0" borderId="0" xfId="2" applyNumberFormat="1" applyFont="1" applyAlignment="1">
      <alignment horizontal="center" vertical="center"/>
    </xf>
    <xf numFmtId="164" fontId="0" fillId="0" borderId="12" xfId="1" applyNumberFormat="1" applyFont="1" applyFill="1" applyBorder="1" applyAlignment="1">
      <alignment horizontal="center" vertical="center"/>
    </xf>
    <xf numFmtId="164" fontId="0" fillId="0" borderId="13" xfId="1" applyNumberFormat="1" applyFont="1" applyFill="1" applyBorder="1" applyAlignment="1">
      <alignment horizontal="center" vertical="center"/>
    </xf>
    <xf numFmtId="9" fontId="5" fillId="0" borderId="0" xfId="0" applyNumberFormat="1" applyFont="1" applyAlignment="1">
      <alignment horizontal="center" vertical="center"/>
    </xf>
    <xf numFmtId="1" fontId="5" fillId="0" borderId="0" xfId="0" applyNumberFormat="1" applyFont="1" applyAlignment="1">
      <alignment horizontal="center" vertical="center"/>
    </xf>
    <xf numFmtId="9" fontId="0" fillId="0" borderId="0" xfId="0" applyNumberFormat="1" applyAlignment="1">
      <alignment horizontal="center" vertical="center"/>
    </xf>
    <xf numFmtId="9" fontId="0" fillId="0" borderId="13" xfId="2" applyFont="1" applyFill="1" applyBorder="1" applyAlignment="1">
      <alignment horizontal="center" vertical="center"/>
    </xf>
    <xf numFmtId="9" fontId="0" fillId="0" borderId="0" xfId="2" applyFont="1" applyBorder="1" applyAlignment="1">
      <alignment horizontal="center" vertical="center"/>
    </xf>
    <xf numFmtId="9" fontId="0" fillId="0" borderId="7" xfId="2" applyFont="1" applyBorder="1" applyAlignment="1">
      <alignment horizontal="center" vertical="center"/>
    </xf>
    <xf numFmtId="164" fontId="0" fillId="0" borderId="0" xfId="1" quotePrefix="1" applyNumberFormat="1" applyFont="1" applyBorder="1" applyAlignment="1">
      <alignment horizontal="center" vertical="center"/>
    </xf>
    <xf numFmtId="164" fontId="0" fillId="0" borderId="7" xfId="1" quotePrefix="1" applyNumberFormat="1" applyFont="1" applyBorder="1" applyAlignment="1">
      <alignment horizontal="center" vertical="center"/>
    </xf>
    <xf numFmtId="164" fontId="0" fillId="0" borderId="6" xfId="0" applyNumberFormat="1" applyBorder="1" applyAlignment="1">
      <alignment horizontal="center" vertical="center"/>
    </xf>
    <xf numFmtId="164" fontId="0" fillId="0" borderId="8" xfId="1" quotePrefix="1" applyNumberFormat="1" applyFont="1" applyBorder="1" applyAlignment="1">
      <alignment horizontal="center" vertical="center"/>
    </xf>
    <xf numFmtId="164" fontId="0" fillId="0" borderId="9" xfId="1" quotePrefix="1" applyNumberFormat="1" applyFont="1" applyBorder="1" applyAlignment="1">
      <alignment horizontal="center" vertical="center"/>
    </xf>
    <xf numFmtId="164" fontId="0" fillId="0" borderId="9" xfId="1" applyNumberFormat="1" applyFont="1" applyFill="1" applyBorder="1" applyAlignment="1">
      <alignment horizontal="center" vertical="center"/>
    </xf>
    <xf numFmtId="164" fontId="0" fillId="0" borderId="10" xfId="1" applyNumberFormat="1" applyFont="1" applyFill="1" applyBorder="1" applyAlignment="1">
      <alignment horizontal="center" vertical="center"/>
    </xf>
    <xf numFmtId="164" fontId="0" fillId="0" borderId="7" xfId="0" applyNumberFormat="1" applyBorder="1" applyAlignment="1">
      <alignment horizontal="center" vertical="center"/>
    </xf>
    <xf numFmtId="164" fontId="0" fillId="0" borderId="8" xfId="0" applyNumberFormat="1" applyBorder="1" applyAlignment="1">
      <alignment horizontal="center" vertical="center"/>
    </xf>
    <xf numFmtId="164" fontId="0" fillId="0" borderId="9" xfId="0" applyNumberFormat="1" applyBorder="1" applyAlignment="1">
      <alignment horizontal="center" vertical="center"/>
    </xf>
    <xf numFmtId="164" fontId="0" fillId="0" borderId="10" xfId="0" applyNumberFormat="1" applyBorder="1" applyAlignment="1">
      <alignment horizontal="center" vertical="center"/>
    </xf>
    <xf numFmtId="165" fontId="4" fillId="0" borderId="0" xfId="2" applyNumberFormat="1" applyFont="1" applyFill="1" applyBorder="1" applyAlignment="1">
      <alignment horizontal="center" vertical="center"/>
    </xf>
    <xf numFmtId="164" fontId="0" fillId="0" borderId="0" xfId="0" applyNumberFormat="1" applyAlignment="1">
      <alignment horizontal="center"/>
    </xf>
    <xf numFmtId="9" fontId="0" fillId="0" borderId="0" xfId="2" applyFont="1" applyBorder="1" applyAlignment="1">
      <alignment horizontal="center"/>
    </xf>
    <xf numFmtId="0" fontId="0" fillId="0" borderId="0" xfId="0" applyAlignment="1">
      <alignment horizontal="center"/>
    </xf>
    <xf numFmtId="165" fontId="0" fillId="0" borderId="0" xfId="0" applyNumberFormat="1" applyAlignment="1">
      <alignment horizontal="center"/>
    </xf>
    <xf numFmtId="165" fontId="0" fillId="0" borderId="6" xfId="2" applyNumberFormat="1" applyFont="1" applyBorder="1" applyAlignment="1">
      <alignment horizontal="center"/>
    </xf>
    <xf numFmtId="165" fontId="0" fillId="0" borderId="0" xfId="2" applyNumberFormat="1" applyFont="1" applyBorder="1" applyAlignment="1">
      <alignment horizontal="center"/>
    </xf>
    <xf numFmtId="165" fontId="0" fillId="0" borderId="8" xfId="2" applyNumberFormat="1" applyFont="1" applyBorder="1" applyAlignment="1">
      <alignment horizontal="center"/>
    </xf>
    <xf numFmtId="166" fontId="0" fillId="0" borderId="3" xfId="2" applyNumberFormat="1" applyFont="1" applyBorder="1" applyAlignment="1">
      <alignment horizontal="center"/>
    </xf>
    <xf numFmtId="166" fontId="0" fillId="0" borderId="4" xfId="2" applyNumberFormat="1" applyFont="1" applyBorder="1" applyAlignment="1">
      <alignment horizontal="center"/>
    </xf>
    <xf numFmtId="166" fontId="0" fillId="0" borderId="6" xfId="2" applyNumberFormat="1" applyFont="1" applyBorder="1" applyAlignment="1">
      <alignment horizontal="center"/>
    </xf>
    <xf numFmtId="166" fontId="0" fillId="0" borderId="0" xfId="2" applyNumberFormat="1" applyFont="1" applyBorder="1" applyAlignment="1">
      <alignment horizontal="center"/>
    </xf>
    <xf numFmtId="166" fontId="0" fillId="0" borderId="8" xfId="2" applyNumberFormat="1" applyFont="1" applyBorder="1" applyAlignment="1">
      <alignment horizontal="center"/>
    </xf>
    <xf numFmtId="166" fontId="0" fillId="0" borderId="9" xfId="2" applyNumberFormat="1" applyFont="1" applyBorder="1" applyAlignment="1">
      <alignment horizontal="center"/>
    </xf>
    <xf numFmtId="165" fontId="0" fillId="0" borderId="0" xfId="2" applyNumberFormat="1" applyFont="1" applyFill="1" applyBorder="1" applyAlignment="1">
      <alignment horizontal="center"/>
    </xf>
    <xf numFmtId="0" fontId="2" fillId="2" borderId="0" xfId="0" applyFont="1" applyFill="1" applyAlignment="1">
      <alignment horizontal="left" vertical="center"/>
    </xf>
    <xf numFmtId="0" fontId="3" fillId="6" borderId="0" xfId="0" applyFont="1" applyFill="1" applyAlignment="1">
      <alignment horizontal="left" vertical="center"/>
    </xf>
    <xf numFmtId="165" fontId="0" fillId="0" borderId="7" xfId="2" applyNumberFormat="1" applyFont="1" applyBorder="1" applyAlignment="1">
      <alignment horizontal="center"/>
    </xf>
    <xf numFmtId="165" fontId="0" fillId="0" borderId="9" xfId="2" applyNumberFormat="1" applyFont="1" applyBorder="1" applyAlignment="1">
      <alignment horizontal="center"/>
    </xf>
    <xf numFmtId="165" fontId="0" fillId="0" borderId="10" xfId="2" applyNumberFormat="1" applyFont="1" applyBorder="1" applyAlignment="1">
      <alignment horizontal="center"/>
    </xf>
    <xf numFmtId="9" fontId="0" fillId="0" borderId="6" xfId="2" applyFont="1" applyBorder="1" applyAlignment="1">
      <alignment horizontal="center" vertical="center"/>
    </xf>
    <xf numFmtId="165" fontId="0" fillId="0" borderId="0" xfId="2" applyNumberFormat="1" applyFont="1" applyBorder="1" applyAlignment="1">
      <alignment horizontal="center" vertical="center"/>
    </xf>
    <xf numFmtId="165" fontId="0" fillId="0" borderId="3" xfId="2" applyNumberFormat="1" applyFont="1" applyBorder="1" applyAlignment="1">
      <alignment horizontal="center" vertical="center"/>
    </xf>
    <xf numFmtId="165" fontId="0" fillId="0" borderId="4" xfId="2" applyNumberFormat="1" applyFont="1" applyBorder="1" applyAlignment="1">
      <alignment horizontal="center" vertical="center"/>
    </xf>
    <xf numFmtId="165" fontId="0" fillId="0" borderId="5" xfId="2" applyNumberFormat="1" applyFont="1" applyBorder="1" applyAlignment="1">
      <alignment horizontal="center" vertical="center"/>
    </xf>
    <xf numFmtId="165" fontId="0" fillId="0" borderId="8" xfId="2" applyNumberFormat="1" applyFont="1" applyBorder="1" applyAlignment="1">
      <alignment horizontal="center" vertical="center"/>
    </xf>
    <xf numFmtId="165" fontId="0" fillId="0" borderId="9" xfId="2" applyNumberFormat="1" applyFont="1" applyBorder="1" applyAlignment="1">
      <alignment horizontal="center" vertical="center"/>
    </xf>
    <xf numFmtId="165" fontId="0" fillId="0" borderId="10" xfId="2" applyNumberFormat="1" applyFont="1" applyBorder="1" applyAlignment="1">
      <alignment horizontal="center" vertical="center"/>
    </xf>
    <xf numFmtId="165" fontId="0" fillId="0" borderId="6" xfId="2" applyNumberFormat="1" applyFont="1" applyBorder="1" applyAlignment="1">
      <alignment horizontal="center" vertical="center"/>
    </xf>
    <xf numFmtId="165" fontId="0" fillId="0" borderId="7" xfId="2" applyNumberFormat="1" applyFont="1" applyBorder="1" applyAlignment="1">
      <alignment horizontal="center" vertical="center"/>
    </xf>
    <xf numFmtId="1" fontId="0" fillId="0" borderId="3" xfId="0" applyNumberFormat="1" applyBorder="1" applyAlignment="1">
      <alignment horizontal="center" vertical="center"/>
    </xf>
    <xf numFmtId="1" fontId="0" fillId="0" borderId="4" xfId="0" applyNumberFormat="1" applyBorder="1" applyAlignment="1">
      <alignment horizontal="center" vertical="center"/>
    </xf>
    <xf numFmtId="167" fontId="0" fillId="0" borderId="3" xfId="0" applyNumberFormat="1" applyBorder="1" applyAlignment="1">
      <alignment horizontal="center" vertical="center"/>
    </xf>
    <xf numFmtId="167" fontId="0" fillId="0" borderId="4" xfId="0" applyNumberFormat="1" applyBorder="1" applyAlignment="1">
      <alignment horizontal="center" vertical="center"/>
    </xf>
    <xf numFmtId="167" fontId="0" fillId="0" borderId="5" xfId="0" applyNumberFormat="1" applyBorder="1" applyAlignment="1">
      <alignment horizontal="center" vertical="center"/>
    </xf>
    <xf numFmtId="167" fontId="0" fillId="0" borderId="6" xfId="0" applyNumberFormat="1" applyBorder="1" applyAlignment="1">
      <alignment horizontal="center" vertical="center"/>
    </xf>
    <xf numFmtId="167" fontId="0" fillId="0" borderId="0" xfId="0" applyNumberFormat="1" applyAlignment="1">
      <alignment horizontal="center" vertical="center"/>
    </xf>
    <xf numFmtId="167" fontId="0" fillId="0" borderId="7" xfId="0" applyNumberFormat="1" applyBorder="1" applyAlignment="1">
      <alignment horizontal="center" vertical="center"/>
    </xf>
    <xf numFmtId="167" fontId="0" fillId="0" borderId="8" xfId="0" applyNumberFormat="1" applyBorder="1" applyAlignment="1">
      <alignment horizontal="center" vertical="center"/>
    </xf>
    <xf numFmtId="167" fontId="0" fillId="0" borderId="9" xfId="0" applyNumberFormat="1" applyBorder="1" applyAlignment="1">
      <alignment horizontal="center" vertical="center"/>
    </xf>
    <xf numFmtId="167" fontId="0" fillId="0" borderId="10" xfId="0" applyNumberFormat="1" applyBorder="1" applyAlignment="1">
      <alignment horizontal="center" vertical="center"/>
    </xf>
    <xf numFmtId="168" fontId="0" fillId="0" borderId="0" xfId="0" applyNumberFormat="1" applyAlignment="1">
      <alignment horizontal="center" vertical="center"/>
    </xf>
    <xf numFmtId="165" fontId="0" fillId="0" borderId="3" xfId="2" applyNumberFormat="1" applyFont="1" applyBorder="1" applyAlignment="1">
      <alignment horizontal="center"/>
    </xf>
    <xf numFmtId="165" fontId="0" fillId="0" borderId="4" xfId="2" applyNumberFormat="1" applyFont="1" applyBorder="1" applyAlignment="1">
      <alignment horizontal="center"/>
    </xf>
    <xf numFmtId="165" fontId="0" fillId="0" borderId="5" xfId="2" applyNumberFormat="1" applyFont="1" applyBorder="1" applyAlignment="1">
      <alignment horizontal="center"/>
    </xf>
    <xf numFmtId="164" fontId="0" fillId="0" borderId="0" xfId="0" applyNumberFormat="1"/>
    <xf numFmtId="165" fontId="0" fillId="0" borderId="0" xfId="2" applyNumberFormat="1" applyFont="1"/>
    <xf numFmtId="165" fontId="0" fillId="0" borderId="0" xfId="0" applyNumberFormat="1"/>
    <xf numFmtId="164" fontId="0" fillId="0" borderId="0" xfId="1" applyNumberFormat="1" applyFont="1"/>
    <xf numFmtId="9" fontId="8" fillId="0" borderId="0" xfId="2" applyFont="1" applyAlignment="1">
      <alignment horizontal="center" vertical="center"/>
    </xf>
    <xf numFmtId="165" fontId="8" fillId="0" borderId="0" xfId="2" applyNumberFormat="1" applyFont="1" applyAlignment="1">
      <alignment horizontal="center" vertical="center"/>
    </xf>
    <xf numFmtId="165" fontId="0" fillId="9" borderId="14" xfId="2" applyNumberFormat="1" applyFont="1" applyFill="1" applyBorder="1" applyAlignment="1">
      <alignment horizontal="center" vertical="center"/>
    </xf>
    <xf numFmtId="165" fontId="0" fillId="9" borderId="14" xfId="2" applyNumberFormat="1" applyFont="1" applyFill="1" applyBorder="1"/>
    <xf numFmtId="165" fontId="0" fillId="0" borderId="14" xfId="2" applyNumberFormat="1" applyFont="1" applyFill="1" applyBorder="1"/>
    <xf numFmtId="165" fontId="0" fillId="0" borderId="0" xfId="2" applyNumberFormat="1" applyFont="1" applyFill="1" applyBorder="1" applyAlignment="1">
      <alignment horizontal="center" vertical="center"/>
    </xf>
    <xf numFmtId="165" fontId="0" fillId="0" borderId="0" xfId="2" applyNumberFormat="1" applyFont="1" applyFill="1" applyBorder="1"/>
    <xf numFmtId="1" fontId="0" fillId="0" borderId="0" xfId="1" applyNumberFormat="1" applyFont="1"/>
    <xf numFmtId="1" fontId="0" fillId="0" borderId="4" xfId="2" applyNumberFormat="1" applyFont="1" applyBorder="1" applyAlignment="1">
      <alignment horizontal="center"/>
    </xf>
    <xf numFmtId="1" fontId="0" fillId="0" borderId="0" xfId="2" applyNumberFormat="1" applyFont="1" applyBorder="1" applyAlignment="1">
      <alignment horizontal="center"/>
    </xf>
    <xf numFmtId="1" fontId="0" fillId="0" borderId="9" xfId="2" applyNumberFormat="1" applyFont="1" applyBorder="1" applyAlignment="1">
      <alignment horizontal="center"/>
    </xf>
    <xf numFmtId="1" fontId="0" fillId="0" borderId="5" xfId="2" applyNumberFormat="1" applyFont="1" applyBorder="1" applyAlignment="1">
      <alignment horizontal="center"/>
    </xf>
    <xf numFmtId="1" fontId="0" fillId="0" borderId="7" xfId="2" applyNumberFormat="1" applyFont="1" applyBorder="1" applyAlignment="1">
      <alignment horizontal="center"/>
    </xf>
    <xf numFmtId="1" fontId="0" fillId="0" borderId="10" xfId="2" applyNumberFormat="1" applyFont="1" applyBorder="1" applyAlignment="1">
      <alignment horizontal="center"/>
    </xf>
    <xf numFmtId="0" fontId="0" fillId="0" borderId="0" xfId="0" applyAlignment="1">
      <alignment vertical="center"/>
    </xf>
    <xf numFmtId="0" fontId="0" fillId="0" borderId="0" xfId="0" applyAlignment="1">
      <alignment vertical="center" wrapText="1"/>
    </xf>
    <xf numFmtId="0" fontId="9" fillId="0" borderId="0" xfId="3" applyAlignment="1">
      <alignment vertical="center"/>
    </xf>
    <xf numFmtId="0" fontId="3" fillId="0" borderId="0" xfId="0" applyFont="1" applyAlignment="1">
      <alignment vertical="center" wrapText="1"/>
    </xf>
    <xf numFmtId="0" fontId="3" fillId="0" borderId="0" xfId="0" applyFont="1" applyAlignment="1">
      <alignment vertical="center"/>
    </xf>
    <xf numFmtId="164" fontId="0" fillId="0" borderId="0" xfId="1" applyNumberFormat="1" applyFont="1" applyAlignment="1">
      <alignment vertical="center"/>
    </xf>
    <xf numFmtId="3" fontId="0" fillId="0" borderId="0" xfId="0" applyNumberFormat="1" applyAlignment="1">
      <alignment vertical="center"/>
    </xf>
    <xf numFmtId="9" fontId="0" fillId="0" borderId="0" xfId="2" applyFont="1" applyAlignment="1">
      <alignment vertical="center"/>
    </xf>
    <xf numFmtId="165" fontId="0" fillId="0" borderId="0" xfId="2" applyNumberFormat="1" applyFont="1" applyAlignment="1">
      <alignment vertical="center"/>
    </xf>
    <xf numFmtId="164" fontId="0" fillId="0" borderId="0" xfId="0" applyNumberFormat="1" applyAlignment="1">
      <alignment vertical="center"/>
    </xf>
    <xf numFmtId="164" fontId="0" fillId="0" borderId="14" xfId="0" applyNumberFormat="1" applyBorder="1" applyAlignment="1">
      <alignment horizontal="center" vertical="center"/>
    </xf>
    <xf numFmtId="0" fontId="0" fillId="0" borderId="14" xfId="0" applyBorder="1"/>
    <xf numFmtId="164" fontId="0" fillId="0" borderId="14" xfId="1" applyNumberFormat="1" applyFont="1" applyFill="1" applyBorder="1"/>
    <xf numFmtId="9" fontId="0" fillId="0" borderId="14" xfId="2" applyFont="1" applyFill="1" applyBorder="1"/>
    <xf numFmtId="167" fontId="0" fillId="0" borderId="14" xfId="1" applyNumberFormat="1" applyFont="1" applyFill="1" applyBorder="1"/>
    <xf numFmtId="166" fontId="0" fillId="0" borderId="14" xfId="0" applyNumberFormat="1" applyBorder="1"/>
    <xf numFmtId="1" fontId="0" fillId="0" borderId="14" xfId="0" applyNumberFormat="1" applyBorder="1"/>
    <xf numFmtId="1" fontId="0" fillId="0" borderId="0" xfId="1" applyNumberFormat="1" applyFont="1" applyAlignment="1">
      <alignment vertical="center"/>
    </xf>
    <xf numFmtId="0" fontId="0" fillId="5" borderId="0" xfId="0" applyFill="1" applyAlignment="1">
      <alignment vertical="center" wrapText="1"/>
    </xf>
    <xf numFmtId="0" fontId="0" fillId="0" borderId="14" xfId="0" applyBorder="1" applyAlignment="1">
      <alignment vertical="center"/>
    </xf>
    <xf numFmtId="0" fontId="0" fillId="0" borderId="14" xfId="0" applyBorder="1" applyAlignment="1">
      <alignment horizontal="center" vertical="center"/>
    </xf>
    <xf numFmtId="16" fontId="0" fillId="0" borderId="14" xfId="0" applyNumberFormat="1" applyBorder="1" applyAlignment="1">
      <alignment vertical="center"/>
    </xf>
    <xf numFmtId="0" fontId="3" fillId="5" borderId="0" xfId="0" applyFont="1" applyFill="1" applyAlignment="1">
      <alignment vertical="center" wrapText="1"/>
    </xf>
    <xf numFmtId="0" fontId="3" fillId="5" borderId="0" xfId="0" applyFont="1" applyFill="1" applyAlignment="1">
      <alignment vertical="center"/>
    </xf>
    <xf numFmtId="10" fontId="0" fillId="0" borderId="0" xfId="2" applyNumberFormat="1" applyFont="1" applyAlignment="1">
      <alignment vertical="center"/>
    </xf>
    <xf numFmtId="0" fontId="0" fillId="3" borderId="0" xfId="0" applyFill="1" applyAlignment="1">
      <alignment vertical="center" wrapText="1"/>
    </xf>
    <xf numFmtId="10" fontId="0" fillId="3" borderId="0" xfId="2" applyNumberFormat="1" applyFont="1" applyFill="1" applyAlignment="1">
      <alignment vertical="center"/>
    </xf>
    <xf numFmtId="0" fontId="0" fillId="0" borderId="0" xfId="0" applyAlignment="1">
      <alignment horizontal="left" vertical="center" wrapText="1"/>
    </xf>
    <xf numFmtId="1" fontId="0" fillId="0" borderId="0" xfId="0" applyNumberFormat="1"/>
    <xf numFmtId="0" fontId="0" fillId="3" borderId="0" xfId="0" applyFill="1"/>
    <xf numFmtId="164" fontId="0" fillId="3" borderId="0" xfId="1" applyNumberFormat="1" applyFont="1" applyFill="1"/>
    <xf numFmtId="164" fontId="0" fillId="3" borderId="0" xfId="0" applyNumberFormat="1" applyFill="1"/>
    <xf numFmtId="17" fontId="0" fillId="0" borderId="0" xfId="0" applyNumberFormat="1" applyAlignment="1">
      <alignment horizontal="left" vertical="center"/>
    </xf>
    <xf numFmtId="16" fontId="0" fillId="0" borderId="0" xfId="0" applyNumberFormat="1" applyAlignment="1">
      <alignment horizontal="left" vertical="center"/>
    </xf>
    <xf numFmtId="0" fontId="9" fillId="0" borderId="0" xfId="3" applyAlignment="1">
      <alignment horizontal="left" vertical="center"/>
    </xf>
    <xf numFmtId="0" fontId="0" fillId="10" borderId="0" xfId="0" applyFill="1" applyAlignment="1">
      <alignment horizontal="left" vertical="center" wrapText="1"/>
    </xf>
    <xf numFmtId="164" fontId="0" fillId="0" borderId="0" xfId="1" applyNumberFormat="1" applyFont="1" applyAlignment="1">
      <alignment horizontal="left" vertical="center"/>
    </xf>
    <xf numFmtId="9" fontId="0" fillId="0" borderId="0" xfId="2" applyFont="1" applyAlignment="1">
      <alignment horizontal="left" vertical="center"/>
    </xf>
    <xf numFmtId="1" fontId="10" fillId="0" borderId="0" xfId="0" applyNumberFormat="1" applyFont="1" applyAlignment="1">
      <alignment horizontal="center" vertical="center"/>
    </xf>
    <xf numFmtId="1" fontId="0" fillId="0" borderId="5" xfId="0" applyNumberFormat="1" applyBorder="1" applyAlignment="1">
      <alignment horizontal="center" vertical="center"/>
    </xf>
    <xf numFmtId="1" fontId="0" fillId="0" borderId="6" xfId="0" applyNumberFormat="1" applyBorder="1" applyAlignment="1">
      <alignment horizontal="center" vertical="center"/>
    </xf>
    <xf numFmtId="1" fontId="0" fillId="0" borderId="7" xfId="0" applyNumberFormat="1" applyBorder="1" applyAlignment="1">
      <alignment horizontal="center" vertical="center"/>
    </xf>
    <xf numFmtId="1" fontId="0" fillId="0" borderId="8" xfId="0" applyNumberFormat="1" applyBorder="1" applyAlignment="1">
      <alignment horizontal="center" vertical="center"/>
    </xf>
    <xf numFmtId="1" fontId="0" fillId="0" borderId="9" xfId="0" applyNumberFormat="1" applyBorder="1" applyAlignment="1">
      <alignment horizontal="center" vertical="center"/>
    </xf>
    <xf numFmtId="1" fontId="0" fillId="0" borderId="10" xfId="0" applyNumberFormat="1" applyBorder="1" applyAlignment="1">
      <alignment horizontal="center" vertical="center"/>
    </xf>
    <xf numFmtId="1" fontId="0" fillId="0" borderId="3" xfId="2" applyNumberFormat="1" applyFont="1" applyBorder="1" applyAlignment="1">
      <alignment horizontal="center"/>
    </xf>
    <xf numFmtId="1" fontId="0" fillId="0" borderId="6" xfId="2" applyNumberFormat="1" applyFont="1" applyBorder="1" applyAlignment="1">
      <alignment horizontal="center"/>
    </xf>
    <xf numFmtId="1" fontId="0" fillId="0" borderId="8" xfId="2" applyNumberFormat="1" applyFont="1" applyBorder="1" applyAlignment="1">
      <alignment horizontal="center"/>
    </xf>
    <xf numFmtId="1" fontId="8" fillId="0" borderId="14" xfId="0" applyNumberFormat="1" applyFont="1" applyBorder="1" applyAlignment="1">
      <alignment horizontal="center" vertical="center"/>
    </xf>
    <xf numFmtId="1" fontId="8" fillId="0" borderId="0" xfId="0" applyNumberFormat="1" applyFont="1" applyAlignment="1">
      <alignment horizontal="center" vertical="center"/>
    </xf>
    <xf numFmtId="0" fontId="8" fillId="0" borderId="0" xfId="0" applyFont="1" applyAlignment="1">
      <alignment vertical="center"/>
    </xf>
    <xf numFmtId="0" fontId="9" fillId="0" borderId="0" xfId="3"/>
    <xf numFmtId="0" fontId="0" fillId="0" borderId="0" xfId="0" applyAlignment="1">
      <alignment wrapText="1"/>
    </xf>
    <xf numFmtId="0" fontId="2" fillId="2" borderId="14" xfId="0" applyFont="1" applyFill="1" applyBorder="1" applyAlignment="1">
      <alignment horizontal="center" vertical="center"/>
    </xf>
    <xf numFmtId="164" fontId="0" fillId="0" borderId="14" xfId="1" applyNumberFormat="1" applyFont="1" applyBorder="1" applyAlignment="1">
      <alignment vertical="center"/>
    </xf>
    <xf numFmtId="9" fontId="0" fillId="0" borderId="14" xfId="2" applyFont="1" applyBorder="1" applyAlignment="1">
      <alignment vertical="center"/>
    </xf>
    <xf numFmtId="9" fontId="0" fillId="11" borderId="14" xfId="0" applyNumberFormat="1" applyFill="1" applyBorder="1" applyAlignment="1">
      <alignment vertical="center"/>
    </xf>
    <xf numFmtId="9" fontId="0" fillId="0" borderId="14" xfId="0" applyNumberFormat="1" applyBorder="1" applyAlignment="1">
      <alignment vertical="center"/>
    </xf>
    <xf numFmtId="164" fontId="0" fillId="0" borderId="14" xfId="0" applyNumberFormat="1" applyBorder="1" applyAlignment="1">
      <alignment vertical="center"/>
    </xf>
    <xf numFmtId="164" fontId="0" fillId="11" borderId="14" xfId="1" applyNumberFormat="1" applyFont="1" applyFill="1" applyBorder="1" applyAlignment="1">
      <alignment vertical="center"/>
    </xf>
    <xf numFmtId="10" fontId="0" fillId="0" borderId="14" xfId="0" applyNumberFormat="1" applyBorder="1" applyAlignment="1">
      <alignment vertical="center"/>
    </xf>
    <xf numFmtId="165" fontId="0" fillId="0" borderId="14" xfId="0" applyNumberFormat="1" applyBorder="1" applyAlignment="1">
      <alignment vertical="center"/>
    </xf>
    <xf numFmtId="164" fontId="0" fillId="11" borderId="14" xfId="0" applyNumberFormat="1" applyFill="1" applyBorder="1" applyAlignment="1">
      <alignment vertical="center"/>
    </xf>
    <xf numFmtId="3" fontId="0" fillId="0" borderId="14" xfId="0" applyNumberFormat="1" applyBorder="1" applyAlignment="1">
      <alignment horizontal="center" vertical="center"/>
    </xf>
    <xf numFmtId="9" fontId="0" fillId="0" borderId="14" xfId="2" applyFont="1" applyBorder="1" applyAlignment="1">
      <alignment horizontal="center" vertical="center"/>
    </xf>
    <xf numFmtId="164" fontId="0" fillId="0" borderId="14" xfId="1" applyNumberFormat="1" applyFont="1" applyBorder="1" applyAlignment="1">
      <alignment horizontal="center" vertical="center"/>
    </xf>
    <xf numFmtId="2" fontId="0" fillId="0" borderId="0" xfId="0" applyNumberFormat="1" applyAlignment="1">
      <alignment horizontal="center" vertical="center"/>
    </xf>
    <xf numFmtId="1" fontId="0" fillId="0" borderId="14" xfId="0" applyNumberFormat="1" applyBorder="1" applyAlignment="1">
      <alignment horizontal="center" vertical="center"/>
    </xf>
    <xf numFmtId="43" fontId="0" fillId="0" borderId="0" xfId="0" applyNumberFormat="1" applyAlignment="1">
      <alignment horizontal="center" vertical="center"/>
    </xf>
    <xf numFmtId="165" fontId="0" fillId="0" borderId="0" xfId="2" applyNumberFormat="1" applyFont="1" applyAlignment="1">
      <alignment horizontal="center" vertical="center"/>
    </xf>
    <xf numFmtId="10" fontId="0" fillId="0" borderId="0" xfId="2" applyNumberFormat="1" applyFont="1" applyAlignment="1">
      <alignment horizontal="center" vertical="center"/>
    </xf>
    <xf numFmtId="0" fontId="0" fillId="5" borderId="0" xfId="0" applyFill="1" applyAlignment="1">
      <alignment horizontal="center" vertical="center"/>
    </xf>
    <xf numFmtId="165" fontId="0" fillId="5" borderId="0" xfId="0" applyNumberFormat="1" applyFill="1" applyAlignment="1">
      <alignment horizontal="center" vertical="center"/>
    </xf>
    <xf numFmtId="2" fontId="0" fillId="5" borderId="0" xfId="0" applyNumberFormat="1" applyFill="1" applyAlignment="1">
      <alignment horizontal="center" vertical="center"/>
    </xf>
    <xf numFmtId="1" fontId="0" fillId="5" borderId="0" xfId="0" applyNumberFormat="1" applyFill="1" applyAlignment="1">
      <alignment horizontal="center" vertical="center"/>
    </xf>
    <xf numFmtId="9" fontId="0" fillId="5" borderId="0" xfId="0" applyNumberFormat="1" applyFill="1" applyAlignment="1">
      <alignment horizontal="center" vertical="center"/>
    </xf>
    <xf numFmtId="165" fontId="0" fillId="5" borderId="0" xfId="2" applyNumberFormat="1" applyFont="1" applyFill="1" applyAlignment="1">
      <alignment horizontal="center" vertical="center"/>
    </xf>
    <xf numFmtId="0" fontId="0" fillId="11" borderId="0" xfId="0" applyFill="1" applyAlignment="1">
      <alignment horizontal="center" vertical="center"/>
    </xf>
    <xf numFmtId="165" fontId="0" fillId="11" borderId="0" xfId="2" applyNumberFormat="1" applyFont="1" applyFill="1" applyAlignment="1">
      <alignment horizontal="center" vertical="center"/>
    </xf>
    <xf numFmtId="2" fontId="0" fillId="11" borderId="0" xfId="0" applyNumberFormat="1" applyFill="1" applyAlignment="1">
      <alignment horizontal="center" vertical="center"/>
    </xf>
    <xf numFmtId="1" fontId="0" fillId="11" borderId="0" xfId="0" applyNumberFormat="1" applyFill="1" applyAlignment="1">
      <alignment horizontal="center" vertical="center"/>
    </xf>
    <xf numFmtId="9" fontId="0" fillId="11" borderId="0" xfId="0" applyNumberFormat="1" applyFill="1" applyAlignment="1">
      <alignment horizontal="center" vertical="center"/>
    </xf>
    <xf numFmtId="0" fontId="0" fillId="11" borderId="14" xfId="0" applyFill="1" applyBorder="1" applyAlignment="1">
      <alignment horizontal="center" vertical="center"/>
    </xf>
    <xf numFmtId="9" fontId="0" fillId="11" borderId="0" xfId="2" applyFont="1" applyFill="1" applyAlignment="1">
      <alignment horizontal="center" vertical="center"/>
    </xf>
    <xf numFmtId="0" fontId="0" fillId="5" borderId="14" xfId="0" applyFill="1" applyBorder="1" applyAlignment="1">
      <alignment vertical="center"/>
    </xf>
    <xf numFmtId="1" fontId="0" fillId="0" borderId="14" xfId="1" applyNumberFormat="1" applyFont="1" applyBorder="1" applyAlignment="1">
      <alignment horizontal="center" vertical="center"/>
    </xf>
    <xf numFmtId="1" fontId="0" fillId="11" borderId="14" xfId="1" applyNumberFormat="1" applyFont="1" applyFill="1" applyBorder="1" applyAlignment="1">
      <alignment horizontal="center" vertical="center"/>
    </xf>
    <xf numFmtId="9" fontId="0" fillId="11" borderId="14" xfId="0" applyNumberFormat="1" applyFill="1" applyBorder="1" applyAlignment="1">
      <alignment horizontal="center" vertical="center"/>
    </xf>
    <xf numFmtId="0" fontId="3" fillId="8" borderId="0" xfId="0" applyFont="1" applyFill="1" applyAlignment="1">
      <alignment horizontal="center" vertical="center"/>
    </xf>
    <xf numFmtId="0" fontId="3" fillId="8" borderId="0" xfId="0" applyFont="1" applyFill="1" applyAlignment="1">
      <alignment horizontal="center" vertical="center"/>
    </xf>
    <xf numFmtId="0" fontId="0" fillId="0" borderId="0" xfId="0" applyAlignment="1">
      <alignment horizontal="center" vertical="center"/>
    </xf>
    <xf numFmtId="0" fontId="0" fillId="0" borderId="14"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3" fillId="3" borderId="0" xfId="0" applyFont="1" applyFill="1" applyBorder="1" applyAlignment="1">
      <alignment horizontal="center" vertical="center"/>
    </xf>
    <xf numFmtId="164" fontId="0" fillId="0" borderId="0" xfId="0" applyNumberFormat="1" applyBorder="1" applyAlignment="1">
      <alignment horizontal="center" vertical="center"/>
    </xf>
    <xf numFmtId="9" fontId="0" fillId="0" borderId="0" xfId="2" applyFont="1" applyFill="1" applyBorder="1" applyAlignment="1">
      <alignment horizontal="center" vertic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57151</xdr:rowOff>
    </xdr:from>
    <xdr:to>
      <xdr:col>0</xdr:col>
      <xdr:colOff>3009900</xdr:colOff>
      <xdr:row>14</xdr:row>
      <xdr:rowOff>35235</xdr:rowOff>
    </xdr:to>
    <xdr:pic>
      <xdr:nvPicPr>
        <xdr:cNvPr id="2" name="Picture 1">
          <a:extLst>
            <a:ext uri="{FF2B5EF4-FFF2-40B4-BE49-F238E27FC236}">
              <a16:creationId xmlns:a16="http://schemas.microsoft.com/office/drawing/2014/main" id="{FB5D0F9F-2476-3AC8-0654-5DFBCDEDB034}"/>
            </a:ext>
          </a:extLst>
        </xdr:cNvPr>
        <xdr:cNvPicPr>
          <a:picLocks noChangeAspect="1"/>
        </xdr:cNvPicPr>
      </xdr:nvPicPr>
      <xdr:blipFill>
        <a:blip xmlns:r="http://schemas.openxmlformats.org/officeDocument/2006/relationships" r:embed="rId1"/>
        <a:stretch>
          <a:fillRect/>
        </a:stretch>
      </xdr:blipFill>
      <xdr:spPr>
        <a:xfrm>
          <a:off x="0" y="628651"/>
          <a:ext cx="3009900" cy="22640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38101</xdr:rowOff>
    </xdr:from>
    <xdr:to>
      <xdr:col>0</xdr:col>
      <xdr:colOff>3393967</xdr:colOff>
      <xdr:row>18</xdr:row>
      <xdr:rowOff>66675</xdr:rowOff>
    </xdr:to>
    <xdr:pic>
      <xdr:nvPicPr>
        <xdr:cNvPr id="3" name="Picture 2">
          <a:extLst>
            <a:ext uri="{FF2B5EF4-FFF2-40B4-BE49-F238E27FC236}">
              <a16:creationId xmlns:a16="http://schemas.microsoft.com/office/drawing/2014/main" id="{65623B30-DE00-5000-C521-A06130093A5D}"/>
            </a:ext>
          </a:extLst>
        </xdr:cNvPr>
        <xdr:cNvPicPr>
          <a:picLocks noChangeAspect="1"/>
        </xdr:cNvPicPr>
      </xdr:nvPicPr>
      <xdr:blipFill>
        <a:blip xmlns:r="http://schemas.openxmlformats.org/officeDocument/2006/relationships" r:embed="rId1"/>
        <a:stretch>
          <a:fillRect/>
        </a:stretch>
      </xdr:blipFill>
      <xdr:spPr>
        <a:xfrm>
          <a:off x="0" y="4229101"/>
          <a:ext cx="3393967" cy="23145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34</xdr:row>
      <xdr:rowOff>0</xdr:rowOff>
    </xdr:from>
    <xdr:to>
      <xdr:col>0</xdr:col>
      <xdr:colOff>2876550</xdr:colOff>
      <xdr:row>36</xdr:row>
      <xdr:rowOff>68461</xdr:rowOff>
    </xdr:to>
    <xdr:pic>
      <xdr:nvPicPr>
        <xdr:cNvPr id="2" name="Picture 1">
          <a:extLst>
            <a:ext uri="{FF2B5EF4-FFF2-40B4-BE49-F238E27FC236}">
              <a16:creationId xmlns:a16="http://schemas.microsoft.com/office/drawing/2014/main" id="{BC29E995-02C9-ECA9-D301-81038752D06F}"/>
            </a:ext>
          </a:extLst>
        </xdr:cNvPr>
        <xdr:cNvPicPr>
          <a:picLocks noChangeAspect="1"/>
        </xdr:cNvPicPr>
      </xdr:nvPicPr>
      <xdr:blipFill>
        <a:blip xmlns:r="http://schemas.openxmlformats.org/officeDocument/2006/relationships" r:embed="rId1"/>
        <a:stretch>
          <a:fillRect/>
        </a:stretch>
      </xdr:blipFill>
      <xdr:spPr>
        <a:xfrm>
          <a:off x="0" y="9144000"/>
          <a:ext cx="2876550" cy="449461"/>
        </a:xfrm>
        <a:prstGeom prst="rect">
          <a:avLst/>
        </a:prstGeom>
      </xdr:spPr>
    </xdr:pic>
    <xdr:clientData/>
  </xdr:twoCellAnchor>
  <xdr:twoCellAnchor editAs="oneCell">
    <xdr:from>
      <xdr:col>0</xdr:col>
      <xdr:colOff>1</xdr:colOff>
      <xdr:row>39</xdr:row>
      <xdr:rowOff>38101</xdr:rowOff>
    </xdr:from>
    <xdr:to>
      <xdr:col>1</xdr:col>
      <xdr:colOff>164185</xdr:colOff>
      <xdr:row>42</xdr:row>
      <xdr:rowOff>76200</xdr:rowOff>
    </xdr:to>
    <xdr:pic>
      <xdr:nvPicPr>
        <xdr:cNvPr id="3" name="Picture 2">
          <a:extLst>
            <a:ext uri="{FF2B5EF4-FFF2-40B4-BE49-F238E27FC236}">
              <a16:creationId xmlns:a16="http://schemas.microsoft.com/office/drawing/2014/main" id="{CA095D4E-9BD4-101F-1089-4374EE1E43A7}"/>
            </a:ext>
          </a:extLst>
        </xdr:cNvPr>
        <xdr:cNvPicPr>
          <a:picLocks noChangeAspect="1"/>
        </xdr:cNvPicPr>
      </xdr:nvPicPr>
      <xdr:blipFill>
        <a:blip xmlns:r="http://schemas.openxmlformats.org/officeDocument/2006/relationships" r:embed="rId2"/>
        <a:stretch>
          <a:fillRect/>
        </a:stretch>
      </xdr:blipFill>
      <xdr:spPr>
        <a:xfrm>
          <a:off x="1" y="10134601"/>
          <a:ext cx="3069309" cy="60959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Sidhi Mishra" id="{239F3F21-8840-420D-AEB5-83736FE2F936}" userId="S-1-5-21-1964979238-429942662-834490965-149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8" dT="2023-02-20T12:41:55.00" personId="{239F3F21-8840-420D-AEB5-83736FE2F936}" id="{40794182-2EB4-49DC-B4F3-BEB5F4859995}">
    <text>BPCL Demonstration Plant. Done in Jan 2022</text>
  </threadedComment>
  <threadedComment ref="G21" dT="2023-02-20T13:09:57.09" personId="{239F3F21-8840-420D-AEB5-83736FE2F936}" id="{BE04FA0E-0306-4FE3-A476-C84E1BAED818}">
    <text>tentative</text>
  </threadedComment>
  <threadedComment ref="G22" dT="2023-02-20T13:10:05.39" personId="{239F3F21-8840-420D-AEB5-83736FE2F936}" id="{A91C4664-FE83-4C9E-A0AF-272CDE022B2C}">
    <text>tentative</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27T05:47:39.58" personId="{239F3F21-8840-420D-AEB5-83736FE2F936}" id="{84B3CCDF-0C5B-4545-8A2F-369BE0468B19}">
    <text>Page 2</text>
  </threadedComment>
  <threadedComment ref="B34" dT="2023-02-27T07:07:38.30" personId="{239F3F21-8840-420D-AEB5-83736FE2F936}" id="{6633745A-2D40-49C3-A845-9C971FED4110}">
    <text>Page 102</text>
  </threadedComment>
  <threadedComment ref="D36" dT="2023-02-28T07:09:17.45" personId="{239F3F21-8840-420D-AEB5-83736FE2F936}" id="{25E037CA-9DDC-46DC-8FEC-2FF465F14D66}">
    <text>Page 105</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3-02-27T08:17:57.10" personId="{239F3F21-8840-420D-AEB5-83736FE2F936}" id="{A74B0636-1EAD-4272-AE8B-10A56F0BB8DE}">
    <text>Page 3</text>
  </threadedComment>
  <threadedComment ref="B27" dT="2023-02-27T08:39:40.94" personId="{239F3F21-8840-420D-AEB5-83736FE2F936}" id="{C8D58230-F10C-4BE3-9CDC-7E15A68F6851}">
    <text>Page 3</text>
  </threadedComment>
  <threadedComment ref="B29" dT="2023-02-27T09:10:34.83" personId="{239F3F21-8840-420D-AEB5-83736FE2F936}" id="{02DA5D56-BBCD-4D10-9BCD-631696F5ABC6}">
    <text>Page 10</text>
  </threadedComment>
  <threadedComment ref="B31" dT="2023-02-27T09:12:09.28" personId="{239F3F21-8840-420D-AEB5-83736FE2F936}" id="{C20D7863-1D40-4519-8780-BD23199EFF69}">
    <text>Page 3</text>
  </threadedComment>
  <threadedComment ref="B33" dT="2023-02-27T09:42:33.86" personId="{239F3F21-8840-420D-AEB5-83736FE2F936}" id="{C37749AC-C3DC-43AA-926E-47EB420979BA}">
    <text>Page 11</text>
  </threadedComment>
  <threadedComment ref="B35" dT="2023-02-27T10:50:26.74" personId="{239F3F21-8840-420D-AEB5-83736FE2F936}" id="{5BB014A6-20AE-417F-AA85-A239575D140E}">
    <text>Page 4</text>
  </threadedComment>
  <threadedComment ref="B49" dT="2023-03-01T06:07:29.37" personId="{239F3F21-8840-420D-AEB5-83736FE2F936}" id="{4F6EC3B4-B0DD-45C2-B9FD-D0D4B7E06EC6}">
    <text>Page 5</text>
  </threadedComment>
</ThreadedComments>
</file>

<file path=xl/threadedComments/threadedComment4.xml><?xml version="1.0" encoding="utf-8"?>
<ThreadedComments xmlns="http://schemas.microsoft.com/office/spreadsheetml/2018/threadedcomments" xmlns:x="http://schemas.openxmlformats.org/spreadsheetml/2006/main">
  <threadedComment ref="B24" dT="2023-02-28T05:44:15.05" personId="{239F3F21-8840-420D-AEB5-83736FE2F936}" id="{4FCA30BA-4BDB-44C7-AAE0-2900632C9083}">
    <text>Page 6</text>
  </threadedComment>
  <threadedComment ref="B39" dT="2023-03-06T06:22:12.94" personId="{239F3F21-8840-420D-AEB5-83736FE2F936}" id="{73E9702F-C907-478F-AD15-235364355BB2}">
    <text>Page 25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3-03-07T05:20:03.96" personId="{239F3F21-8840-420D-AEB5-83736FE2F936}" id="{1AA665CC-93A9-4B3F-B133-4D14FD5C1046}">
    <text>Page 29</text>
  </threadedComment>
  <threadedComment ref="B11" dT="2023-03-07T05:52:55.72" personId="{239F3F21-8840-420D-AEB5-83736FE2F936}" id="{8402CAB2-FA0D-47BC-8155-A7D76D4F7AE9}">
    <text>Page 23</text>
  </threadedComment>
  <threadedComment ref="B13" dT="2023-03-07T06:40:52.25" personId="{239F3F21-8840-420D-AEB5-83736FE2F936}" id="{C8DCC0EB-FF9D-4505-8560-A0EBC5DE6E78}">
    <text>Page 20</text>
  </threadedComment>
  <threadedComment ref="B15" dT="2023-03-07T08:52:23.22" personId="{239F3F21-8840-420D-AEB5-83736FE2F936}" id="{23FE7A2E-4D46-4366-A545-F3115B46860A}">
    <text>Page 3</text>
  </threadedComment>
  <threadedComment ref="B33" dT="2023-03-10T05:57:21.87" personId="{239F3F21-8840-420D-AEB5-83736FE2F936}" id="{F5A5122B-4D7D-489B-B45A-DA2BD8651018}">
    <text>Page 161</text>
  </threadedComment>
  <threadedComment ref="B39" dT="2023-03-10T06:30:10.50" personId="{239F3F21-8840-420D-AEB5-83736FE2F936}" id="{8822FFE1-119F-4571-8C73-4B33900BFCE3}">
    <text>Page 31</text>
  </threadedComment>
  <threadedComment ref="B44" dT="2023-03-10T08:49:31.57" personId="{239F3F21-8840-420D-AEB5-83736FE2F936}" id="{CE177A21-1CE3-48FA-9870-1C10B78660D2}">
    <text>Page 157</text>
  </threadedComment>
</ThreadedComments>
</file>

<file path=xl/threadedComments/threadedComment6.xml><?xml version="1.0" encoding="utf-8"?>
<ThreadedComments xmlns="http://schemas.microsoft.com/office/spreadsheetml/2018/threadedcomments" xmlns:x="http://schemas.openxmlformats.org/spreadsheetml/2006/main">
  <threadedComment ref="B26" dT="2023-03-14T04:42:39.69" personId="{239F3F21-8840-420D-AEB5-83736FE2F936}" id="{10436046-486F-427E-B91A-87BF36EB1D65}">
    <text>Page 60</text>
  </threadedComment>
  <threadedComment ref="B28" dT="2023-03-14T05:12:52.89" personId="{239F3F21-8840-420D-AEB5-83736FE2F936}" id="{412E7BE9-87AB-4D1F-99F3-7BC436F3A496}">
    <text>Page 63</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06T06:22:12.94" personId="{239F3F21-8840-420D-AEB5-83736FE2F936}" id="{DDC3131A-28BB-4C0C-A64C-E371DD935268}">
    <text>Page 25</text>
  </threadedComment>
  <threadedComment ref="A4" dT="2023-03-20T08:36:59.81" personId="{239F3F21-8840-420D-AEB5-83736FE2F936}" id="{1C0A5F7E-DDD0-4DDD-ABBF-299978C8D276}">
    <text>CY 2019</text>
  </threadedComment>
  <threadedComment ref="B4" dT="2023-03-20T08:34:54.33" personId="{239F3F21-8840-420D-AEB5-83736FE2F936}" id="{7507BD16-AE94-4F95-B264-3B014047D3E9}">
    <text>Page 161</text>
  </threadedComment>
  <threadedComment ref="A6" dT="2023-03-20T11:57:05.00" personId="{239F3F21-8840-420D-AEB5-83736FE2F936}" id="{34CC428F-7BF7-4DC4-89A2-D6D0259F0754}">
    <text>Old data: 2015</text>
  </threadedComment>
  <threadedComment ref="A8" dT="2023-03-24T06:04:08.20" personId="{239F3F21-8840-420D-AEB5-83736FE2F936}" id="{3A74B709-E5DD-476F-9E5C-D9DD60A30C38}">
    <text>2020 Data</text>
  </threadedComment>
  <threadedComment ref="A12" dT="2023-03-28T04:23:14.89" personId="{239F3F21-8840-420D-AEB5-83736FE2F936}" id="{BF195B71-F56C-4D00-BD4E-9ACABAEB2E3B}">
    <text>Outdated Data</text>
  </threadedComment>
  <threadedComment ref="F18" dT="2023-03-22T06:35:11.41" personId="{239F3F21-8840-420D-AEB5-83736FE2F936}" id="{DB55D8BA-6EB3-4D40-8540-8528CA654D30}">
    <text>BPCL 200 MT</text>
  </threadedComment>
  <threadedComment ref="I18" dT="2023-03-23T06:43:42.39" personId="{239F3F21-8840-420D-AEB5-83736FE2F936}" id="{0254ECAA-D769-4486-B33D-4B2239A2B2A1}">
    <text>66000 MT of Sumitomo</text>
  </threadedComment>
  <threadedComment ref="J18" dT="2023-03-21T06:54:52.62" personId="{239F3F21-8840-420D-AEB5-83736FE2F936}" id="{1AAB28F6-8EA2-4B1A-A539-6FD45B4FC131}">
    <text>50,000 MT BPCL</text>
  </threadedComment>
</ThreadedComments>
</file>

<file path=xl/threadedComments/threadedComment8.xml><?xml version="1.0" encoding="utf-8"?>
<ThreadedComments xmlns="http://schemas.microsoft.com/office/spreadsheetml/2018/threadedcomments" xmlns:x="http://schemas.openxmlformats.org/spreadsheetml/2006/main">
  <threadedComment ref="G19" dT="2023-03-22T06:35:11.41" personId="{239F3F21-8840-420D-AEB5-83736FE2F936}" id="{2DBA707F-454C-43D9-B12B-6C97E472DFA6}">
    <text>BPCL 200 MT</text>
  </threadedComment>
  <threadedComment ref="J19" dT="2023-03-23T06:43:42.39" personId="{239F3F21-8840-420D-AEB5-83736FE2F936}" id="{1B5551BE-D907-4E9E-B9A2-434012916103}">
    <text>66000 MT of Sumitomo</text>
  </threadedComment>
  <threadedComment ref="K19" dT="2023-03-21T06:54:52.62" personId="{239F3F21-8840-420D-AEB5-83736FE2F936}" id="{01FEAAFD-E27C-4A23-BD79-07B214989C60}">
    <text>50,000 MT BPCL</text>
  </threadedComment>
  <threadedComment ref="D42" dT="2023-03-22T06:35:11.41" personId="{239F3F21-8840-420D-AEB5-83736FE2F936}" id="{EE4256AA-23D4-4DF3-80EF-996492F76E5F}">
    <text>BPCL 200 MT</text>
  </threadedComment>
  <threadedComment ref="F42" dT="2023-03-23T06:43:42.39" personId="{239F3F21-8840-420D-AEB5-83736FE2F936}" id="{6F5B421C-C552-4F48-9EC9-CE3D916E5C79}">
    <text>66000 MT of Sumitomo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vmlDrawing" Target="../drawings/vmlDrawing7.vml"/><Relationship Id="rId3" Type="http://schemas.openxmlformats.org/officeDocument/2006/relationships/hyperlink" Target="https://www.nonwovens-industry.com/issues/2015-11-01/view_far-east-report/an-update-on-the-global-superabsorbent-polymer-producers/?widget=listSection" TargetMode="External"/><Relationship Id="rId7" Type="http://schemas.openxmlformats.org/officeDocument/2006/relationships/printerSettings" Target="../printerSettings/printerSettings9.bin"/><Relationship Id="rId2" Type="http://schemas.openxmlformats.org/officeDocument/2006/relationships/hyperlink" Target="http://www.fpc.com.tw/fpcwuploads/files/2019_1301_20200610.pdf" TargetMode="External"/><Relationship Id="rId1" Type="http://schemas.openxmlformats.org/officeDocument/2006/relationships/hyperlink" Target="https://www.sanyo-chemical.co.jp/eng/wp/wp-content/uploads/2022/11/Sanyo-Chemical-Group-Integrated-Report-2022.pdf" TargetMode="External"/><Relationship Id="rId6" Type="http://schemas.openxmlformats.org/officeDocument/2006/relationships/hyperlink" Target="https://www.news.kimberly-clark.com/press-releases?item=125312" TargetMode="External"/><Relationship Id="rId5" Type="http://schemas.openxmlformats.org/officeDocument/2006/relationships/hyperlink" Target="https://insights.frost.com/gl_pr_cmn_jbrinkley_mfec_polymer_may21" TargetMode="External"/><Relationship Id="rId10" Type="http://schemas.microsoft.com/office/2017/10/relationships/threadedComment" Target="../threadedComments/threadedComment7.xml"/><Relationship Id="rId4" Type="http://schemas.openxmlformats.org/officeDocument/2006/relationships/hyperlink" Target="https://www.spglobal.com/commodityinsights/en/ci/products/superabsorbentpolymers.html" TargetMode="External"/><Relationship Id="rId9"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 Id="rId4" Type="http://schemas.microsoft.com/office/2017/10/relationships/threadedComment" Target="../threadedComments/threadedComment8.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nonwovens-industry.com/issues/2021-01-01/view_far-east-report/superabsorbent-polymer-makers-in-the-world-and-their-production-capacitie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lgchem.com/upload/file/audit-report/2021_LG_Chem_Consolidated_Financial_Statements_en%5b0%5d.pdf" TargetMode="External"/><Relationship Id="rId13" Type="http://schemas.openxmlformats.org/officeDocument/2006/relationships/comments" Target="../comments2.xml"/><Relationship Id="rId3" Type="http://schemas.openxmlformats.org/officeDocument/2006/relationships/hyperlink" Target="https://www.lgcorp.com/media/release/23687" TargetMode="External"/><Relationship Id="rId7" Type="http://schemas.openxmlformats.org/officeDocument/2006/relationships/hyperlink" Target="https://www.lgchem.com/upload/file/audit-report/LG_Chem_2021_1Q_Consolidated_Financial_Statements_ENG.pdf" TargetMode="External"/><Relationship Id="rId12" Type="http://schemas.openxmlformats.org/officeDocument/2006/relationships/vmlDrawing" Target="../drawings/vmlDrawing2.vml"/><Relationship Id="rId2" Type="http://schemas.openxmlformats.org/officeDocument/2006/relationships/hyperlink" Target="https://www.constructionboxscore.com/project-news/lg-chem-to-invest-$278-mm-to-increase-acrylic-acid,-super-absorbent-polymer-output.aspx" TargetMode="External"/><Relationship Id="rId1" Type="http://schemas.openxmlformats.org/officeDocument/2006/relationships/hyperlink" Target="http://www.lgchem.com/upload/file/chinaplas/Division_Info/Acrylates_SAP_vf.pdf" TargetMode="External"/><Relationship Id="rId6" Type="http://schemas.openxmlformats.org/officeDocument/2006/relationships/hyperlink" Target="https://www.lgchem.com/company/company-information/company-history" TargetMode="External"/><Relationship Id="rId11" Type="http://schemas.openxmlformats.org/officeDocument/2006/relationships/drawing" Target="../drawings/drawing1.xml"/><Relationship Id="rId5" Type="http://schemas.openxmlformats.org/officeDocument/2006/relationships/hyperlink" Target="https://www.lgchem.com/company/company-information/global-network/domestic-corporation" TargetMode="External"/><Relationship Id="rId10" Type="http://schemas.openxmlformats.org/officeDocument/2006/relationships/printerSettings" Target="../printerSettings/printerSettings4.bin"/><Relationship Id="rId4" Type="http://schemas.openxmlformats.org/officeDocument/2006/relationships/hyperlink" Target="https://www.lgchem.com/company/company-information/business-domain/petrochemical" TargetMode="External"/><Relationship Id="rId9" Type="http://schemas.openxmlformats.org/officeDocument/2006/relationships/hyperlink" Target="https://www.koreaherald.com/view.php?ud=20150819001069" TargetMode="External"/><Relationship Id="rId1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8" Type="http://schemas.openxmlformats.org/officeDocument/2006/relationships/hyperlink" Target="https://ssl4.eir-parts.net/doc/4008/ir_material_for_fiscal_ym4/120539/00.pdf" TargetMode="External"/><Relationship Id="rId13" Type="http://schemas.openxmlformats.org/officeDocument/2006/relationships/vmlDrawing" Target="../drawings/vmlDrawing3.vml"/><Relationship Id="rId3" Type="http://schemas.openxmlformats.org/officeDocument/2006/relationships/hyperlink" Target="https://sanyocorp.com/wp-content/uploads/2012/07/AQUAKEEP.pdf" TargetMode="External"/><Relationship Id="rId7" Type="http://schemas.openxmlformats.org/officeDocument/2006/relationships/hyperlink" Target="https://ssl4.eir-parts.net/doc/4008/ir_material_for_fiscal_ym4/120539/00.pdf" TargetMode="External"/><Relationship Id="rId12" Type="http://schemas.openxmlformats.org/officeDocument/2006/relationships/drawing" Target="../drawings/drawing2.xml"/><Relationship Id="rId2" Type="http://schemas.openxmlformats.org/officeDocument/2006/relationships/hyperlink" Target="https://www.sumitomoseika.co.jp/en/company/outline/" TargetMode="External"/><Relationship Id="rId1" Type="http://schemas.openxmlformats.org/officeDocument/2006/relationships/hyperlink" Target="https://www.sumitomoseika.co.jp/en/product/kyusui/" TargetMode="External"/><Relationship Id="rId6" Type="http://schemas.openxmlformats.org/officeDocument/2006/relationships/hyperlink" Target="https://www.sumitomoseika.co.jp/_assets/dl/company/outline/sumitomoseika_company_profile@en.pdf?___" TargetMode="External"/><Relationship Id="rId11" Type="http://schemas.openxmlformats.org/officeDocument/2006/relationships/printerSettings" Target="../printerSettings/printerSettings5.bin"/><Relationship Id="rId5" Type="http://schemas.openxmlformats.org/officeDocument/2006/relationships/hyperlink" Target="https://www.sumitomoseika.co.jp/_assets/dl/company/outline/sumitomoseika_company_profile@en.pdf?___" TargetMode="External"/><Relationship Id="rId15" Type="http://schemas.microsoft.com/office/2017/10/relationships/threadedComment" Target="../threadedComments/threadedComment3.xml"/><Relationship Id="rId10" Type="http://schemas.openxmlformats.org/officeDocument/2006/relationships/hyperlink" Target="https://www.sumitomoseika.co.jp/_assets/dl/csr/responsiblecare/SumitomoseikaReport2022_web_en.pdf" TargetMode="External"/><Relationship Id="rId4" Type="http://schemas.openxmlformats.org/officeDocument/2006/relationships/hyperlink" Target="https://www.sumitomoseika.co.jp/en/company/group/" TargetMode="External"/><Relationship Id="rId9" Type="http://schemas.openxmlformats.org/officeDocument/2006/relationships/hyperlink" Target="https://www.sumitomoseika.co.jp/_assets/dl/ir/ir_plan/ir_20191109@en.pdf" TargetMode="External"/><Relationship Id="rId1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sanyo-chemical.co.jp/eng/wp/wp-content/uploads/2022/01/k20220124_e.pdf" TargetMode="External"/><Relationship Id="rId13" Type="http://schemas.openxmlformats.org/officeDocument/2006/relationships/hyperlink" Target="https://www.sanyo-chemical.co.jp/eng/wp/wp-content/uploads/2013/10/k131030a_e.pdf" TargetMode="External"/><Relationship Id="rId18" Type="http://schemas.microsoft.com/office/2017/10/relationships/threadedComment" Target="../threadedComments/threadedComment4.xml"/><Relationship Id="rId3" Type="http://schemas.openxmlformats.org/officeDocument/2006/relationships/hyperlink" Target="https://www.sanyo-chemical.co.jp/eng/products_info/superabsorbent-polymer/about_sdp" TargetMode="External"/><Relationship Id="rId7" Type="http://schemas.openxmlformats.org/officeDocument/2006/relationships/hyperlink" Target="https://www.sanyo-chemical.co.jp/eng/products_info/superabsorbent-polymer/about_sdp" TargetMode="External"/><Relationship Id="rId12" Type="http://schemas.openxmlformats.org/officeDocument/2006/relationships/hyperlink" Target="https://www.sanyo-chemical.co.jp/eng/wp/wp-content/uploads/2022/11/Sanyo-Chemical-Group-Integrated-Report-2022.pdf" TargetMode="External"/><Relationship Id="rId17" Type="http://schemas.openxmlformats.org/officeDocument/2006/relationships/comments" Target="../comments4.xml"/><Relationship Id="rId2" Type="http://schemas.openxmlformats.org/officeDocument/2006/relationships/hyperlink" Target="https://www.sanyo-chemical.co.jp/eng/products_info/superabsorbent-polymer/sanwet" TargetMode="External"/><Relationship Id="rId16" Type="http://schemas.openxmlformats.org/officeDocument/2006/relationships/vmlDrawing" Target="../drawings/vmlDrawing4.vml"/><Relationship Id="rId1" Type="http://schemas.openxmlformats.org/officeDocument/2006/relationships/hyperlink" Target="https://www.sanyo-chemical.co.jp/eng/products_info/superabsorbent-polymer" TargetMode="External"/><Relationship Id="rId6" Type="http://schemas.openxmlformats.org/officeDocument/2006/relationships/hyperlink" Target="https://www.sanyo-chemical.co.jp/eng/products_info/superabsorbent-polymer/about_sdp" TargetMode="External"/><Relationship Id="rId11" Type="http://schemas.openxmlformats.org/officeDocument/2006/relationships/hyperlink" Target="https://www.sanyo-chemical.co.jp/eng/wp/wp-content/uploads/2022/11/Sanyo-Chemical-Group-Integrated-Report-2022.pdf" TargetMode="External"/><Relationship Id="rId5" Type="http://schemas.openxmlformats.org/officeDocument/2006/relationships/hyperlink" Target="https://www.sanyo-chemical.co.jp/eng/wp/wp-content/uploads/2015/09/k150929a_e.pdf" TargetMode="External"/><Relationship Id="rId15" Type="http://schemas.openxmlformats.org/officeDocument/2006/relationships/printerSettings" Target="../printerSettings/printerSettings6.bin"/><Relationship Id="rId10" Type="http://schemas.openxmlformats.org/officeDocument/2006/relationships/hyperlink" Target="https://www.sanyo-chemical.co.jp/eng/archives/5299" TargetMode="External"/><Relationship Id="rId4" Type="http://schemas.openxmlformats.org/officeDocument/2006/relationships/hyperlink" Target="https://www.sanyo-chemical.co.jp/eng/company/figures" TargetMode="External"/><Relationship Id="rId9" Type="http://schemas.openxmlformats.org/officeDocument/2006/relationships/hyperlink" Target="https://www.sanyo-chemical.co.jp/eng/wp/wp-content/uploads/2022/09/k20220822.pdf" TargetMode="External"/><Relationship Id="rId14" Type="http://schemas.openxmlformats.org/officeDocument/2006/relationships/hyperlink" Target="https://www.sanyo-chemical.co.jp/eng/wp/wp-content/uploads/2022/06/annual_fy21_e_4.p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fpc.com.tw/fpcwuploads/files/FPC_2016%20CSR_EN-Final.pdf" TargetMode="External"/><Relationship Id="rId13" Type="http://schemas.microsoft.com/office/2017/10/relationships/threadedComment" Target="../threadedComments/threadedComment5.xml"/><Relationship Id="rId3" Type="http://schemas.openxmlformats.org/officeDocument/2006/relationships/hyperlink" Target="http://formosa.co.jp/outline/images/pdf/Formosa_Plastics_Group_E.pdf" TargetMode="External"/><Relationship Id="rId7" Type="http://schemas.openxmlformats.org/officeDocument/2006/relationships/hyperlink" Target="http://www.fpc.com.tw/fpcwuploads/files/2019_1301_20200610.pdf" TargetMode="External"/><Relationship Id="rId12" Type="http://schemas.openxmlformats.org/officeDocument/2006/relationships/comments" Target="../comments5.xml"/><Relationship Id="rId2" Type="http://schemas.openxmlformats.org/officeDocument/2006/relationships/hyperlink" Target="http://www.taisap.com/about.html" TargetMode="External"/><Relationship Id="rId1" Type="http://schemas.openxmlformats.org/officeDocument/2006/relationships/hyperlink" Target="http://www.taisap.com/about.html" TargetMode="External"/><Relationship Id="rId6" Type="http://schemas.openxmlformats.org/officeDocument/2006/relationships/hyperlink" Target="https://www.fpg.com.tw/uploads/images/media-center/ebook-top/2022/2021%E5%B9%B4%E5%A0%B1%E8%8B%B1%E6%96%87%E7%89%88-final.pdf" TargetMode="External"/><Relationship Id="rId11" Type="http://schemas.openxmlformats.org/officeDocument/2006/relationships/vmlDrawing" Target="../drawings/vmlDrawing5.vml"/><Relationship Id="rId5" Type="http://schemas.openxmlformats.org/officeDocument/2006/relationships/hyperlink" Target="https://www.fpg.com.tw/uploads/images/media-center/ebook-top/FPG%20Introduction2018_en.pdf" TargetMode="External"/><Relationship Id="rId10" Type="http://schemas.openxmlformats.org/officeDocument/2006/relationships/drawing" Target="../drawings/drawing3.xml"/><Relationship Id="rId4" Type="http://schemas.openxmlformats.org/officeDocument/2006/relationships/hyperlink" Target="https://www.fpg.com.tw/uploads/images/media-center/ebook-top/2022/2021%E5%B9%B4%E5%A0%B1%E8%8B%B1%E6%96%87%E7%89%88-final.pdf" TargetMode="External"/><Relationship Id="rId9" Type="http://schemas.openxmlformats.org/officeDocument/2006/relationships/hyperlink" Target="http://www.fpc.com.tw/fpcwuploads/files/2019_1301_20200610.pdf"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shokubai.co.jp/en/docs/company/profile.pdf" TargetMode="External"/><Relationship Id="rId13" Type="http://schemas.openxmlformats.org/officeDocument/2006/relationships/comments" Target="../comments6.xml"/><Relationship Id="rId3" Type="http://schemas.openxmlformats.org/officeDocument/2006/relationships/hyperlink" Target="https://www.shokubai.co.jp/en/products/detail/sap/" TargetMode="External"/><Relationship Id="rId7" Type="http://schemas.openxmlformats.org/officeDocument/2006/relationships/hyperlink" Target="https://www.shokubai.co.jp/en/news/202210047422/" TargetMode="External"/><Relationship Id="rId12" Type="http://schemas.openxmlformats.org/officeDocument/2006/relationships/vmlDrawing" Target="../drawings/vmlDrawing6.vml"/><Relationship Id="rId2" Type="http://schemas.openxmlformats.org/officeDocument/2006/relationships/hyperlink" Target="https://www.shokubai.co.jp/en/products/detail/sap/" TargetMode="External"/><Relationship Id="rId1" Type="http://schemas.openxmlformats.org/officeDocument/2006/relationships/hyperlink" Target="https://www.shokubai.co.jp/en/products/detail/sap/" TargetMode="External"/><Relationship Id="rId6" Type="http://schemas.openxmlformats.org/officeDocument/2006/relationships/hyperlink" Target="https://www.shokubai.co.jp/en/news/202203047412/" TargetMode="External"/><Relationship Id="rId11" Type="http://schemas.openxmlformats.org/officeDocument/2006/relationships/printerSettings" Target="../printerSettings/printerSettings7.bin"/><Relationship Id="rId5" Type="http://schemas.openxmlformats.org/officeDocument/2006/relationships/hyperlink" Target="https://www.shokubai.co.jp/en/news/202011057222/" TargetMode="External"/><Relationship Id="rId10" Type="http://schemas.openxmlformats.org/officeDocument/2006/relationships/hyperlink" Target="https://www.shokubai.co.jp/en/wordpress/wp-content/uploads/2022/11/technoamenity_report2022.pdf" TargetMode="External"/><Relationship Id="rId4" Type="http://schemas.openxmlformats.org/officeDocument/2006/relationships/hyperlink" Target="https://www.shokubai.co.jp/en/products/detail/sap/" TargetMode="External"/><Relationship Id="rId9" Type="http://schemas.openxmlformats.org/officeDocument/2006/relationships/hyperlink" Target="https://www.shokubai.co.jp/en/wordpress/wp-content/uploads/2022/11/technoamenity_report2022.pdf" TargetMode="External"/><Relationship Id="rId14" Type="http://schemas.microsoft.com/office/2017/10/relationships/threadedComment" Target="../threadedComments/threadedComment6.xml"/></Relationships>
</file>

<file path=xl/worksheets/_rels/sheet9.xml.rels><?xml version="1.0" encoding="UTF-8" standalone="yes"?>
<Relationships xmlns="http://schemas.openxmlformats.org/package/2006/relationships"><Relationship Id="rId3" Type="http://schemas.openxmlformats.org/officeDocument/2006/relationships/hyperlink" Target="https://corporate.evonik.com/de/presse/pressemitteilungen/products/evonik-strengthens-leading-market-position-in-superabsorbent-polymers-with-flexible-and-cost-optimiz-105083.html" TargetMode="External"/><Relationship Id="rId2" Type="http://schemas.openxmlformats.org/officeDocument/2006/relationships/hyperlink" Target="https://www.superabsorber.com/en/applications/favor" TargetMode="External"/><Relationship Id="rId1" Type="http://schemas.openxmlformats.org/officeDocument/2006/relationships/hyperlink" Target="https://www.superabsorber.com/en/about" TargetMode="External"/><Relationship Id="rId5" Type="http://schemas.openxmlformats.org/officeDocument/2006/relationships/printerSettings" Target="../printerSettings/printerSettings8.bin"/><Relationship Id="rId4" Type="http://schemas.openxmlformats.org/officeDocument/2006/relationships/hyperlink" Target="https://corporate.evonik.com/en/investor-relations/eu-imposes-anti-dumping-measures-on-korean-superabsorbent-polymer-imports-17243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77"/>
  <sheetViews>
    <sheetView tabSelected="1" topLeftCell="M1" zoomScale="90" zoomScaleNormal="90" workbookViewId="0">
      <pane ySplit="1" topLeftCell="A8" activePane="bottomLeft" state="frozen"/>
      <selection pane="bottomLeft" activeCell="T22" sqref="T22"/>
    </sheetView>
  </sheetViews>
  <sheetFormatPr defaultColWidth="12.28515625" defaultRowHeight="15" x14ac:dyDescent="0.25"/>
  <cols>
    <col min="1" max="1" width="73.7109375" style="3" bestFit="1" customWidth="1"/>
    <col min="2" max="3" width="12.42578125" style="17" bestFit="1" customWidth="1"/>
    <col min="4" max="4" width="12.85546875" style="17" bestFit="1" customWidth="1"/>
    <col min="5" max="5" width="12.5703125" style="17" bestFit="1" customWidth="1"/>
    <col min="6" max="6" width="13.28515625" style="17" bestFit="1" customWidth="1"/>
    <col min="7" max="7" width="12.85546875" style="17" bestFit="1" customWidth="1"/>
    <col min="8" max="14" width="12.5703125" style="17" bestFit="1" customWidth="1"/>
    <col min="15" max="17" width="12.5703125" style="17" customWidth="1"/>
    <col min="18" max="20" width="14.85546875" style="17" bestFit="1" customWidth="1"/>
    <col min="21" max="27" width="12.42578125" style="17" bestFit="1" customWidth="1"/>
    <col min="28" max="34" width="12.7109375" style="17" bestFit="1" customWidth="1"/>
    <col min="35" max="16384" width="12.28515625" style="17"/>
  </cols>
  <sheetData>
    <row r="1" spans="1:34" x14ac:dyDescent="0.25">
      <c r="A1" s="75" t="s">
        <v>0</v>
      </c>
      <c r="B1" s="1" t="s">
        <v>1</v>
      </c>
      <c r="C1" s="1" t="s">
        <v>2</v>
      </c>
      <c r="D1" s="1" t="s">
        <v>3</v>
      </c>
      <c r="E1" s="1" t="s">
        <v>4</v>
      </c>
      <c r="F1" s="1" t="s">
        <v>5</v>
      </c>
      <c r="G1" s="1" t="s">
        <v>6</v>
      </c>
      <c r="H1" s="1" t="s">
        <v>7</v>
      </c>
      <c r="I1" s="1" t="s">
        <v>8</v>
      </c>
      <c r="J1" s="1" t="s">
        <v>9</v>
      </c>
      <c r="K1" s="1" t="s">
        <v>10</v>
      </c>
      <c r="L1" s="1" t="s">
        <v>11</v>
      </c>
      <c r="M1" s="1" t="s">
        <v>12</v>
      </c>
      <c r="N1" s="1" t="s">
        <v>13</v>
      </c>
      <c r="O1" s="1" t="s">
        <v>404</v>
      </c>
      <c r="P1" s="1" t="s">
        <v>405</v>
      </c>
      <c r="Q1" s="1" t="s">
        <v>406</v>
      </c>
      <c r="R1" s="1" t="s">
        <v>407</v>
      </c>
      <c r="S1" s="1" t="s">
        <v>408</v>
      </c>
      <c r="T1" s="1" t="s">
        <v>409</v>
      </c>
    </row>
    <row r="2" spans="1:34" x14ac:dyDescent="0.25">
      <c r="B2" s="18" t="s">
        <v>14</v>
      </c>
      <c r="C2" s="18" t="s">
        <v>14</v>
      </c>
      <c r="D2" s="18" t="s">
        <v>14</v>
      </c>
      <c r="E2" s="18" t="s">
        <v>14</v>
      </c>
      <c r="F2" s="18" t="s">
        <v>15</v>
      </c>
      <c r="G2" s="18" t="s">
        <v>16</v>
      </c>
      <c r="H2" s="18" t="s">
        <v>16</v>
      </c>
      <c r="I2" s="18" t="s">
        <v>16</v>
      </c>
      <c r="J2" s="18" t="s">
        <v>16</v>
      </c>
      <c r="K2" s="18" t="s">
        <v>16</v>
      </c>
      <c r="L2" s="18" t="s">
        <v>16</v>
      </c>
      <c r="M2" s="18" t="s">
        <v>16</v>
      </c>
      <c r="N2" s="18" t="s">
        <v>16</v>
      </c>
      <c r="O2" s="217"/>
      <c r="P2" s="217"/>
      <c r="Q2" s="217"/>
      <c r="R2" s="114"/>
      <c r="S2" s="115"/>
    </row>
    <row r="3" spans="1:34" x14ac:dyDescent="0.25">
      <c r="A3" s="2" t="s">
        <v>29</v>
      </c>
      <c r="B3" s="19">
        <f t="shared" ref="B3:Q3" si="0">SUM(B8:B8)</f>
        <v>0</v>
      </c>
      <c r="C3" s="20">
        <f t="shared" si="0"/>
        <v>0</v>
      </c>
      <c r="D3" s="20">
        <f t="shared" si="0"/>
        <v>0</v>
      </c>
      <c r="E3" s="20">
        <f t="shared" si="0"/>
        <v>0</v>
      </c>
      <c r="F3" s="20">
        <f t="shared" si="0"/>
        <v>200</v>
      </c>
      <c r="G3" s="20">
        <f t="shared" si="0"/>
        <v>200</v>
      </c>
      <c r="H3" s="20">
        <f t="shared" si="0"/>
        <v>200</v>
      </c>
      <c r="I3" s="20">
        <f t="shared" si="0"/>
        <v>200</v>
      </c>
      <c r="J3" s="20">
        <f t="shared" si="0"/>
        <v>50000</v>
      </c>
      <c r="K3" s="20">
        <f t="shared" si="0"/>
        <v>50000</v>
      </c>
      <c r="L3" s="20">
        <f t="shared" si="0"/>
        <v>50000</v>
      </c>
      <c r="M3" s="20">
        <f t="shared" si="0"/>
        <v>50000</v>
      </c>
      <c r="N3" s="21">
        <f t="shared" si="0"/>
        <v>50000</v>
      </c>
      <c r="O3" s="21">
        <f t="shared" si="0"/>
        <v>50000</v>
      </c>
      <c r="P3" s="21">
        <f t="shared" si="0"/>
        <v>50000</v>
      </c>
      <c r="Q3" s="21">
        <f t="shared" si="0"/>
        <v>50000</v>
      </c>
      <c r="R3" s="22"/>
    </row>
    <row r="4" spans="1:34" x14ac:dyDescent="0.25">
      <c r="A4" s="2" t="s">
        <v>30</v>
      </c>
      <c r="B4" s="23">
        <f t="shared" ref="B4:Q4" si="1">SUM(B11:B11)</f>
        <v>0</v>
      </c>
      <c r="C4" s="24">
        <f t="shared" si="1"/>
        <v>0</v>
      </c>
      <c r="D4" s="24">
        <f t="shared" si="1"/>
        <v>0</v>
      </c>
      <c r="E4" s="24">
        <f t="shared" si="1"/>
        <v>0</v>
      </c>
      <c r="F4" s="24">
        <f t="shared" si="1"/>
        <v>100</v>
      </c>
      <c r="G4" s="24">
        <f t="shared" si="1"/>
        <v>100</v>
      </c>
      <c r="H4" s="24">
        <f t="shared" si="1"/>
        <v>110</v>
      </c>
      <c r="I4" s="24">
        <f t="shared" si="1"/>
        <v>120</v>
      </c>
      <c r="J4" s="24">
        <f t="shared" si="1"/>
        <v>38000</v>
      </c>
      <c r="K4" s="24">
        <f t="shared" si="1"/>
        <v>38000</v>
      </c>
      <c r="L4" s="24">
        <f t="shared" si="1"/>
        <v>40000</v>
      </c>
      <c r="M4" s="24">
        <f t="shared" si="1"/>
        <v>43000</v>
      </c>
      <c r="N4" s="25">
        <f t="shared" si="1"/>
        <v>43000</v>
      </c>
      <c r="O4" s="25">
        <f t="shared" si="1"/>
        <v>43000</v>
      </c>
      <c r="P4" s="25">
        <f t="shared" si="1"/>
        <v>43000</v>
      </c>
      <c r="Q4" s="25">
        <f t="shared" si="1"/>
        <v>43000</v>
      </c>
      <c r="R4" s="26"/>
      <c r="T4" s="27"/>
      <c r="U4" s="27"/>
      <c r="V4" s="27"/>
      <c r="W4" s="27"/>
      <c r="X4" s="27"/>
      <c r="Y4" s="27"/>
      <c r="Z4" s="27"/>
      <c r="AA4" s="27"/>
      <c r="AB4" s="27"/>
      <c r="AC4" s="27"/>
      <c r="AD4" s="27"/>
      <c r="AE4" s="27"/>
      <c r="AF4" s="27"/>
      <c r="AG4" s="27"/>
      <c r="AH4" s="27"/>
    </row>
    <row r="5" spans="1:34" x14ac:dyDescent="0.25">
      <c r="A5" s="2" t="s">
        <v>31</v>
      </c>
      <c r="B5" s="13" t="s">
        <v>22</v>
      </c>
      <c r="C5" s="14" t="s">
        <v>22</v>
      </c>
      <c r="D5" s="14" t="s">
        <v>22</v>
      </c>
      <c r="E5" s="14" t="s">
        <v>22</v>
      </c>
      <c r="F5" s="14">
        <f t="shared" ref="F5:N5" si="2">F4/F3</f>
        <v>0.5</v>
      </c>
      <c r="G5" s="14">
        <f t="shared" si="2"/>
        <v>0.5</v>
      </c>
      <c r="H5" s="14">
        <f t="shared" si="2"/>
        <v>0.55000000000000004</v>
      </c>
      <c r="I5" s="14">
        <f t="shared" si="2"/>
        <v>0.6</v>
      </c>
      <c r="J5" s="14">
        <f t="shared" si="2"/>
        <v>0.76</v>
      </c>
      <c r="K5" s="14">
        <f t="shared" si="2"/>
        <v>0.76</v>
      </c>
      <c r="L5" s="14">
        <f t="shared" si="2"/>
        <v>0.8</v>
      </c>
      <c r="M5" s="14">
        <f t="shared" si="2"/>
        <v>0.86</v>
      </c>
      <c r="N5" s="28">
        <f t="shared" si="2"/>
        <v>0.86</v>
      </c>
      <c r="O5" s="47"/>
      <c r="P5" s="47"/>
      <c r="Q5" s="47"/>
      <c r="T5" s="27"/>
      <c r="U5" s="27"/>
      <c r="V5" s="27"/>
      <c r="W5" s="27"/>
      <c r="X5" s="27"/>
      <c r="Y5" s="27"/>
      <c r="Z5" s="27"/>
      <c r="AA5" s="27"/>
      <c r="AB5" s="27"/>
      <c r="AC5" s="27"/>
      <c r="AD5" s="27"/>
      <c r="AE5" s="27"/>
      <c r="AF5" s="27"/>
      <c r="AG5" s="27"/>
      <c r="AH5" s="27"/>
    </row>
    <row r="6" spans="1:34" x14ac:dyDescent="0.25">
      <c r="B6" s="27"/>
      <c r="C6" s="27"/>
      <c r="D6" s="27"/>
      <c r="E6" s="27"/>
      <c r="F6" s="27"/>
      <c r="G6" s="27"/>
      <c r="H6" s="27"/>
      <c r="I6" s="29"/>
      <c r="J6" s="29"/>
      <c r="K6" s="29"/>
      <c r="L6" s="29"/>
      <c r="M6" s="29"/>
      <c r="N6" s="29"/>
      <c r="O6" s="29"/>
      <c r="P6" s="29"/>
      <c r="Q6" s="29"/>
      <c r="R6" s="30"/>
      <c r="T6" s="31"/>
      <c r="U6" s="31"/>
      <c r="V6" s="31"/>
      <c r="W6" s="31"/>
      <c r="X6" s="31"/>
      <c r="Y6" s="31"/>
      <c r="Z6" s="31"/>
      <c r="AA6" s="31"/>
      <c r="AB6" s="31"/>
      <c r="AC6" s="31"/>
      <c r="AD6" s="31"/>
      <c r="AE6" s="31"/>
      <c r="AF6" s="31"/>
      <c r="AG6" s="31"/>
      <c r="AH6" s="31"/>
    </row>
    <row r="7" spans="1:34" x14ac:dyDescent="0.25">
      <c r="A7" s="4" t="s">
        <v>32</v>
      </c>
      <c r="B7" s="32"/>
      <c r="C7" s="32"/>
      <c r="D7" s="32"/>
      <c r="E7" s="32"/>
      <c r="F7" s="32"/>
      <c r="G7" s="32"/>
      <c r="H7" s="32"/>
      <c r="I7" s="32"/>
      <c r="J7" s="33"/>
      <c r="K7" s="33"/>
      <c r="L7" s="33"/>
      <c r="M7" s="33"/>
      <c r="N7" s="32"/>
      <c r="O7" s="32"/>
      <c r="P7" s="32"/>
      <c r="Q7" s="32"/>
      <c r="R7" s="30"/>
    </row>
    <row r="8" spans="1:34" x14ac:dyDescent="0.25">
      <c r="A8" s="5" t="s">
        <v>48</v>
      </c>
      <c r="B8" s="34">
        <v>0</v>
      </c>
      <c r="C8" s="35">
        <v>0</v>
      </c>
      <c r="D8" s="35">
        <v>0</v>
      </c>
      <c r="E8" s="35">
        <v>0</v>
      </c>
      <c r="F8" s="35">
        <v>200</v>
      </c>
      <c r="G8" s="35">
        <v>200</v>
      </c>
      <c r="H8" s="35">
        <v>200</v>
      </c>
      <c r="I8" s="35">
        <v>200</v>
      </c>
      <c r="J8" s="35">
        <v>50000</v>
      </c>
      <c r="K8" s="35">
        <v>50000</v>
      </c>
      <c r="L8" s="35">
        <v>50000</v>
      </c>
      <c r="M8" s="35">
        <v>50000</v>
      </c>
      <c r="N8" s="36">
        <v>50000</v>
      </c>
      <c r="O8" s="36">
        <v>50000</v>
      </c>
      <c r="P8" s="36">
        <v>50000</v>
      </c>
      <c r="Q8" s="36">
        <v>50000</v>
      </c>
      <c r="S8" s="37"/>
      <c r="T8" s="37"/>
      <c r="U8" s="37"/>
      <c r="V8" s="37"/>
      <c r="W8" s="37"/>
      <c r="X8" s="37"/>
      <c r="Y8" s="37"/>
      <c r="Z8" s="37"/>
      <c r="AA8" s="37"/>
      <c r="AB8" s="37"/>
      <c r="AC8" s="37"/>
      <c r="AD8" s="37"/>
      <c r="AE8" s="37"/>
      <c r="AF8" s="37"/>
      <c r="AG8" s="37"/>
      <c r="AH8" s="37"/>
    </row>
    <row r="9" spans="1:34" x14ac:dyDescent="0.25">
      <c r="A9" s="6"/>
      <c r="C9" s="38"/>
      <c r="E9" s="32"/>
      <c r="F9" s="39"/>
      <c r="H9" s="32"/>
      <c r="I9" s="40"/>
      <c r="J9" s="40"/>
      <c r="K9" s="40"/>
      <c r="L9" s="40"/>
      <c r="M9" s="40"/>
      <c r="N9" s="40"/>
      <c r="O9" s="40"/>
      <c r="P9" s="40"/>
      <c r="Q9" s="40"/>
    </row>
    <row r="10" spans="1:34" x14ac:dyDescent="0.25">
      <c r="A10" s="4" t="s">
        <v>33</v>
      </c>
      <c r="B10" s="27"/>
      <c r="C10" s="27"/>
      <c r="D10" s="32"/>
      <c r="E10" s="32"/>
      <c r="F10" s="39"/>
      <c r="G10" s="27"/>
      <c r="H10" s="27"/>
      <c r="I10" s="32"/>
      <c r="J10" s="27"/>
      <c r="K10" s="32"/>
      <c r="L10" s="27"/>
      <c r="M10" s="27"/>
      <c r="N10" s="32">
        <f>N11/N8</f>
        <v>0.86</v>
      </c>
      <c r="O10" s="27"/>
      <c r="P10" s="27"/>
      <c r="Q10" s="27"/>
    </row>
    <row r="11" spans="1:34" x14ac:dyDescent="0.25">
      <c r="A11" s="5" t="s">
        <v>48</v>
      </c>
      <c r="B11" s="34">
        <v>0</v>
      </c>
      <c r="C11" s="35">
        <v>0</v>
      </c>
      <c r="D11" s="35">
        <v>0</v>
      </c>
      <c r="E11" s="35">
        <v>0</v>
      </c>
      <c r="F11" s="41">
        <v>100</v>
      </c>
      <c r="G11" s="41">
        <v>100</v>
      </c>
      <c r="H11" s="41">
        <v>110</v>
      </c>
      <c r="I11" s="41">
        <v>120</v>
      </c>
      <c r="J11" s="41">
        <v>38000</v>
      </c>
      <c r="K11" s="41">
        <v>38000</v>
      </c>
      <c r="L11" s="41">
        <v>40000</v>
      </c>
      <c r="M11" s="41">
        <v>43000</v>
      </c>
      <c r="N11" s="42">
        <v>43000</v>
      </c>
      <c r="O11" s="42">
        <v>43000</v>
      </c>
      <c r="P11" s="42">
        <v>43000</v>
      </c>
      <c r="Q11" s="42">
        <v>43000</v>
      </c>
      <c r="S11" s="37"/>
      <c r="T11" s="37"/>
      <c r="U11" s="37"/>
      <c r="V11" s="37"/>
      <c r="W11" s="37"/>
      <c r="X11" s="37"/>
      <c r="Y11" s="37"/>
      <c r="Z11" s="37"/>
      <c r="AA11" s="37"/>
      <c r="AB11" s="37"/>
      <c r="AC11" s="37"/>
      <c r="AD11" s="37"/>
      <c r="AE11" s="37"/>
      <c r="AF11" s="37"/>
    </row>
    <row r="12" spans="1:34" x14ac:dyDescent="0.25">
      <c r="B12" s="43"/>
      <c r="C12" s="44"/>
      <c r="D12" s="38"/>
      <c r="E12" s="38"/>
      <c r="F12" s="31"/>
      <c r="I12" s="31"/>
      <c r="J12" s="31"/>
      <c r="K12" s="31"/>
      <c r="L12" s="31"/>
      <c r="M12" s="31"/>
      <c r="N12" s="31"/>
      <c r="O12" s="31"/>
      <c r="P12" s="31"/>
      <c r="Q12" s="31"/>
    </row>
    <row r="13" spans="1:34" x14ac:dyDescent="0.25">
      <c r="A13" s="4" t="s">
        <v>34</v>
      </c>
      <c r="B13" s="45"/>
      <c r="C13" s="45"/>
      <c r="D13" s="29"/>
      <c r="E13" s="27"/>
      <c r="F13" s="27"/>
      <c r="G13" s="27"/>
      <c r="H13" s="45"/>
      <c r="J13" s="45"/>
      <c r="K13" s="45"/>
      <c r="L13" s="45"/>
      <c r="M13" s="45"/>
      <c r="N13" s="45"/>
      <c r="O13" s="45"/>
      <c r="P13" s="45"/>
      <c r="Q13" s="45"/>
    </row>
    <row r="14" spans="1:34" x14ac:dyDescent="0.25">
      <c r="A14" s="5" t="s">
        <v>48</v>
      </c>
      <c r="B14" s="15" t="s">
        <v>22</v>
      </c>
      <c r="C14" s="16" t="s">
        <v>22</v>
      </c>
      <c r="D14" s="16" t="s">
        <v>22</v>
      </c>
      <c r="E14" s="16" t="s">
        <v>22</v>
      </c>
      <c r="F14" s="16">
        <f t="shared" ref="F14:N14" si="3">F11/F8</f>
        <v>0.5</v>
      </c>
      <c r="G14" s="16">
        <f t="shared" si="3"/>
        <v>0.5</v>
      </c>
      <c r="H14" s="16">
        <f t="shared" si="3"/>
        <v>0.55000000000000004</v>
      </c>
      <c r="I14" s="16">
        <f t="shared" si="3"/>
        <v>0.6</v>
      </c>
      <c r="J14" s="16">
        <f t="shared" si="3"/>
        <v>0.76</v>
      </c>
      <c r="K14" s="16">
        <f t="shared" si="3"/>
        <v>0.76</v>
      </c>
      <c r="L14" s="16">
        <f t="shared" si="3"/>
        <v>0.8</v>
      </c>
      <c r="M14" s="16">
        <f t="shared" si="3"/>
        <v>0.86</v>
      </c>
      <c r="N14" s="46">
        <f t="shared" si="3"/>
        <v>0.86</v>
      </c>
      <c r="O14" s="219"/>
      <c r="P14" s="219"/>
      <c r="Q14" s="219"/>
    </row>
    <row r="16" spans="1:34" x14ac:dyDescent="0.25">
      <c r="A16" s="212" t="s">
        <v>17</v>
      </c>
      <c r="B16" s="212"/>
      <c r="C16" s="212"/>
      <c r="D16" s="212"/>
      <c r="E16" s="212"/>
      <c r="F16" s="212"/>
      <c r="G16" s="212"/>
      <c r="H16" s="212"/>
      <c r="I16" s="212"/>
      <c r="J16" s="212"/>
      <c r="K16" s="212"/>
      <c r="L16" s="212"/>
      <c r="M16" s="212"/>
      <c r="N16" s="212"/>
      <c r="O16" s="211"/>
      <c r="P16" s="211"/>
      <c r="Q16" s="211"/>
    </row>
    <row r="17" spans="1:27" x14ac:dyDescent="0.25">
      <c r="A17" s="2" t="s">
        <v>35</v>
      </c>
    </row>
    <row r="18" spans="1:27" x14ac:dyDescent="0.25">
      <c r="A18" s="5" t="s">
        <v>18</v>
      </c>
      <c r="B18" s="90">
        <v>0</v>
      </c>
      <c r="C18" s="91">
        <v>0</v>
      </c>
      <c r="D18" s="91">
        <v>0</v>
      </c>
      <c r="E18" s="91">
        <v>0</v>
      </c>
      <c r="F18" s="20">
        <f>F3</f>
        <v>200</v>
      </c>
      <c r="G18" s="20">
        <f t="shared" ref="G18:Q18" si="4">G3</f>
        <v>200</v>
      </c>
      <c r="H18" s="20">
        <f t="shared" si="4"/>
        <v>200</v>
      </c>
      <c r="I18" s="20">
        <f t="shared" si="4"/>
        <v>200</v>
      </c>
      <c r="J18" s="20">
        <f t="shared" si="4"/>
        <v>50000</v>
      </c>
      <c r="K18" s="20">
        <f t="shared" si="4"/>
        <v>50000</v>
      </c>
      <c r="L18" s="20">
        <f t="shared" si="4"/>
        <v>50000</v>
      </c>
      <c r="M18" s="20">
        <f t="shared" si="4"/>
        <v>50000</v>
      </c>
      <c r="N18" s="21">
        <f t="shared" si="4"/>
        <v>50000</v>
      </c>
      <c r="O18" s="21">
        <f t="shared" si="4"/>
        <v>50000</v>
      </c>
      <c r="P18" s="21">
        <f t="shared" si="4"/>
        <v>50000</v>
      </c>
      <c r="Q18" s="21">
        <f t="shared" si="4"/>
        <v>50000</v>
      </c>
    </row>
    <row r="19" spans="1:27" x14ac:dyDescent="0.25">
      <c r="A19" s="5" t="s">
        <v>19</v>
      </c>
      <c r="B19" s="51">
        <v>0</v>
      </c>
      <c r="C19" s="31">
        <v>0</v>
      </c>
      <c r="D19" s="31">
        <v>0</v>
      </c>
      <c r="E19" s="31">
        <v>0</v>
      </c>
      <c r="F19" s="31">
        <f>F4</f>
        <v>100</v>
      </c>
      <c r="G19" s="31">
        <f t="shared" ref="G19:Q19" si="5">G4</f>
        <v>100</v>
      </c>
      <c r="H19" s="31">
        <f t="shared" si="5"/>
        <v>110</v>
      </c>
      <c r="I19" s="31">
        <f t="shared" si="5"/>
        <v>120</v>
      </c>
      <c r="J19" s="31">
        <f t="shared" si="5"/>
        <v>38000</v>
      </c>
      <c r="K19" s="31">
        <f t="shared" si="5"/>
        <v>38000</v>
      </c>
      <c r="L19" s="31">
        <f t="shared" si="5"/>
        <v>40000</v>
      </c>
      <c r="M19" s="31">
        <f t="shared" si="5"/>
        <v>43000</v>
      </c>
      <c r="N19" s="56">
        <f t="shared" si="5"/>
        <v>43000</v>
      </c>
      <c r="O19" s="56">
        <f t="shared" si="5"/>
        <v>43000</v>
      </c>
      <c r="P19" s="56">
        <f t="shared" si="5"/>
        <v>43000</v>
      </c>
      <c r="Q19" s="56">
        <f t="shared" si="5"/>
        <v>43000</v>
      </c>
    </row>
    <row r="20" spans="1:27" x14ac:dyDescent="0.25">
      <c r="A20" s="5" t="s">
        <v>20</v>
      </c>
      <c r="B20" s="80">
        <v>0</v>
      </c>
      <c r="C20" s="47">
        <v>0</v>
      </c>
      <c r="D20" s="47">
        <v>0</v>
      </c>
      <c r="E20" s="47">
        <v>0</v>
      </c>
      <c r="F20" s="47">
        <f t="shared" ref="F20:Q20" si="6">F19/F18</f>
        <v>0.5</v>
      </c>
      <c r="G20" s="47">
        <f t="shared" si="6"/>
        <v>0.5</v>
      </c>
      <c r="H20" s="47">
        <f t="shared" si="6"/>
        <v>0.55000000000000004</v>
      </c>
      <c r="I20" s="47">
        <f t="shared" si="6"/>
        <v>0.6</v>
      </c>
      <c r="J20" s="47">
        <f t="shared" si="6"/>
        <v>0.76</v>
      </c>
      <c r="K20" s="47">
        <f t="shared" si="6"/>
        <v>0.76</v>
      </c>
      <c r="L20" s="47">
        <f t="shared" si="6"/>
        <v>0.8</v>
      </c>
      <c r="M20" s="47">
        <f t="shared" si="6"/>
        <v>0.86</v>
      </c>
      <c r="N20" s="48">
        <f t="shared" si="6"/>
        <v>0.86</v>
      </c>
      <c r="O20" s="48">
        <f t="shared" si="6"/>
        <v>0.86</v>
      </c>
      <c r="P20" s="48">
        <f t="shared" si="6"/>
        <v>0.86</v>
      </c>
      <c r="Q20" s="48">
        <f t="shared" si="6"/>
        <v>0.86</v>
      </c>
    </row>
    <row r="21" spans="1:27" ht="15.75" customHeight="1" x14ac:dyDescent="0.25">
      <c r="A21" s="5" t="s">
        <v>21</v>
      </c>
      <c r="B21" s="23">
        <v>9530</v>
      </c>
      <c r="C21" s="24">
        <v>16570</v>
      </c>
      <c r="D21" s="24">
        <v>31060</v>
      </c>
      <c r="E21" s="24">
        <v>33450</v>
      </c>
      <c r="F21" s="49">
        <v>38230</v>
      </c>
      <c r="G21" s="49">
        <v>35060</v>
      </c>
      <c r="H21" s="49" t="s">
        <v>22</v>
      </c>
      <c r="I21" s="49" t="s">
        <v>22</v>
      </c>
      <c r="J21" s="49" t="s">
        <v>22</v>
      </c>
      <c r="K21" s="49" t="s">
        <v>22</v>
      </c>
      <c r="L21" s="49" t="s">
        <v>22</v>
      </c>
      <c r="M21" s="49" t="s">
        <v>22</v>
      </c>
      <c r="N21" s="50" t="s">
        <v>22</v>
      </c>
      <c r="O21" s="49"/>
      <c r="P21" s="49"/>
      <c r="Q21" s="49"/>
    </row>
    <row r="22" spans="1:27" x14ac:dyDescent="0.25">
      <c r="A22" s="5" t="s">
        <v>23</v>
      </c>
      <c r="B22" s="23">
        <v>9.4348799999999997</v>
      </c>
      <c r="C22" s="24">
        <v>1.071</v>
      </c>
      <c r="D22" s="24">
        <v>9.8160000000000007</v>
      </c>
      <c r="E22" s="24">
        <v>13.073230000000001</v>
      </c>
      <c r="F22" s="49">
        <v>52.347790000000003</v>
      </c>
      <c r="G22" s="49">
        <v>36.420360000000002</v>
      </c>
      <c r="H22" s="49" t="s">
        <v>22</v>
      </c>
      <c r="I22" s="49" t="s">
        <v>22</v>
      </c>
      <c r="J22" s="49" t="s">
        <v>22</v>
      </c>
      <c r="K22" s="49" t="s">
        <v>22</v>
      </c>
      <c r="L22" s="49" t="s">
        <v>22</v>
      </c>
      <c r="M22" s="49" t="s">
        <v>22</v>
      </c>
      <c r="N22" s="50" t="s">
        <v>22</v>
      </c>
      <c r="O22" s="49"/>
      <c r="P22" s="49"/>
      <c r="Q22" s="49"/>
    </row>
    <row r="23" spans="1:27" x14ac:dyDescent="0.25">
      <c r="A23" s="5" t="s">
        <v>24</v>
      </c>
      <c r="B23" s="51">
        <v>0</v>
      </c>
      <c r="C23" s="31">
        <v>0</v>
      </c>
      <c r="D23" s="31">
        <v>0</v>
      </c>
      <c r="E23" s="31">
        <v>0</v>
      </c>
      <c r="F23" s="31">
        <v>0</v>
      </c>
      <c r="G23" s="31">
        <v>0</v>
      </c>
      <c r="H23" s="31" t="s">
        <v>22</v>
      </c>
      <c r="I23" s="31" t="s">
        <v>22</v>
      </c>
      <c r="J23" s="31" t="s">
        <v>22</v>
      </c>
      <c r="K23" s="31" t="s">
        <v>22</v>
      </c>
      <c r="L23" s="31" t="s">
        <v>22</v>
      </c>
      <c r="M23" s="31" t="s">
        <v>22</v>
      </c>
      <c r="N23" s="56" t="s">
        <v>22</v>
      </c>
      <c r="O23" s="218"/>
      <c r="P23" s="218"/>
      <c r="Q23" s="218"/>
      <c r="R23" s="31"/>
    </row>
    <row r="24" spans="1:27" x14ac:dyDescent="0.25">
      <c r="A24" s="5" t="s">
        <v>25</v>
      </c>
      <c r="B24" s="51">
        <f t="shared" ref="B24:F24" si="7">(B19+B21)-(B22+B23)</f>
        <v>9520.5651199999993</v>
      </c>
      <c r="C24" s="31">
        <f t="shared" si="7"/>
        <v>16568.929</v>
      </c>
      <c r="D24" s="31">
        <f t="shared" si="7"/>
        <v>31050.184000000001</v>
      </c>
      <c r="E24" s="31">
        <f t="shared" si="7"/>
        <v>33436.926769999998</v>
      </c>
      <c r="F24" s="31">
        <f t="shared" si="7"/>
        <v>38277.65221</v>
      </c>
      <c r="G24" s="31">
        <f>F24+G26*F24</f>
        <v>43857.456035083793</v>
      </c>
      <c r="H24" s="31">
        <f t="shared" ref="H24:N24" si="8">G24+H26*G24</f>
        <v>50338.35304725865</v>
      </c>
      <c r="I24" s="31">
        <f t="shared" si="8"/>
        <v>57877.620847209764</v>
      </c>
      <c r="J24" s="31">
        <f t="shared" si="8"/>
        <v>66661.813905721297</v>
      </c>
      <c r="K24" s="31">
        <f t="shared" si="8"/>
        <v>76979.185556596276</v>
      </c>
      <c r="L24" s="31">
        <f t="shared" si="8"/>
        <v>89124.333367015352</v>
      </c>
      <c r="M24" s="31">
        <f t="shared" si="8"/>
        <v>103453.01650466843</v>
      </c>
      <c r="N24" s="56">
        <f t="shared" si="8"/>
        <v>120499.16047296868</v>
      </c>
      <c r="O24" s="56">
        <f t="shared" ref="O24" si="9">N24+O26*N24</f>
        <v>140743.01943242742</v>
      </c>
      <c r="P24" s="56">
        <f t="shared" ref="P24" si="10">O24+P26*O24</f>
        <v>164683.40703788333</v>
      </c>
      <c r="Q24" s="56">
        <f t="shared" ref="Q24" si="11">P24+Q26*P24</f>
        <v>192926.61134488031</v>
      </c>
      <c r="R24" s="111">
        <f>(G24/B24)^(1/5)-1</f>
        <v>0.35730091465127511</v>
      </c>
      <c r="S24" s="112">
        <f>(L24/G24)^(1/5)-1</f>
        <v>0.15236635927087039</v>
      </c>
      <c r="T24" s="113">
        <f>(Q24/L24)^(1/5)-1</f>
        <v>0.16702233636410457</v>
      </c>
    </row>
    <row r="25" spans="1:27" x14ac:dyDescent="0.25">
      <c r="A25" s="5" t="s">
        <v>26</v>
      </c>
      <c r="B25" s="52" t="s">
        <v>22</v>
      </c>
      <c r="C25" s="53" t="s">
        <v>22</v>
      </c>
      <c r="D25" s="53" t="s">
        <v>22</v>
      </c>
      <c r="E25" s="53" t="s">
        <v>22</v>
      </c>
      <c r="F25" s="54">
        <f t="shared" ref="F25:M25" si="12">F19-F24</f>
        <v>-38177.65221</v>
      </c>
      <c r="G25" s="54">
        <f t="shared" si="12"/>
        <v>-43757.456035083793</v>
      </c>
      <c r="H25" s="54">
        <f>H19-H24</f>
        <v>-50228.35304725865</v>
      </c>
      <c r="I25" s="54">
        <f t="shared" si="12"/>
        <v>-57757.620847209764</v>
      </c>
      <c r="J25" s="54">
        <f t="shared" si="12"/>
        <v>-28661.813905721297</v>
      </c>
      <c r="K25" s="54">
        <f t="shared" si="12"/>
        <v>-38979.185556596276</v>
      </c>
      <c r="L25" s="54">
        <f>L19-L24</f>
        <v>-49124.333367015352</v>
      </c>
      <c r="M25" s="54">
        <f t="shared" si="12"/>
        <v>-60453.016504668427</v>
      </c>
      <c r="N25" s="55">
        <f>N19-N24</f>
        <v>-77499.160472968681</v>
      </c>
      <c r="O25" s="55">
        <f t="shared" ref="O25:Q25" si="13">O19-O24</f>
        <v>-97743.01943242742</v>
      </c>
      <c r="P25" s="55">
        <f t="shared" si="13"/>
        <v>-121683.40703788333</v>
      </c>
      <c r="Q25" s="55">
        <f t="shared" si="13"/>
        <v>-149926.61134488031</v>
      </c>
    </row>
    <row r="26" spans="1:27" x14ac:dyDescent="0.25">
      <c r="B26" s="7"/>
      <c r="C26" s="109">
        <f>(C24-B24)/B24</f>
        <v>0.74033041013430945</v>
      </c>
      <c r="D26" s="109">
        <f t="shared" ref="D26:F26" si="14">(D24-C24)/C24</f>
        <v>0.87400066715235492</v>
      </c>
      <c r="E26" s="109">
        <f t="shared" si="14"/>
        <v>7.6867266551463823E-2</v>
      </c>
      <c r="F26" s="110">
        <f t="shared" si="14"/>
        <v>0.14477184082429362</v>
      </c>
      <c r="G26" s="110">
        <f>F26+0.1%</f>
        <v>0.14577184082429362</v>
      </c>
      <c r="H26" s="110">
        <f t="shared" ref="H26" si="15">G26+0.2%</f>
        <v>0.14777184082429362</v>
      </c>
      <c r="I26" s="110">
        <f>H26+0.2%</f>
        <v>0.14977184082429362</v>
      </c>
      <c r="J26" s="110">
        <f>I26+0.2%</f>
        <v>0.15177184082429362</v>
      </c>
      <c r="K26" s="110">
        <f>J26+0.3%</f>
        <v>0.15477184082429363</v>
      </c>
      <c r="L26" s="110">
        <f>K26+0.3%</f>
        <v>0.15777184082429363</v>
      </c>
      <c r="M26" s="110">
        <f>L26+0.3%</f>
        <v>0.16077184082429363</v>
      </c>
      <c r="N26" s="110">
        <f>M26+0.4%</f>
        <v>0.16477184082429364</v>
      </c>
      <c r="O26" s="110">
        <v>0.16800000000000001</v>
      </c>
      <c r="P26" s="110">
        <v>0.1701</v>
      </c>
      <c r="Q26" s="110">
        <v>0.17150000000000001</v>
      </c>
    </row>
    <row r="27" spans="1:27" x14ac:dyDescent="0.25">
      <c r="B27" s="7"/>
      <c r="C27" s="10"/>
      <c r="D27" s="10"/>
      <c r="E27" s="10"/>
      <c r="F27" s="11"/>
      <c r="G27" s="7"/>
      <c r="H27" s="7"/>
      <c r="I27" s="7"/>
      <c r="J27" s="7"/>
      <c r="K27" s="7"/>
      <c r="L27" s="7"/>
      <c r="M27" s="7"/>
      <c r="N27" s="7"/>
      <c r="O27" s="7"/>
      <c r="P27" s="7"/>
      <c r="Q27" s="7"/>
      <c r="R27" s="32"/>
    </row>
    <row r="28" spans="1:27" x14ac:dyDescent="0.25">
      <c r="A28" s="76" t="s">
        <v>46</v>
      </c>
      <c r="B28" s="7"/>
      <c r="C28" s="7"/>
      <c r="D28" s="7"/>
      <c r="E28" s="7"/>
      <c r="F28" s="7"/>
      <c r="G28" s="7"/>
      <c r="H28" s="7"/>
      <c r="I28" s="7"/>
      <c r="J28" s="7"/>
      <c r="K28" s="7"/>
      <c r="L28" s="7"/>
      <c r="M28" s="7"/>
      <c r="N28" s="7"/>
      <c r="O28" s="7"/>
      <c r="P28" s="7"/>
      <c r="Q28" s="7"/>
      <c r="S28" s="31"/>
      <c r="T28" s="31"/>
      <c r="U28" s="31"/>
      <c r="V28" s="31"/>
      <c r="W28" s="31"/>
      <c r="X28" s="31"/>
      <c r="Y28" s="31"/>
      <c r="Z28" s="31"/>
      <c r="AA28" s="31"/>
    </row>
    <row r="29" spans="1:27" x14ac:dyDescent="0.25">
      <c r="A29" s="8" t="s">
        <v>39</v>
      </c>
      <c r="B29" s="82">
        <v>0.96699999999999997</v>
      </c>
      <c r="C29" s="83">
        <v>0.96619867302371931</v>
      </c>
      <c r="D29" s="83">
        <v>0.96539801008562165</v>
      </c>
      <c r="E29" s="83">
        <v>0.96459801063543638</v>
      </c>
      <c r="F29" s="83">
        <v>0.96379867412334863</v>
      </c>
      <c r="G29" s="83">
        <v>0.96299999999999963</v>
      </c>
      <c r="H29" s="83">
        <v>0.9622841197372205</v>
      </c>
      <c r="I29" s="83">
        <v>0.96156877164946786</v>
      </c>
      <c r="J29" s="83">
        <v>0.96085395534113072</v>
      </c>
      <c r="K29" s="83">
        <v>0.96013967041689174</v>
      </c>
      <c r="L29" s="83">
        <v>0.95942591648172793</v>
      </c>
      <c r="M29" s="83">
        <v>0.95871269314090946</v>
      </c>
      <c r="N29" s="84">
        <v>0.95800000000000041</v>
      </c>
      <c r="O29" s="81"/>
      <c r="P29" s="81"/>
      <c r="Q29" s="81"/>
      <c r="R29" s="60"/>
      <c r="S29" s="31"/>
      <c r="T29" s="31"/>
      <c r="U29" s="31"/>
      <c r="V29" s="31"/>
      <c r="W29" s="31"/>
      <c r="X29" s="31"/>
      <c r="Y29" s="31"/>
      <c r="Z29" s="31"/>
      <c r="AA29" s="31"/>
    </row>
    <row r="30" spans="1:27" x14ac:dyDescent="0.25">
      <c r="A30" s="8" t="s">
        <v>40</v>
      </c>
      <c r="B30" s="88">
        <f>B35/B$24</f>
        <v>2.1000000000000001E-2</v>
      </c>
      <c r="C30" s="81">
        <f t="shared" ref="C30:N30" si="16">C35/C$24</f>
        <v>2.1483074279361278E-2</v>
      </c>
      <c r="D30" s="81">
        <f t="shared" si="16"/>
        <v>2.1977260975835911E-2</v>
      </c>
      <c r="E30" s="81">
        <f t="shared" si="16"/>
        <v>2.2482815714323371E-2</v>
      </c>
      <c r="F30" s="81">
        <f t="shared" si="16"/>
        <v>2.2999999999999996E-2</v>
      </c>
      <c r="G30" s="81">
        <f t="shared" si="16"/>
        <v>2.3465635861828156E-2</v>
      </c>
      <c r="H30" s="81">
        <f t="shared" si="16"/>
        <v>2.3940698539126774E-2</v>
      </c>
      <c r="I30" s="81">
        <f t="shared" si="16"/>
        <v>2.4425378878128273E-2</v>
      </c>
      <c r="J30" s="81">
        <f t="shared" si="16"/>
        <v>2.4919871588754215E-2</v>
      </c>
      <c r="K30" s="81">
        <f t="shared" si="16"/>
        <v>2.5424375322835813E-2</v>
      </c>
      <c r="L30" s="81">
        <f t="shared" si="16"/>
        <v>2.5939092753918036E-2</v>
      </c>
      <c r="M30" s="81">
        <f t="shared" si="16"/>
        <v>2.6464230658679394E-2</v>
      </c>
      <c r="N30" s="89">
        <f t="shared" si="16"/>
        <v>2.6999999999999979E-2</v>
      </c>
      <c r="O30" s="81"/>
      <c r="P30" s="81"/>
      <c r="Q30" s="81"/>
      <c r="R30" s="60"/>
      <c r="S30" s="31"/>
      <c r="T30" s="31"/>
      <c r="U30" s="31"/>
      <c r="V30" s="31"/>
      <c r="W30" s="31"/>
      <c r="X30" s="31"/>
      <c r="Y30" s="31"/>
      <c r="Z30" s="31"/>
      <c r="AA30" s="31"/>
    </row>
    <row r="31" spans="1:27" x14ac:dyDescent="0.25">
      <c r="A31" s="8" t="s">
        <v>38</v>
      </c>
      <c r="B31" s="85">
        <f>100%-SUM(B29:B30)</f>
        <v>1.2000000000000011E-2</v>
      </c>
      <c r="C31" s="86">
        <f t="shared" ref="C31:N31" si="17">100%-SUM(C29:C30)</f>
        <v>1.2318252696919441E-2</v>
      </c>
      <c r="D31" s="86">
        <f t="shared" si="17"/>
        <v>1.2624728938542384E-2</v>
      </c>
      <c r="E31" s="86">
        <f t="shared" si="17"/>
        <v>1.2919173650240201E-2</v>
      </c>
      <c r="F31" s="86">
        <f t="shared" si="17"/>
        <v>1.3201325876651349E-2</v>
      </c>
      <c r="G31" s="86">
        <f t="shared" si="17"/>
        <v>1.3534364138172217E-2</v>
      </c>
      <c r="H31" s="86">
        <f t="shared" si="17"/>
        <v>1.3775181723652774E-2</v>
      </c>
      <c r="I31" s="86">
        <f t="shared" si="17"/>
        <v>1.4005849472403908E-2</v>
      </c>
      <c r="J31" s="86">
        <f t="shared" si="17"/>
        <v>1.4226173070115089E-2</v>
      </c>
      <c r="K31" s="86">
        <f t="shared" si="17"/>
        <v>1.4435954260272443E-2</v>
      </c>
      <c r="L31" s="86">
        <f t="shared" si="17"/>
        <v>1.4634990764354039E-2</v>
      </c>
      <c r="M31" s="86">
        <f t="shared" si="17"/>
        <v>1.4823076200411123E-2</v>
      </c>
      <c r="N31" s="87">
        <f t="shared" si="17"/>
        <v>1.4999999999999569E-2</v>
      </c>
      <c r="O31" s="81"/>
      <c r="P31" s="81"/>
      <c r="Q31" s="81"/>
      <c r="R31" s="60"/>
      <c r="S31" s="31"/>
      <c r="T31" s="31"/>
      <c r="U31" s="31"/>
      <c r="V31" s="31"/>
      <c r="W31" s="31"/>
      <c r="X31" s="31"/>
      <c r="Y31" s="31"/>
      <c r="Z31" s="31"/>
      <c r="AA31" s="31"/>
    </row>
    <row r="32" spans="1:27" x14ac:dyDescent="0.25">
      <c r="A32" s="12"/>
      <c r="B32" s="31"/>
      <c r="C32" s="31"/>
      <c r="D32" s="31"/>
      <c r="E32" s="31"/>
      <c r="F32" s="31"/>
      <c r="G32" s="31"/>
      <c r="H32" s="31"/>
      <c r="I32" s="31"/>
      <c r="J32" s="31"/>
      <c r="K32" s="31"/>
      <c r="L32" s="31"/>
      <c r="M32" s="31"/>
      <c r="N32" s="31"/>
      <c r="O32" s="31"/>
      <c r="P32" s="31"/>
      <c r="Q32" s="31"/>
      <c r="R32" s="60"/>
      <c r="S32" s="31"/>
      <c r="T32" s="31"/>
      <c r="U32" s="31"/>
      <c r="V32" s="31"/>
      <c r="W32" s="31"/>
      <c r="X32" s="31"/>
      <c r="Y32" s="31"/>
      <c r="Z32" s="31"/>
      <c r="AA32" s="31"/>
    </row>
    <row r="33" spans="1:27" x14ac:dyDescent="0.25">
      <c r="A33" s="76" t="s">
        <v>36</v>
      </c>
      <c r="B33" s="7"/>
      <c r="C33" s="7"/>
      <c r="D33" s="7"/>
      <c r="E33" s="7"/>
      <c r="F33" s="7"/>
      <c r="G33" s="7"/>
      <c r="H33" s="7"/>
      <c r="I33" s="7"/>
      <c r="J33" s="7"/>
      <c r="K33" s="7"/>
      <c r="L33" s="7"/>
      <c r="M33" s="7"/>
      <c r="N33" s="7"/>
      <c r="O33" s="7"/>
      <c r="P33" s="7"/>
      <c r="Q33" s="7"/>
      <c r="S33" s="31"/>
      <c r="T33" s="31"/>
      <c r="U33" s="31"/>
      <c r="V33" s="31"/>
      <c r="W33" s="31"/>
      <c r="X33" s="31"/>
      <c r="Y33" s="31"/>
      <c r="Z33" s="31"/>
      <c r="AA33" s="31"/>
    </row>
    <row r="34" spans="1:27" x14ac:dyDescent="0.25">
      <c r="A34" s="8" t="s">
        <v>39</v>
      </c>
      <c r="B34" s="92">
        <f>B29*B$24</f>
        <v>9206.3864710399994</v>
      </c>
      <c r="C34" s="93">
        <f t="shared" ref="C34:N34" si="18">C29*C$24</f>
        <v>16008.877213224221</v>
      </c>
      <c r="D34" s="93">
        <f t="shared" si="18"/>
        <v>29975.785846392409</v>
      </c>
      <c r="E34" s="93">
        <f t="shared" si="18"/>
        <v>32253.193044104766</v>
      </c>
      <c r="F34" s="93">
        <f t="shared" si="18"/>
        <v>36891.950448552663</v>
      </c>
      <c r="G34" s="93">
        <f t="shared" si="18"/>
        <v>42234.730161785679</v>
      </c>
      <c r="H34" s="93">
        <f t="shared" si="18"/>
        <v>48439.79775110272</v>
      </c>
      <c r="I34" s="93">
        <f t="shared" si="18"/>
        <v>55653.312784045127</v>
      </c>
      <c r="J34" s="93">
        <f t="shared" si="18"/>
        <v>64052.2675615267</v>
      </c>
      <c r="K34" s="93">
        <f t="shared" si="18"/>
        <v>73910.769849271106</v>
      </c>
      <c r="L34" s="93">
        <f t="shared" si="18"/>
        <v>85508.195221471746</v>
      </c>
      <c r="M34" s="93">
        <f t="shared" si="18"/>
        <v>99181.720066741618</v>
      </c>
      <c r="N34" s="94">
        <f t="shared" si="18"/>
        <v>115438.19573310405</v>
      </c>
      <c r="O34" s="94"/>
      <c r="P34" s="94"/>
      <c r="Q34" s="94"/>
      <c r="R34" s="111">
        <f>(F34/B34)^(1/4)-1</f>
        <v>0.41485066629932277</v>
      </c>
      <c r="S34" s="112">
        <f>(N34/I34)^(1/5)-1</f>
        <v>0.15710215348119516</v>
      </c>
      <c r="T34" s="31"/>
      <c r="U34" s="31"/>
      <c r="V34" s="31"/>
      <c r="W34" s="31"/>
      <c r="X34" s="31"/>
      <c r="Y34" s="31"/>
      <c r="Z34" s="31"/>
      <c r="AA34" s="31"/>
    </row>
    <row r="35" spans="1:27" x14ac:dyDescent="0.25">
      <c r="A35" s="8" t="s">
        <v>40</v>
      </c>
      <c r="B35" s="95">
        <f>B47</f>
        <v>199.93186752</v>
      </c>
      <c r="C35" s="96">
        <f t="shared" ref="C35:N35" si="19">C47</f>
        <v>355.9515324364632</v>
      </c>
      <c r="D35" s="96">
        <f t="shared" si="19"/>
        <v>682.39799711572459</v>
      </c>
      <c r="E35" s="96">
        <f t="shared" si="19"/>
        <v>751.75626262323578</v>
      </c>
      <c r="F35" s="96">
        <f t="shared" si="19"/>
        <v>880.38600082999983</v>
      </c>
      <c r="G35" s="96">
        <f t="shared" si="19"/>
        <v>1029.143093145414</v>
      </c>
      <c r="H35" s="96">
        <f t="shared" si="19"/>
        <v>1205.1353352605529</v>
      </c>
      <c r="I35" s="96">
        <f t="shared" si="19"/>
        <v>1413.682817757754</v>
      </c>
      <c r="J35" s="96">
        <f t="shared" si="19"/>
        <v>1661.2038424040047</v>
      </c>
      <c r="K35" s="96">
        <f t="shared" si="19"/>
        <v>1957.1477056371255</v>
      </c>
      <c r="L35" s="96">
        <f t="shared" si="19"/>
        <v>2311.8043498381235</v>
      </c>
      <c r="M35" s="96">
        <f t="shared" si="19"/>
        <v>2737.8044911157117</v>
      </c>
      <c r="N35" s="97">
        <f t="shared" si="19"/>
        <v>3253.4773327701519</v>
      </c>
      <c r="O35" s="97"/>
      <c r="P35" s="97"/>
      <c r="Q35" s="97"/>
      <c r="R35" s="111">
        <f t="shared" ref="R35:R36" si="20">(F35/B35)^(1/4)-1</f>
        <v>0.44859765014820008</v>
      </c>
      <c r="S35" s="112">
        <f t="shared" ref="S35:S36" si="21">(N35/I35)^(1/5)-1</f>
        <v>0.18140597003593073</v>
      </c>
      <c r="T35" s="31"/>
      <c r="U35" s="31"/>
      <c r="V35" s="31"/>
      <c r="W35" s="31"/>
      <c r="X35" s="31"/>
      <c r="Y35" s="31"/>
      <c r="Z35" s="31"/>
      <c r="AA35" s="31"/>
    </row>
    <row r="36" spans="1:27" x14ac:dyDescent="0.25">
      <c r="A36" s="8" t="s">
        <v>38</v>
      </c>
      <c r="B36" s="98">
        <f>B31*B$24</f>
        <v>114.24678144000009</v>
      </c>
      <c r="C36" s="99">
        <f t="shared" ref="C36:N36" si="22">C31*C$24</f>
        <v>204.10025433931673</v>
      </c>
      <c r="D36" s="99">
        <f t="shared" si="22"/>
        <v>392.00015649186577</v>
      </c>
      <c r="E36" s="99">
        <f>E31*E$24</f>
        <v>431.97746327199519</v>
      </c>
      <c r="F36" s="99">
        <f t="shared" si="22"/>
        <v>505.31576061733369</v>
      </c>
      <c r="G36" s="99">
        <f t="shared" si="22"/>
        <v>593.58278015270275</v>
      </c>
      <c r="H36" s="99">
        <f t="shared" si="22"/>
        <v>693.41996089537827</v>
      </c>
      <c r="I36" s="99">
        <f t="shared" si="22"/>
        <v>810.62524540688628</v>
      </c>
      <c r="J36" s="99">
        <f t="shared" si="22"/>
        <v>948.34250179059586</v>
      </c>
      <c r="K36" s="99">
        <f t="shared" si="22"/>
        <v>1111.268001688049</v>
      </c>
      <c r="L36" s="99">
        <f t="shared" si="22"/>
        <v>1304.3337957054803</v>
      </c>
      <c r="M36" s="99">
        <f t="shared" si="22"/>
        <v>1533.4919468110897</v>
      </c>
      <c r="N36" s="100">
        <f t="shared" si="22"/>
        <v>1807.4874070944784</v>
      </c>
      <c r="O36" s="100"/>
      <c r="P36" s="100"/>
      <c r="Q36" s="100"/>
      <c r="R36" s="111">
        <f t="shared" si="20"/>
        <v>0.45020606635525118</v>
      </c>
      <c r="S36" s="112">
        <f t="shared" si="21"/>
        <v>0.17395386790516709</v>
      </c>
      <c r="T36" s="31"/>
      <c r="U36" s="31"/>
      <c r="V36" s="31"/>
      <c r="W36" s="31"/>
      <c r="X36" s="31"/>
      <c r="Y36" s="31"/>
      <c r="Z36" s="31"/>
      <c r="AA36" s="31"/>
    </row>
    <row r="37" spans="1:27" x14ac:dyDescent="0.25">
      <c r="A37" s="12"/>
      <c r="B37" s="61"/>
      <c r="C37" s="61"/>
      <c r="D37" s="61"/>
      <c r="E37" s="61"/>
      <c r="F37" s="61"/>
      <c r="G37" s="61"/>
      <c r="H37" s="61"/>
      <c r="I37" s="61"/>
      <c r="J37" s="61"/>
      <c r="K37" s="61"/>
      <c r="L37" s="61"/>
      <c r="M37" s="61"/>
      <c r="N37" s="61"/>
      <c r="O37" s="61"/>
      <c r="P37" s="61"/>
      <c r="Q37" s="61"/>
      <c r="R37" s="60"/>
      <c r="S37" s="31"/>
      <c r="T37" s="31"/>
      <c r="U37" s="31"/>
      <c r="V37" s="31"/>
      <c r="W37" s="31"/>
      <c r="X37" s="31"/>
      <c r="Y37" s="31"/>
      <c r="Z37" s="31"/>
      <c r="AA37" s="31"/>
    </row>
    <row r="38" spans="1:27" x14ac:dyDescent="0.25">
      <c r="A38" s="9" t="s">
        <v>47</v>
      </c>
      <c r="R38" s="63"/>
      <c r="S38" s="63"/>
    </row>
    <row r="39" spans="1:27" x14ac:dyDescent="0.25">
      <c r="A39" s="8" t="s">
        <v>42</v>
      </c>
      <c r="B39" s="102">
        <v>0.89800000000000002</v>
      </c>
      <c r="C39" s="103">
        <v>0.89874904092003804</v>
      </c>
      <c r="D39" s="103">
        <v>0.89949872086319671</v>
      </c>
      <c r="E39" s="103">
        <v>0.90024904037464071</v>
      </c>
      <c r="F39" s="103">
        <v>0.90099999999999947</v>
      </c>
      <c r="G39" s="103">
        <v>0.90168562954490705</v>
      </c>
      <c r="H39" s="103">
        <v>0.9023717926742334</v>
      </c>
      <c r="I39" s="103">
        <v>0.903058489803235</v>
      </c>
      <c r="J39" s="103">
        <v>0.9037457213474922</v>
      </c>
      <c r="K39" s="103">
        <v>0.90443348772290821</v>
      </c>
      <c r="L39" s="103">
        <v>0.9051217893457103</v>
      </c>
      <c r="M39" s="103">
        <v>0.90581062663244893</v>
      </c>
      <c r="N39" s="104">
        <v>0.90649999999999986</v>
      </c>
      <c r="O39" s="66"/>
      <c r="P39" s="66"/>
      <c r="Q39" s="66"/>
      <c r="R39" s="60"/>
      <c r="S39" s="64"/>
    </row>
    <row r="40" spans="1:27" x14ac:dyDescent="0.25">
      <c r="A40" s="8" t="s">
        <v>43</v>
      </c>
      <c r="B40" s="65">
        <v>5.7000000000000023E-2</v>
      </c>
      <c r="C40" s="66">
        <v>5.6495054736399181E-2</v>
      </c>
      <c r="D40" s="66">
        <v>5.5993420767853325E-2</v>
      </c>
      <c r="E40" s="66">
        <v>5.5495076379781225E-2</v>
      </c>
      <c r="F40" s="66">
        <v>5.5000000000000035E-2</v>
      </c>
      <c r="G40" s="66">
        <v>5.4537872068358001E-2</v>
      </c>
      <c r="H40" s="66">
        <v>5.4078591633052023E-2</v>
      </c>
      <c r="I40" s="66">
        <v>5.3622141148647537E-2</v>
      </c>
      <c r="J40" s="66">
        <v>5.3168503177819779E-2</v>
      </c>
      <c r="K40" s="66">
        <v>5.2717660390687662E-2</v>
      </c>
      <c r="L40" s="66">
        <v>5.2269595564151713E-2</v>
      </c>
      <c r="M40" s="66">
        <v>5.1824291581236151E-2</v>
      </c>
      <c r="N40" s="77">
        <v>5.1381731430434952E-2</v>
      </c>
      <c r="O40" s="66"/>
      <c r="P40" s="66"/>
      <c r="Q40" s="66"/>
      <c r="R40" s="60"/>
      <c r="S40" s="64"/>
    </row>
    <row r="41" spans="1:27" x14ac:dyDescent="0.25">
      <c r="A41" s="8" t="s">
        <v>44</v>
      </c>
      <c r="B41" s="65">
        <v>2.1000000000000001E-2</v>
      </c>
      <c r="C41" s="66">
        <v>2.1483074279361278E-2</v>
      </c>
      <c r="D41" s="66">
        <v>2.1977260975835911E-2</v>
      </c>
      <c r="E41" s="66">
        <v>2.2482815714323371E-2</v>
      </c>
      <c r="F41" s="66">
        <v>2.2999999999999996E-2</v>
      </c>
      <c r="G41" s="66">
        <v>2.3465635861828156E-2</v>
      </c>
      <c r="H41" s="66">
        <v>2.3940698539126774E-2</v>
      </c>
      <c r="I41" s="66">
        <v>2.4425378878128273E-2</v>
      </c>
      <c r="J41" s="66">
        <v>2.4919871588754215E-2</v>
      </c>
      <c r="K41" s="66">
        <v>2.5424375322835813E-2</v>
      </c>
      <c r="L41" s="66">
        <v>2.593909275391804E-2</v>
      </c>
      <c r="M41" s="66">
        <v>2.6464230658679398E-2</v>
      </c>
      <c r="N41" s="77">
        <v>2.6999999999999979E-2</v>
      </c>
      <c r="O41" s="66"/>
      <c r="P41" s="66"/>
      <c r="Q41" s="66"/>
      <c r="R41" s="60"/>
      <c r="S41" s="64"/>
    </row>
    <row r="42" spans="1:27" x14ac:dyDescent="0.25">
      <c r="A42" s="8" t="s">
        <v>38</v>
      </c>
      <c r="B42" s="67">
        <f t="shared" ref="B42:N42" si="23">100%-SUM(B39:B41)</f>
        <v>2.399999999999991E-2</v>
      </c>
      <c r="C42" s="78">
        <f t="shared" si="23"/>
        <v>2.3272830064201555E-2</v>
      </c>
      <c r="D42" s="78">
        <f t="shared" si="23"/>
        <v>2.2530597393114027E-2</v>
      </c>
      <c r="E42" s="78">
        <f t="shared" si="23"/>
        <v>2.1773067531254631E-2</v>
      </c>
      <c r="F42" s="78">
        <f t="shared" si="23"/>
        <v>2.1000000000000463E-2</v>
      </c>
      <c r="G42" s="78">
        <f t="shared" si="23"/>
        <v>2.031086252490677E-2</v>
      </c>
      <c r="H42" s="78">
        <f t="shared" si="23"/>
        <v>1.9608917153587813E-2</v>
      </c>
      <c r="I42" s="78">
        <f t="shared" si="23"/>
        <v>1.8893990169989272E-2</v>
      </c>
      <c r="J42" s="78">
        <f t="shared" si="23"/>
        <v>1.8165903885933865E-2</v>
      </c>
      <c r="K42" s="78">
        <f t="shared" si="23"/>
        <v>1.742447656356827E-2</v>
      </c>
      <c r="L42" s="78">
        <f t="shared" si="23"/>
        <v>1.6669522336219988E-2</v>
      </c>
      <c r="M42" s="78">
        <f t="shared" si="23"/>
        <v>1.5900851127635507E-2</v>
      </c>
      <c r="N42" s="79">
        <f t="shared" si="23"/>
        <v>1.5118268569565108E-2</v>
      </c>
      <c r="O42" s="66"/>
      <c r="P42" s="66"/>
      <c r="Q42" s="66"/>
      <c r="R42" s="60"/>
      <c r="S42" s="64"/>
    </row>
    <row r="43" spans="1:27" x14ac:dyDescent="0.25">
      <c r="B43" s="101"/>
      <c r="C43" s="101"/>
      <c r="D43" s="101"/>
      <c r="E43" s="101"/>
      <c r="F43" s="101"/>
      <c r="G43" s="101"/>
      <c r="H43" s="101"/>
      <c r="I43" s="101"/>
      <c r="J43" s="101"/>
      <c r="K43" s="101"/>
      <c r="L43" s="101"/>
      <c r="M43" s="101"/>
      <c r="N43" s="101"/>
      <c r="O43" s="101"/>
      <c r="P43" s="101"/>
      <c r="Q43" s="101"/>
    </row>
    <row r="44" spans="1:27" x14ac:dyDescent="0.25">
      <c r="A44" s="9" t="s">
        <v>41</v>
      </c>
      <c r="B44" s="61"/>
      <c r="C44" s="61"/>
      <c r="D44" s="61"/>
      <c r="E44" s="62"/>
      <c r="F44" s="63"/>
      <c r="G44" s="63"/>
      <c r="H44" s="63"/>
      <c r="I44" s="63"/>
      <c r="J44" s="63"/>
      <c r="K44" s="63"/>
      <c r="L44" s="63"/>
      <c r="M44" s="63"/>
      <c r="N44" s="63"/>
      <c r="O44" s="63"/>
      <c r="P44" s="63"/>
      <c r="Q44" s="63"/>
      <c r="R44" s="63"/>
      <c r="S44" s="63"/>
    </row>
    <row r="45" spans="1:27" x14ac:dyDescent="0.25">
      <c r="A45" s="8" t="s">
        <v>42</v>
      </c>
      <c r="B45" s="68">
        <f t="shared" ref="B45:N45" si="24">B39*B$24</f>
        <v>8549.4674777599994</v>
      </c>
      <c r="C45" s="69">
        <f t="shared" si="24"/>
        <v>14891.309047822206</v>
      </c>
      <c r="D45" s="69">
        <f t="shared" si="24"/>
        <v>27929.600790566899</v>
      </c>
      <c r="E45" s="69">
        <f t="shared" si="24"/>
        <v>30101.561237769634</v>
      </c>
      <c r="F45" s="117">
        <f t="shared" si="24"/>
        <v>34488.16464120998</v>
      </c>
      <c r="G45" s="69">
        <f t="shared" si="24"/>
        <v>39545.637855232613</v>
      </c>
      <c r="H45" s="69">
        <f t="shared" si="24"/>
        <v>45423.909879523249</v>
      </c>
      <c r="I45" s="69">
        <f t="shared" si="24"/>
        <v>52266.876875685477</v>
      </c>
      <c r="J45" s="69">
        <f t="shared" si="24"/>
        <v>60245.329094558379</v>
      </c>
      <c r="K45" s="69">
        <f t="shared" si="24"/>
        <v>69622.553275021288</v>
      </c>
      <c r="L45" s="69">
        <f t="shared" si="24"/>
        <v>80668.376091396523</v>
      </c>
      <c r="M45" s="69">
        <f t="shared" si="24"/>
        <v>93708.841707110783</v>
      </c>
      <c r="N45" s="120">
        <f t="shared" si="24"/>
        <v>109232.4889687461</v>
      </c>
      <c r="O45" s="120"/>
      <c r="P45" s="120"/>
      <c r="Q45" s="120"/>
      <c r="R45" s="111">
        <f>(F45/B45)^(1/4)-1</f>
        <v>0.41720525695730104</v>
      </c>
      <c r="S45" s="112">
        <f>(N45/I45)^(1/5)-1</f>
        <v>0.15884421171200036</v>
      </c>
      <c r="T45" s="113">
        <f>(N45/F45)^(1/8)-1</f>
        <v>0.1550086010278342</v>
      </c>
    </row>
    <row r="46" spans="1:27" x14ac:dyDescent="0.25">
      <c r="A46" s="8" t="s">
        <v>43</v>
      </c>
      <c r="B46" s="70">
        <f t="shared" ref="B46:N46" si="25">B40*B$24</f>
        <v>542.67221184000016</v>
      </c>
      <c r="C46" s="71">
        <f t="shared" si="25"/>
        <v>936.06255077851176</v>
      </c>
      <c r="D46" s="71">
        <f t="shared" si="25"/>
        <v>1738.6060176312672</v>
      </c>
      <c r="E46" s="71">
        <f t="shared" si="25"/>
        <v>1855.5848050063014</v>
      </c>
      <c r="F46" s="118">
        <f t="shared" si="25"/>
        <v>2105.2708715500012</v>
      </c>
      <c r="G46" s="71">
        <f t="shared" si="25"/>
        <v>2391.8923264850355</v>
      </c>
      <c r="H46" s="71">
        <f t="shared" si="25"/>
        <v>2722.2272379231003</v>
      </c>
      <c r="I46" s="71">
        <f t="shared" si="25"/>
        <v>3103.5219544169872</v>
      </c>
      <c r="J46" s="71">
        <f t="shared" si="25"/>
        <v>3544.3088644855734</v>
      </c>
      <c r="K46" s="71">
        <f t="shared" si="25"/>
        <v>4058.1625613243714</v>
      </c>
      <c r="L46" s="71">
        <f t="shared" si="25"/>
        <v>4658.492860018524</v>
      </c>
      <c r="M46" s="71">
        <f t="shared" si="25"/>
        <v>5361.3792922963721</v>
      </c>
      <c r="N46" s="121">
        <f t="shared" si="25"/>
        <v>6191.4555010149597</v>
      </c>
      <c r="O46" s="121"/>
      <c r="P46" s="121"/>
      <c r="Q46" s="121"/>
      <c r="R46" s="111">
        <f t="shared" ref="R46:R47" si="26">(F46/B46)^(1/4)-1</f>
        <v>0.40343595779458519</v>
      </c>
      <c r="S46" s="112">
        <f t="shared" ref="S46:S47" si="27">(N46/I46)^(1/5)-1</f>
        <v>0.14812080491329116</v>
      </c>
      <c r="T46" s="113">
        <f t="shared" ref="T46:T48" si="28">(N46/F46)^(1/8)-1</f>
        <v>0.14435453962164058</v>
      </c>
    </row>
    <row r="47" spans="1:27" x14ac:dyDescent="0.25">
      <c r="A47" s="8" t="s">
        <v>44</v>
      </c>
      <c r="B47" s="70">
        <f t="shared" ref="B47:N47" si="29">B41*B$24</f>
        <v>199.93186752</v>
      </c>
      <c r="C47" s="71">
        <f t="shared" si="29"/>
        <v>355.9515324364632</v>
      </c>
      <c r="D47" s="71">
        <f t="shared" si="29"/>
        <v>682.39799711572459</v>
      </c>
      <c r="E47" s="71">
        <f t="shared" si="29"/>
        <v>751.75626262323578</v>
      </c>
      <c r="F47" s="118">
        <f t="shared" si="29"/>
        <v>880.38600082999983</v>
      </c>
      <c r="G47" s="71">
        <f t="shared" si="29"/>
        <v>1029.143093145414</v>
      </c>
      <c r="H47" s="71">
        <f t="shared" si="29"/>
        <v>1205.1353352605529</v>
      </c>
      <c r="I47" s="71">
        <f t="shared" si="29"/>
        <v>1413.682817757754</v>
      </c>
      <c r="J47" s="71">
        <f t="shared" si="29"/>
        <v>1661.2038424040047</v>
      </c>
      <c r="K47" s="71">
        <f t="shared" si="29"/>
        <v>1957.1477056371255</v>
      </c>
      <c r="L47" s="71">
        <f t="shared" si="29"/>
        <v>2311.8043498381235</v>
      </c>
      <c r="M47" s="71">
        <f t="shared" si="29"/>
        <v>2737.8044911157117</v>
      </c>
      <c r="N47" s="121">
        <f t="shared" si="29"/>
        <v>3253.4773327701519</v>
      </c>
      <c r="O47" s="121"/>
      <c r="P47" s="121"/>
      <c r="Q47" s="121"/>
      <c r="R47" s="111">
        <f t="shared" si="26"/>
        <v>0.44859765014820008</v>
      </c>
      <c r="S47" s="112">
        <f t="shared" si="27"/>
        <v>0.18140597003593073</v>
      </c>
      <c r="T47" s="113">
        <f t="shared" si="28"/>
        <v>0.17749570625527489</v>
      </c>
    </row>
    <row r="48" spans="1:27" x14ac:dyDescent="0.25">
      <c r="A48" s="8" t="s">
        <v>38</v>
      </c>
      <c r="B48" s="72">
        <f t="shared" ref="B48:N48" si="30">B42*B$24</f>
        <v>228.49356287999913</v>
      </c>
      <c r="C48" s="73">
        <f t="shared" si="30"/>
        <v>385.60586896282103</v>
      </c>
      <c r="D48" s="73">
        <f t="shared" si="30"/>
        <v>699.5791946861109</v>
      </c>
      <c r="E48" s="73">
        <f t="shared" si="30"/>
        <v>728.0244646008257</v>
      </c>
      <c r="F48" s="119">
        <f t="shared" si="30"/>
        <v>803.83069641001771</v>
      </c>
      <c r="G48" s="73">
        <f t="shared" si="30"/>
        <v>890.78276022072964</v>
      </c>
      <c r="H48" s="73">
        <f t="shared" si="30"/>
        <v>987.08059455174953</v>
      </c>
      <c r="I48" s="73">
        <f t="shared" si="30"/>
        <v>1093.5391993495475</v>
      </c>
      <c r="J48" s="73">
        <f t="shared" si="30"/>
        <v>1210.9721042733427</v>
      </c>
      <c r="K48" s="73">
        <f t="shared" si="30"/>
        <v>1341.322014613485</v>
      </c>
      <c r="L48" s="73">
        <f t="shared" si="30"/>
        <v>1485.6600657621789</v>
      </c>
      <c r="M48" s="73">
        <f t="shared" si="30"/>
        <v>1644.9910141455516</v>
      </c>
      <c r="N48" s="122">
        <f t="shared" si="30"/>
        <v>1821.7386704374646</v>
      </c>
      <c r="O48" s="122"/>
      <c r="P48" s="122"/>
      <c r="Q48" s="122"/>
      <c r="R48" s="111">
        <f>(F48/B48)^(1/4)-1</f>
        <v>0.36953348221310178</v>
      </c>
      <c r="S48" s="112">
        <f>(N48/I48)^(1/5)-1</f>
        <v>0.10746585313783719</v>
      </c>
      <c r="T48" s="113">
        <f t="shared" si="28"/>
        <v>0.10768222415385909</v>
      </c>
    </row>
    <row r="49" spans="1:19" x14ac:dyDescent="0.25">
      <c r="A49" s="12"/>
      <c r="B49" s="74"/>
      <c r="C49" s="74"/>
      <c r="D49" s="74"/>
      <c r="E49" s="74"/>
      <c r="F49" s="74"/>
      <c r="G49" s="74"/>
      <c r="H49" s="74"/>
      <c r="I49" s="74"/>
      <c r="J49" s="74"/>
      <c r="K49" s="74"/>
      <c r="L49" s="74"/>
      <c r="M49" s="74"/>
      <c r="N49" s="74"/>
      <c r="O49" s="74"/>
      <c r="P49" s="74"/>
      <c r="Q49" s="74"/>
      <c r="R49" s="60"/>
      <c r="S49" s="64"/>
    </row>
    <row r="50" spans="1:19" x14ac:dyDescent="0.25">
      <c r="A50" s="76" t="s">
        <v>37</v>
      </c>
    </row>
    <row r="51" spans="1:19" x14ac:dyDescent="0.25">
      <c r="A51" s="8" t="s">
        <v>49</v>
      </c>
      <c r="B51" s="82">
        <v>0.5099999999999999</v>
      </c>
      <c r="C51" s="83">
        <v>0.50912273910429995</v>
      </c>
      <c r="D51" s="83">
        <v>0.50824698720208861</v>
      </c>
      <c r="E51" s="83">
        <v>0.50737274169771662</v>
      </c>
      <c r="F51" s="83">
        <v>0.50650000000000006</v>
      </c>
      <c r="G51" s="83">
        <v>0.50568290127975213</v>
      </c>
      <c r="H51" s="83">
        <v>0.50486712072400297</v>
      </c>
      <c r="I51" s="83">
        <v>0.50405265620625606</v>
      </c>
      <c r="J51" s="83">
        <v>0.50323950560344521</v>
      </c>
      <c r="K51" s="83">
        <v>0.50242766679592943</v>
      </c>
      <c r="L51" s="83">
        <v>0.50161713766748706</v>
      </c>
      <c r="M51" s="83">
        <v>0.50080791610531028</v>
      </c>
      <c r="N51" s="84">
        <v>0.50000000000000011</v>
      </c>
      <c r="O51" s="81"/>
      <c r="P51" s="81"/>
      <c r="Q51" s="81"/>
      <c r="R51" s="60"/>
    </row>
    <row r="52" spans="1:19" x14ac:dyDescent="0.25">
      <c r="A52" s="8" t="s">
        <v>28</v>
      </c>
      <c r="B52" s="88">
        <v>0.32150000000000006</v>
      </c>
      <c r="C52" s="81">
        <v>0.32224738977751366</v>
      </c>
      <c r="D52" s="81">
        <v>0.32299651700908488</v>
      </c>
      <c r="E52" s="81">
        <v>0.32374738573376632</v>
      </c>
      <c r="F52" s="81">
        <v>0.32450000000000012</v>
      </c>
      <c r="G52" s="81">
        <v>0.32512082691739941</v>
      </c>
      <c r="H52" s="81">
        <v>0.32574284158845473</v>
      </c>
      <c r="I52" s="81">
        <v>0.32636604628555266</v>
      </c>
      <c r="J52" s="81">
        <v>0.32699044328542715</v>
      </c>
      <c r="K52" s="81">
        <v>0.32761603486916807</v>
      </c>
      <c r="L52" s="81">
        <v>0.32824282332222948</v>
      </c>
      <c r="M52" s="81">
        <v>0.32887081093443782</v>
      </c>
      <c r="N52" s="89">
        <v>0.32950000000000035</v>
      </c>
      <c r="O52" s="81"/>
      <c r="P52" s="81"/>
      <c r="Q52" s="81"/>
      <c r="R52" s="60"/>
    </row>
    <row r="53" spans="1:19" x14ac:dyDescent="0.25">
      <c r="A53" s="8" t="s">
        <v>27</v>
      </c>
      <c r="B53" s="88">
        <v>0.1095</v>
      </c>
      <c r="C53" s="81">
        <v>0.10874216900534815</v>
      </c>
      <c r="D53" s="81">
        <v>0.1079895828309379</v>
      </c>
      <c r="E53" s="81">
        <v>0.10724220517825472</v>
      </c>
      <c r="F53" s="81">
        <v>0.10649999999999997</v>
      </c>
      <c r="G53" s="81">
        <v>0.10586177268142344</v>
      </c>
      <c r="H53" s="81">
        <v>0.10522737009627579</v>
      </c>
      <c r="I53" s="81">
        <v>0.10459676932390578</v>
      </c>
      <c r="J53" s="81">
        <v>0.10396994758101973</v>
      </c>
      <c r="K53" s="81">
        <v>0.10334688222085844</v>
      </c>
      <c r="L53" s="81">
        <v>0.10272755073237898</v>
      </c>
      <c r="M53" s="81">
        <v>0.10211193073944132</v>
      </c>
      <c r="N53" s="89">
        <v>0.10149999999999995</v>
      </c>
      <c r="O53" s="81"/>
      <c r="P53" s="81"/>
      <c r="Q53" s="81"/>
      <c r="R53" s="60"/>
    </row>
    <row r="54" spans="1:19" x14ac:dyDescent="0.25">
      <c r="A54" s="8" t="s">
        <v>45</v>
      </c>
      <c r="B54" s="13">
        <f>100%-SUM(B51:B53)</f>
        <v>5.9000000000000052E-2</v>
      </c>
      <c r="C54" s="14">
        <f t="shared" ref="C54:N54" si="31">100%-SUM(C51:C53)</f>
        <v>5.9887702112838226E-2</v>
      </c>
      <c r="D54" s="14">
        <f t="shared" si="31"/>
        <v>6.0766912957888719E-2</v>
      </c>
      <c r="E54" s="14">
        <f t="shared" si="31"/>
        <v>6.163766739026233E-2</v>
      </c>
      <c r="F54" s="86">
        <f t="shared" si="31"/>
        <v>6.2499999999999889E-2</v>
      </c>
      <c r="G54" s="14">
        <f t="shared" si="31"/>
        <v>6.3334499121425081E-2</v>
      </c>
      <c r="H54" s="14">
        <f t="shared" si="31"/>
        <v>6.4162667591266542E-2</v>
      </c>
      <c r="I54" s="14">
        <f t="shared" si="31"/>
        <v>6.4984528184285462E-2</v>
      </c>
      <c r="J54" s="14">
        <f t="shared" si="31"/>
        <v>6.5800103530107901E-2</v>
      </c>
      <c r="K54" s="14">
        <f t="shared" si="31"/>
        <v>6.660941611404414E-2</v>
      </c>
      <c r="L54" s="14">
        <f t="shared" si="31"/>
        <v>6.741248827790447E-2</v>
      </c>
      <c r="M54" s="14">
        <f t="shared" si="31"/>
        <v>6.8209342220810543E-2</v>
      </c>
      <c r="N54" s="28">
        <f t="shared" si="31"/>
        <v>6.8999999999999617E-2</v>
      </c>
      <c r="O54" s="47"/>
      <c r="P54" s="47"/>
      <c r="Q54" s="47"/>
      <c r="R54" s="60"/>
    </row>
    <row r="56" spans="1:19" x14ac:dyDescent="0.25">
      <c r="A56" s="76" t="s">
        <v>37</v>
      </c>
    </row>
    <row r="57" spans="1:19" x14ac:dyDescent="0.25">
      <c r="A57" s="8" t="s">
        <v>49</v>
      </c>
      <c r="B57" s="19">
        <f>B51*B$24</f>
        <v>4855.4882111999987</v>
      </c>
      <c r="C57" s="20">
        <f t="shared" ref="C57:N57" si="32">C51*C$24</f>
        <v>8435.61851650467</v>
      </c>
      <c r="D57" s="20">
        <f t="shared" si="32"/>
        <v>15781.162470070498</v>
      </c>
      <c r="E57" s="20">
        <f t="shared" si="32"/>
        <v>16964.985209240676</v>
      </c>
      <c r="F57" s="20">
        <f t="shared" si="32"/>
        <v>19387.630844365001</v>
      </c>
      <c r="G57" s="20">
        <f t="shared" si="32"/>
        <v>22177.965610570347</v>
      </c>
      <c r="H57" s="20">
        <f t="shared" si="32"/>
        <v>25414.179364957814</v>
      </c>
      <c r="I57" s="20">
        <f t="shared" si="32"/>
        <v>29173.368522934663</v>
      </c>
      <c r="J57" s="20">
        <f t="shared" si="32"/>
        <v>33546.858272544057</v>
      </c>
      <c r="K57" s="20">
        <f t="shared" si="32"/>
        <v>38676.472591051577</v>
      </c>
      <c r="L57" s="20">
        <f t="shared" si="32"/>
        <v>44706.293000085148</v>
      </c>
      <c r="M57" s="20">
        <f t="shared" si="32"/>
        <v>51810.089610511262</v>
      </c>
      <c r="N57" s="21">
        <f t="shared" si="32"/>
        <v>60249.580236484355</v>
      </c>
      <c r="O57" s="21"/>
      <c r="P57" s="21"/>
      <c r="Q57" s="21"/>
      <c r="R57" s="111">
        <f>(F57/B57)^(1/4)-1</f>
        <v>0.41358835699080365</v>
      </c>
      <c r="S57" s="112">
        <f>(N57/I57)^(1/5)-1</f>
        <v>0.15609491099582562</v>
      </c>
    </row>
    <row r="58" spans="1:19" x14ac:dyDescent="0.25">
      <c r="A58" s="8" t="s">
        <v>28</v>
      </c>
      <c r="B58" s="51">
        <f t="shared" ref="B58:N60" si="33">B52*B$24</f>
        <v>3060.8616860800003</v>
      </c>
      <c r="C58" s="31">
        <f t="shared" si="33"/>
        <v>5339.2941216589497</v>
      </c>
      <c r="D58" s="31">
        <f t="shared" si="33"/>
        <v>10029.101284491215</v>
      </c>
      <c r="E58" s="31">
        <f t="shared" si="33"/>
        <v>10825.117628758886</v>
      </c>
      <c r="F58" s="31">
        <f t="shared" si="33"/>
        <v>12421.098142145005</v>
      </c>
      <c r="G58" s="31">
        <f t="shared" si="33"/>
        <v>14258.972372619932</v>
      </c>
      <c r="H58" s="31">
        <f t="shared" si="33"/>
        <v>16397.358162496883</v>
      </c>
      <c r="I58" s="31">
        <f t="shared" si="33"/>
        <v>18889.290284318129</v>
      </c>
      <c r="J58" s="31">
        <f t="shared" si="33"/>
        <v>21797.77607924246</v>
      </c>
      <c r="K58" s="31">
        <f t="shared" si="33"/>
        <v>25219.615539510003</v>
      </c>
      <c r="L58" s="31">
        <f t="shared" si="33"/>
        <v>29254.422811100703</v>
      </c>
      <c r="M58" s="31">
        <f t="shared" si="33"/>
        <v>34022.677431504082</v>
      </c>
      <c r="N58" s="56">
        <f t="shared" si="33"/>
        <v>39704.473375843219</v>
      </c>
      <c r="O58" s="56"/>
      <c r="P58" s="56"/>
      <c r="Q58" s="56"/>
      <c r="R58" s="111">
        <f t="shared" ref="R58:R59" si="34">(F58/B58)^(1/4)-1</f>
        <v>0.41931591309093119</v>
      </c>
      <c r="S58" s="112">
        <f t="shared" ref="S58:S59" si="35">(N58/I58)^(1/5)-1</f>
        <v>0.16017835800599234</v>
      </c>
    </row>
    <row r="59" spans="1:19" x14ac:dyDescent="0.25">
      <c r="A59" s="8" t="s">
        <v>27</v>
      </c>
      <c r="B59" s="51">
        <f t="shared" si="33"/>
        <v>1042.5018806399999</v>
      </c>
      <c r="C59" s="31">
        <f t="shared" si="33"/>
        <v>1801.7412775556143</v>
      </c>
      <c r="D59" s="31">
        <f t="shared" si="33"/>
        <v>3353.096416983863</v>
      </c>
      <c r="E59" s="31">
        <f t="shared" si="33"/>
        <v>3585.8497611986177</v>
      </c>
      <c r="F59" s="31">
        <f t="shared" si="33"/>
        <v>4076.5699603649987</v>
      </c>
      <c r="G59" s="31">
        <f t="shared" si="33"/>
        <v>4642.8280411715632</v>
      </c>
      <c r="H59" s="31">
        <f t="shared" si="33"/>
        <v>5296.9725061408781</v>
      </c>
      <c r="I59" s="31">
        <f t="shared" si="33"/>
        <v>6053.81215677208</v>
      </c>
      <c r="J59" s="31">
        <f t="shared" si="33"/>
        <v>6930.8252974335355</v>
      </c>
      <c r="K59" s="31">
        <f t="shared" si="33"/>
        <v>7955.5588231751626</v>
      </c>
      <c r="L59" s="31">
        <f t="shared" si="33"/>
        <v>9155.5244774495259</v>
      </c>
      <c r="M59" s="31">
        <f t="shared" si="33"/>
        <v>10563.787256110982</v>
      </c>
      <c r="N59" s="56">
        <f t="shared" si="33"/>
        <v>12230.664788006316</v>
      </c>
      <c r="O59" s="56"/>
      <c r="P59" s="56"/>
      <c r="Q59" s="56"/>
      <c r="R59" s="111">
        <f t="shared" si="34"/>
        <v>0.40622402409582281</v>
      </c>
      <c r="S59" s="112">
        <f t="shared" si="35"/>
        <v>0.15102358987463638</v>
      </c>
    </row>
    <row r="60" spans="1:19" x14ac:dyDescent="0.25">
      <c r="A60" s="8" t="s">
        <v>45</v>
      </c>
      <c r="B60" s="57">
        <f t="shared" si="33"/>
        <v>561.71334208000042</v>
      </c>
      <c r="C60" s="58">
        <f t="shared" si="33"/>
        <v>992.27508428076658</v>
      </c>
      <c r="D60" s="58">
        <f t="shared" si="33"/>
        <v>1886.8238284544291</v>
      </c>
      <c r="E60" s="58">
        <f t="shared" si="33"/>
        <v>2060.9741708018182</v>
      </c>
      <c r="F60" s="58">
        <f t="shared" si="33"/>
        <v>2392.3532631249959</v>
      </c>
      <c r="G60" s="58">
        <f t="shared" si="33"/>
        <v>2777.6900107219535</v>
      </c>
      <c r="H60" s="58">
        <f t="shared" si="33"/>
        <v>3229.8430136630759</v>
      </c>
      <c r="I60" s="58">
        <f t="shared" si="33"/>
        <v>3761.1498831848908</v>
      </c>
      <c r="J60" s="58">
        <f t="shared" si="33"/>
        <v>4386.3542565012476</v>
      </c>
      <c r="K60" s="58">
        <f t="shared" si="33"/>
        <v>5127.5386028595376</v>
      </c>
      <c r="L60" s="58">
        <f t="shared" si="33"/>
        <v>6008.0930783799722</v>
      </c>
      <c r="M60" s="58">
        <f t="shared" si="33"/>
        <v>7056.4622065420899</v>
      </c>
      <c r="N60" s="59">
        <f t="shared" si="33"/>
        <v>8314.4420726347926</v>
      </c>
      <c r="O60" s="59"/>
      <c r="P60" s="59"/>
      <c r="Q60" s="59"/>
      <c r="R60" s="111">
        <f>(F60/B60)^(1/4)-1</f>
        <v>0.43657281062448861</v>
      </c>
      <c r="S60" s="112">
        <f>(N60/I60)^(1/5)-1</f>
        <v>0.17193221935735559</v>
      </c>
    </row>
    <row r="63" spans="1:19" x14ac:dyDescent="0.25">
      <c r="A63" s="8" t="s">
        <v>178</v>
      </c>
    </row>
    <row r="64" spans="1:19" x14ac:dyDescent="0.25">
      <c r="A64" s="8" t="s">
        <v>176</v>
      </c>
      <c r="B64" s="27">
        <v>99777.552457683341</v>
      </c>
      <c r="C64" s="27">
        <v>97407.687011138056</v>
      </c>
      <c r="D64" s="27">
        <v>97145.712012692704</v>
      </c>
      <c r="E64" s="27">
        <v>102664.3522183243</v>
      </c>
      <c r="F64" s="27">
        <v>115760.81103353451</v>
      </c>
      <c r="G64" s="27">
        <v>121901.68010426901</v>
      </c>
      <c r="H64" s="27">
        <v>127320.32620317301</v>
      </c>
      <c r="I64" s="27">
        <v>132872.78869858637</v>
      </c>
      <c r="J64" s="27">
        <v>138425.25119399972</v>
      </c>
      <c r="K64" s="27">
        <v>143977.71368941307</v>
      </c>
      <c r="L64" s="27">
        <v>149530.17618482641</v>
      </c>
      <c r="M64" s="27">
        <v>155082.63868023979</v>
      </c>
      <c r="N64" s="27">
        <v>160635.10117565314</v>
      </c>
      <c r="O64" s="27"/>
      <c r="P64" s="27"/>
      <c r="Q64" s="27"/>
      <c r="R64" s="111">
        <f>(F64/B64)^(1/4)-1</f>
        <v>3.7844238182904943E-2</v>
      </c>
      <c r="S64" s="112">
        <f>(N64/I64)^(1/5)-1</f>
        <v>3.8677873755712078E-2</v>
      </c>
    </row>
    <row r="65" spans="1:19" x14ac:dyDescent="0.25">
      <c r="A65" s="8" t="s">
        <v>177</v>
      </c>
      <c r="B65" s="27">
        <v>418466.83879103395</v>
      </c>
      <c r="C65" s="27">
        <v>417929.16100720927</v>
      </c>
      <c r="D65" s="27">
        <v>881418.09290953539</v>
      </c>
      <c r="E65" s="27">
        <v>145335.16200663493</v>
      </c>
      <c r="F65" s="27">
        <v>185700.2941289403</v>
      </c>
      <c r="G65" s="27">
        <v>192605.95996305399</v>
      </c>
      <c r="H65" s="27">
        <v>200198.30775596501</v>
      </c>
      <c r="I65" s="27">
        <v>219282.50614301377</v>
      </c>
      <c r="J65" s="27">
        <v>235997.21319594944</v>
      </c>
      <c r="K65" s="27">
        <v>252711.92024888514</v>
      </c>
      <c r="L65" s="27">
        <v>269426.62730182084</v>
      </c>
      <c r="M65" s="27">
        <v>286141.33435475652</v>
      </c>
      <c r="N65" s="27">
        <v>302856.04140769225</v>
      </c>
      <c r="O65" s="27"/>
      <c r="P65" s="27"/>
      <c r="Q65" s="27"/>
      <c r="R65" s="111">
        <f t="shared" ref="R65" si="36">(F65/B65)^(1/4)-1</f>
        <v>-0.18381635898257243</v>
      </c>
      <c r="S65" s="112">
        <f t="shared" ref="S65" si="37">(N65/I65)^(1/5)-1</f>
        <v>6.671020785667614E-2</v>
      </c>
    </row>
    <row r="68" spans="1:19" x14ac:dyDescent="0.25">
      <c r="B68" s="168">
        <v>8549.4674777599994</v>
      </c>
      <c r="C68" s="117">
        <v>34488.16464120998</v>
      </c>
      <c r="D68" s="117">
        <v>52266.876875685477</v>
      </c>
      <c r="E68" s="120">
        <v>109232.4889687461</v>
      </c>
      <c r="G68" s="82">
        <v>0.89800000000000002</v>
      </c>
      <c r="H68" s="83">
        <v>0.90099999999999947</v>
      </c>
      <c r="I68" s="83">
        <v>0.903058489803235</v>
      </c>
      <c r="J68" s="84">
        <v>0.90649999999999986</v>
      </c>
    </row>
    <row r="69" spans="1:19" x14ac:dyDescent="0.25">
      <c r="B69" s="169">
        <v>542.67221184000016</v>
      </c>
      <c r="C69" s="118">
        <v>2105.2708715500012</v>
      </c>
      <c r="D69" s="118">
        <v>3103.5219544169872</v>
      </c>
      <c r="E69" s="121">
        <v>6191.4555010149597</v>
      </c>
      <c r="G69" s="88">
        <v>5.7000000000000023E-2</v>
      </c>
      <c r="H69" s="81">
        <v>5.5000000000000035E-2</v>
      </c>
      <c r="I69" s="81">
        <v>5.3622141148647537E-2</v>
      </c>
      <c r="J69" s="89">
        <v>5.1381731430434952E-2</v>
      </c>
    </row>
    <row r="70" spans="1:19" x14ac:dyDescent="0.25">
      <c r="B70" s="169">
        <v>199.93186752</v>
      </c>
      <c r="C70" s="118">
        <v>880.38600082999983</v>
      </c>
      <c r="D70" s="118">
        <v>1413.682817757754</v>
      </c>
      <c r="E70" s="121">
        <v>3253.4773327701519</v>
      </c>
      <c r="G70" s="88">
        <v>2.1000000000000001E-2</v>
      </c>
      <c r="H70" s="81">
        <v>2.2999999999999996E-2</v>
      </c>
      <c r="I70" s="81">
        <v>2.4425378878128273E-2</v>
      </c>
      <c r="J70" s="89">
        <v>2.6999999999999979E-2</v>
      </c>
    </row>
    <row r="71" spans="1:19" x14ac:dyDescent="0.25">
      <c r="B71" s="170">
        <v>228.49356287999913</v>
      </c>
      <c r="C71" s="119">
        <v>803.83069641001771</v>
      </c>
      <c r="D71" s="119">
        <v>1093.5391993495475</v>
      </c>
      <c r="E71" s="122">
        <v>1821.7386704374646</v>
      </c>
      <c r="G71" s="85">
        <v>2.399999999999991E-2</v>
      </c>
      <c r="H71" s="86">
        <v>2.1000000000000463E-2</v>
      </c>
      <c r="I71" s="86">
        <v>1.8893990169989272E-2</v>
      </c>
      <c r="J71" s="87">
        <v>1.5118268569565108E-2</v>
      </c>
    </row>
    <row r="72" spans="1:19" x14ac:dyDescent="0.25">
      <c r="B72" s="29">
        <f>SUM(B68:B71)</f>
        <v>9520.5651199999975</v>
      </c>
      <c r="C72" s="29">
        <f t="shared" ref="C72:E72" si="38">SUM(C68:C71)</f>
        <v>38277.65221</v>
      </c>
      <c r="D72" s="29">
        <f t="shared" si="38"/>
        <v>57877.620847209771</v>
      </c>
      <c r="E72" s="29">
        <f t="shared" si="38"/>
        <v>120499.16047296868</v>
      </c>
    </row>
    <row r="74" spans="1:19" x14ac:dyDescent="0.25">
      <c r="B74" s="90">
        <v>9206.3864710399994</v>
      </c>
      <c r="C74" s="91">
        <v>36891.950448552663</v>
      </c>
      <c r="D74" s="91">
        <v>55653.312784045127</v>
      </c>
      <c r="E74" s="162">
        <v>115438.19573310405</v>
      </c>
      <c r="G74" s="82">
        <v>0.96699999999999997</v>
      </c>
      <c r="H74" s="83">
        <v>0.96379867412334863</v>
      </c>
      <c r="I74" s="83">
        <v>0.96156877164946786</v>
      </c>
      <c r="J74" s="84">
        <v>0.95800000000000041</v>
      </c>
    </row>
    <row r="75" spans="1:19" x14ac:dyDescent="0.25">
      <c r="B75" s="163">
        <v>199.93186752</v>
      </c>
      <c r="C75" s="29">
        <v>880.38600082999983</v>
      </c>
      <c r="D75" s="29">
        <v>1413.682817757754</v>
      </c>
      <c r="E75" s="164">
        <v>3253.4773327701519</v>
      </c>
      <c r="G75" s="88">
        <v>2.1000000000000001E-2</v>
      </c>
      <c r="H75" s="81">
        <v>2.2999999999999996E-2</v>
      </c>
      <c r="I75" s="81">
        <v>2.4425378878128273E-2</v>
      </c>
      <c r="J75" s="89">
        <v>2.6999999999999979E-2</v>
      </c>
    </row>
    <row r="76" spans="1:19" x14ac:dyDescent="0.25">
      <c r="B76" s="165">
        <v>114.24678144000009</v>
      </c>
      <c r="C76" s="166">
        <v>505.31576061733369</v>
      </c>
      <c r="D76" s="166">
        <v>810.62524540688628</v>
      </c>
      <c r="E76" s="167">
        <v>1807.4874070944784</v>
      </c>
      <c r="G76" s="85">
        <v>1.2000000000000011E-2</v>
      </c>
      <c r="H76" s="86">
        <v>1.3201325876651349E-2</v>
      </c>
      <c r="I76" s="86">
        <v>1.4005849472403908E-2</v>
      </c>
      <c r="J76" s="87">
        <v>1.4999999999999569E-2</v>
      </c>
    </row>
    <row r="77" spans="1:19" x14ac:dyDescent="0.25">
      <c r="B77" s="96">
        <f>SUM(B74:B76)</f>
        <v>9520.5651199999993</v>
      </c>
      <c r="C77" s="96">
        <f>SUM(C74:C76)</f>
        <v>38277.65221</v>
      </c>
      <c r="D77" s="96">
        <f>SUM(D74:D76)</f>
        <v>57877.620847209771</v>
      </c>
      <c r="E77" s="96">
        <f>SUM(E74:E76)</f>
        <v>120499.16047296868</v>
      </c>
    </row>
  </sheetData>
  <mergeCells count="1">
    <mergeCell ref="A16:N16"/>
  </mergeCells>
  <phoneticPr fontId="7" type="noConversion"/>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3D6F6-B9EA-4DCA-9AAF-C6AD40C33EFF}">
  <dimension ref="A2:Q28"/>
  <sheetViews>
    <sheetView topLeftCell="A11" zoomScaleNormal="100" workbookViewId="0">
      <selection activeCell="G24" sqref="G24"/>
    </sheetView>
  </sheetViews>
  <sheetFormatPr defaultRowHeight="15" x14ac:dyDescent="0.25"/>
  <cols>
    <col min="1" max="1" width="59.7109375" style="123" customWidth="1"/>
    <col min="2" max="2" width="15" style="123" customWidth="1"/>
    <col min="3" max="14" width="12.7109375" style="123" bestFit="1" customWidth="1"/>
    <col min="15" max="17" width="14.140625" style="123" bestFit="1" customWidth="1"/>
    <col min="18" max="16384" width="9.140625" style="123"/>
  </cols>
  <sheetData>
    <row r="2" spans="1:2" ht="30" x14ac:dyDescent="0.25">
      <c r="A2" s="124" t="s">
        <v>183</v>
      </c>
      <c r="B2" s="125" t="s">
        <v>136</v>
      </c>
    </row>
    <row r="4" spans="1:2" ht="45" x14ac:dyDescent="0.25">
      <c r="A4" s="124" t="s">
        <v>347</v>
      </c>
      <c r="B4" s="125" t="s">
        <v>247</v>
      </c>
    </row>
    <row r="6" spans="1:2" ht="120" x14ac:dyDescent="0.25">
      <c r="A6" s="124" t="s">
        <v>351</v>
      </c>
      <c r="B6" s="125" t="s">
        <v>352</v>
      </c>
    </row>
    <row r="7" spans="1:2" x14ac:dyDescent="0.25">
      <c r="A7" s="124"/>
      <c r="B7" s="125"/>
    </row>
    <row r="8" spans="1:2" x14ac:dyDescent="0.25">
      <c r="A8" s="124" t="s">
        <v>388</v>
      </c>
      <c r="B8" s="125" t="s">
        <v>387</v>
      </c>
    </row>
    <row r="9" spans="1:2" x14ac:dyDescent="0.25">
      <c r="A9" s="124"/>
    </row>
    <row r="10" spans="1:2" ht="90" x14ac:dyDescent="0.25">
      <c r="A10" s="124" t="s">
        <v>389</v>
      </c>
      <c r="B10" s="125" t="s">
        <v>390</v>
      </c>
    </row>
    <row r="11" spans="1:2" x14ac:dyDescent="0.25">
      <c r="A11" s="124"/>
    </row>
    <row r="12" spans="1:2" x14ac:dyDescent="0.25">
      <c r="A12" s="124" t="s">
        <v>396</v>
      </c>
      <c r="B12" s="125" t="s">
        <v>397</v>
      </c>
    </row>
    <row r="13" spans="1:2" x14ac:dyDescent="0.25">
      <c r="A13" s="124"/>
    </row>
    <row r="14" spans="1:2" x14ac:dyDescent="0.25">
      <c r="A14" s="124"/>
    </row>
    <row r="15" spans="1:2" x14ac:dyDescent="0.25">
      <c r="A15" s="124"/>
    </row>
    <row r="16" spans="1:2" x14ac:dyDescent="0.25">
      <c r="A16" s="124"/>
    </row>
    <row r="17" spans="1:17" x14ac:dyDescent="0.25">
      <c r="A17" s="142" t="s">
        <v>359</v>
      </c>
      <c r="B17" s="176">
        <v>2018</v>
      </c>
      <c r="C17" s="176">
        <v>2019</v>
      </c>
      <c r="D17" s="176">
        <v>2020</v>
      </c>
      <c r="E17" s="176">
        <v>2021</v>
      </c>
      <c r="F17" s="176">
        <v>2022</v>
      </c>
      <c r="G17" s="176">
        <v>2023</v>
      </c>
      <c r="H17" s="176">
        <v>2024</v>
      </c>
      <c r="I17" s="176">
        <v>2025</v>
      </c>
      <c r="J17" s="176">
        <v>2026</v>
      </c>
      <c r="K17" s="176">
        <v>2027</v>
      </c>
      <c r="L17" s="176">
        <v>2028</v>
      </c>
      <c r="M17" s="176">
        <v>2029</v>
      </c>
      <c r="N17" s="176">
        <v>2030</v>
      </c>
      <c r="O17" s="176" t="s">
        <v>60</v>
      </c>
      <c r="P17" s="176" t="s">
        <v>61</v>
      </c>
      <c r="Q17" s="176" t="s">
        <v>62</v>
      </c>
    </row>
    <row r="18" spans="1:17" x14ac:dyDescent="0.25">
      <c r="A18" s="142" t="s">
        <v>348</v>
      </c>
      <c r="B18" s="177">
        <f>3.76*10^6</f>
        <v>3760000</v>
      </c>
      <c r="C18" s="177">
        <f>4.18*10^6</f>
        <v>4179999.9999999995</v>
      </c>
      <c r="D18" s="177">
        <v>4126000</v>
      </c>
      <c r="E18" s="177">
        <f>D18+102000+64000+20000</f>
        <v>4312000</v>
      </c>
      <c r="F18" s="177">
        <f>4312000+200</f>
        <v>4312200</v>
      </c>
      <c r="G18" s="177">
        <v>4312200</v>
      </c>
      <c r="H18" s="177">
        <v>4312200</v>
      </c>
      <c r="I18" s="177">
        <f>4312200+66000</f>
        <v>4378200</v>
      </c>
      <c r="J18" s="177">
        <f>4378200+50000+200</f>
        <v>4428400</v>
      </c>
      <c r="K18" s="177">
        <f t="shared" ref="K18:N18" si="0">4378200+50000+200</f>
        <v>4428400</v>
      </c>
      <c r="L18" s="177">
        <f t="shared" si="0"/>
        <v>4428400</v>
      </c>
      <c r="M18" s="177">
        <f t="shared" si="0"/>
        <v>4428400</v>
      </c>
      <c r="N18" s="177">
        <f t="shared" si="0"/>
        <v>4428400</v>
      </c>
      <c r="O18" s="142"/>
      <c r="P18" s="142"/>
      <c r="Q18" s="142"/>
    </row>
    <row r="19" spans="1:17" x14ac:dyDescent="0.25">
      <c r="A19" s="142"/>
      <c r="B19" s="177"/>
      <c r="C19" s="178">
        <f>(C18-B18)/B18</f>
        <v>0.11170212765957434</v>
      </c>
      <c r="D19" s="178">
        <f t="shared" ref="D19:F19" si="1">(D18-C18)/C18</f>
        <v>-1.2918660287081231E-2</v>
      </c>
      <c r="E19" s="178">
        <f t="shared" si="1"/>
        <v>4.5079980610761031E-2</v>
      </c>
      <c r="F19" s="178">
        <f t="shared" si="1"/>
        <v>4.6382189239332094E-5</v>
      </c>
      <c r="G19" s="178">
        <f>(G18-F18)/F18</f>
        <v>0</v>
      </c>
      <c r="H19" s="178">
        <f t="shared" ref="H19" si="2">(H18-G18)/G18</f>
        <v>0</v>
      </c>
      <c r="I19" s="178">
        <f t="shared" ref="I19" si="3">(I18-H18)/H18</f>
        <v>1.5305412550438291E-2</v>
      </c>
      <c r="J19" s="178">
        <f t="shared" ref="J19" si="4">(J18-I18)/I18</f>
        <v>1.1465899227993239E-2</v>
      </c>
      <c r="K19" s="178">
        <f t="shared" ref="K19" si="5">(K18-J18)/J18</f>
        <v>0</v>
      </c>
      <c r="L19" s="178">
        <f t="shared" ref="L19" si="6">(L18-K18)/K18</f>
        <v>0</v>
      </c>
      <c r="M19" s="178">
        <f t="shared" ref="M19" si="7">(M18-L18)/L18</f>
        <v>0</v>
      </c>
      <c r="N19" s="178">
        <f t="shared" ref="N19" si="8">(N18-M18)/M18</f>
        <v>0</v>
      </c>
      <c r="O19" s="142"/>
      <c r="P19" s="142"/>
      <c r="Q19" s="142"/>
    </row>
    <row r="20" spans="1:17" x14ac:dyDescent="0.25">
      <c r="A20" s="207" t="s">
        <v>349</v>
      </c>
      <c r="B20" s="178">
        <f t="shared" ref="B20:F20" si="9">B22/B18</f>
        <v>0.77860006167129203</v>
      </c>
      <c r="C20" s="178">
        <f>C22/C18</f>
        <v>0.72488038277511968</v>
      </c>
      <c r="D20" s="178">
        <f t="shared" si="9"/>
        <v>0.76043746970431414</v>
      </c>
      <c r="E20" s="178">
        <f t="shared" si="9"/>
        <v>0.75383055194805193</v>
      </c>
      <c r="F20" s="178">
        <f t="shared" si="9"/>
        <v>0.78130912826631416</v>
      </c>
      <c r="G20" s="179">
        <v>0.81</v>
      </c>
      <c r="H20" s="180">
        <v>0.84</v>
      </c>
      <c r="I20" s="180">
        <v>0.84</v>
      </c>
      <c r="J20" s="180">
        <v>0.86</v>
      </c>
      <c r="K20" s="180">
        <v>0.89</v>
      </c>
      <c r="L20" s="180">
        <v>0.9</v>
      </c>
      <c r="M20" s="180">
        <v>0.9</v>
      </c>
      <c r="N20" s="180">
        <v>0.92</v>
      </c>
      <c r="O20" s="142"/>
      <c r="P20" s="142"/>
      <c r="Q20" s="142"/>
    </row>
    <row r="21" spans="1:17" x14ac:dyDescent="0.25">
      <c r="A21" s="142"/>
      <c r="B21" s="142"/>
      <c r="C21" s="142"/>
      <c r="D21" s="142"/>
      <c r="E21" s="142"/>
      <c r="F21" s="178"/>
      <c r="G21" s="142"/>
      <c r="H21" s="142"/>
      <c r="I21" s="142"/>
      <c r="J21" s="142"/>
      <c r="K21" s="142"/>
      <c r="L21" s="142"/>
      <c r="M21" s="142"/>
      <c r="N21" s="142"/>
      <c r="O21" s="142"/>
      <c r="P21" s="142"/>
      <c r="Q21" s="142"/>
    </row>
    <row r="22" spans="1:17" x14ac:dyDescent="0.25">
      <c r="A22" s="207" t="s">
        <v>127</v>
      </c>
      <c r="B22" s="181">
        <f>B24</f>
        <v>2927536.2318840581</v>
      </c>
      <c r="C22" s="181">
        <f>C24</f>
        <v>3030000</v>
      </c>
      <c r="D22" s="181">
        <f t="shared" ref="D22:F22" si="10">D24</f>
        <v>3137565</v>
      </c>
      <c r="E22" s="181">
        <f t="shared" si="10"/>
        <v>3250517.34</v>
      </c>
      <c r="F22" s="181">
        <f t="shared" si="10"/>
        <v>3369161.22291</v>
      </c>
      <c r="G22" s="181">
        <f>G20*G18</f>
        <v>3492882</v>
      </c>
      <c r="H22" s="181">
        <f>H20*H18</f>
        <v>3622248</v>
      </c>
      <c r="I22" s="181">
        <f t="shared" ref="I22:N22" si="11">I20*I18</f>
        <v>3677688</v>
      </c>
      <c r="J22" s="181">
        <f t="shared" si="11"/>
        <v>3808424</v>
      </c>
      <c r="K22" s="181">
        <f t="shared" si="11"/>
        <v>3941276</v>
      </c>
      <c r="L22" s="181">
        <f t="shared" si="11"/>
        <v>3985560</v>
      </c>
      <c r="M22" s="181">
        <f t="shared" si="11"/>
        <v>3985560</v>
      </c>
      <c r="N22" s="181">
        <f t="shared" si="11"/>
        <v>4074128</v>
      </c>
      <c r="O22" s="142"/>
      <c r="P22" s="142"/>
      <c r="Q22" s="142"/>
    </row>
    <row r="23" spans="1:17" x14ac:dyDescent="0.25">
      <c r="A23" s="142"/>
      <c r="B23" s="142"/>
      <c r="C23" s="142"/>
      <c r="D23" s="142"/>
      <c r="E23" s="142"/>
      <c r="F23" s="142"/>
      <c r="G23" s="142"/>
      <c r="H23" s="142"/>
      <c r="I23" s="142"/>
      <c r="J23" s="142"/>
      <c r="K23" s="142"/>
      <c r="L23" s="142"/>
      <c r="M23" s="142"/>
      <c r="N23" s="142"/>
      <c r="O23" s="142"/>
      <c r="P23" s="142"/>
      <c r="Q23" s="142"/>
    </row>
    <row r="24" spans="1:17" x14ac:dyDescent="0.25">
      <c r="A24" s="207" t="s">
        <v>350</v>
      </c>
      <c r="B24" s="177">
        <v>2927536.2318840581</v>
      </c>
      <c r="C24" s="177">
        <f>3.03*10^6</f>
        <v>3030000</v>
      </c>
      <c r="D24" s="177">
        <f>C24+D25*C24</f>
        <v>3137565</v>
      </c>
      <c r="E24" s="177">
        <f t="shared" ref="E24:N24" si="12">D24+E25*D24</f>
        <v>3250517.34</v>
      </c>
      <c r="F24" s="177">
        <f t="shared" si="12"/>
        <v>3369161.22291</v>
      </c>
      <c r="G24" s="182">
        <f t="shared" si="12"/>
        <v>3494830.936524543</v>
      </c>
      <c r="H24" s="177">
        <f t="shared" si="12"/>
        <v>3627983.9952061279</v>
      </c>
      <c r="I24" s="177">
        <f t="shared" si="12"/>
        <v>3769838.1694186875</v>
      </c>
      <c r="J24" s="177">
        <f t="shared" si="12"/>
        <v>3921762.6476462604</v>
      </c>
      <c r="K24" s="177">
        <f t="shared" si="12"/>
        <v>4085692.3263178742</v>
      </c>
      <c r="L24" s="177">
        <f t="shared" si="12"/>
        <v>4264645.6502105976</v>
      </c>
      <c r="M24" s="177">
        <f t="shared" si="12"/>
        <v>4459966.4209902426</v>
      </c>
      <c r="N24" s="177">
        <f t="shared" si="12"/>
        <v>4675382.7991240714</v>
      </c>
      <c r="O24" s="111">
        <f>(F24/B24)^(1/4)-1</f>
        <v>3.5749849143107859E-2</v>
      </c>
      <c r="P24" s="112">
        <f>(I24/F24)^(1/3)-1</f>
        <v>3.8166405539167947E-2</v>
      </c>
      <c r="Q24" s="112">
        <f>(N24/I24)^(1/5)-1</f>
        <v>4.3996141298961788E-2</v>
      </c>
    </row>
    <row r="25" spans="1:17" x14ac:dyDescent="0.25">
      <c r="A25" s="142"/>
      <c r="B25" s="142"/>
      <c r="C25" s="183">
        <v>3.5000000000000003E-2</v>
      </c>
      <c r="D25" s="183">
        <f>C25+D26</f>
        <v>3.5500000000000004E-2</v>
      </c>
      <c r="E25" s="183">
        <f t="shared" ref="E25" si="13">D25+E26</f>
        <v>3.6000000000000004E-2</v>
      </c>
      <c r="F25" s="183">
        <f t="shared" ref="F25" si="14">E25+F26</f>
        <v>3.6500000000000005E-2</v>
      </c>
      <c r="G25" s="183">
        <f t="shared" ref="G25" si="15">F25+G26</f>
        <v>3.7300000000000007E-2</v>
      </c>
      <c r="H25" s="183">
        <f t="shared" ref="H25" si="16">G25+H26</f>
        <v>3.8100000000000009E-2</v>
      </c>
      <c r="I25" s="183">
        <f t="shared" ref="I25" si="17">H25+I26</f>
        <v>3.910000000000001E-2</v>
      </c>
      <c r="J25" s="183">
        <f t="shared" ref="J25" si="18">I25+J26</f>
        <v>4.0300000000000009E-2</v>
      </c>
      <c r="K25" s="183">
        <f t="shared" ref="K25" si="19">J25+K26</f>
        <v>4.1800000000000011E-2</v>
      </c>
      <c r="L25" s="183">
        <f t="shared" ref="L25" si="20">K25+L26</f>
        <v>4.3800000000000013E-2</v>
      </c>
      <c r="M25" s="183">
        <f t="shared" ref="M25" si="21">L25+M26</f>
        <v>4.5800000000000014E-2</v>
      </c>
      <c r="N25" s="183">
        <f t="shared" ref="N25" si="22">M25+N26</f>
        <v>4.8300000000000017E-2</v>
      </c>
      <c r="O25" s="142"/>
      <c r="P25" s="142"/>
      <c r="Q25" s="184"/>
    </row>
    <row r="26" spans="1:17" x14ac:dyDescent="0.25">
      <c r="A26" s="142"/>
      <c r="B26" s="142"/>
      <c r="C26" s="142"/>
      <c r="D26" s="183">
        <v>5.0000000000000001E-4</v>
      </c>
      <c r="E26" s="183">
        <v>5.0000000000000001E-4</v>
      </c>
      <c r="F26" s="183">
        <v>5.0000000000000001E-4</v>
      </c>
      <c r="G26" s="183">
        <v>8.0000000000000004E-4</v>
      </c>
      <c r="H26" s="183">
        <v>8.0000000000000004E-4</v>
      </c>
      <c r="I26" s="183">
        <v>1E-3</v>
      </c>
      <c r="J26" s="183">
        <v>1.1999999999999999E-3</v>
      </c>
      <c r="K26" s="183">
        <v>1.5E-3</v>
      </c>
      <c r="L26" s="183">
        <v>2E-3</v>
      </c>
      <c r="M26" s="183">
        <v>2E-3</v>
      </c>
      <c r="N26" s="183">
        <v>2.5000000000000001E-3</v>
      </c>
      <c r="O26" s="183"/>
      <c r="P26" s="184">
        <v>0.04</v>
      </c>
      <c r="Q26" s="184">
        <v>3.7999999999999999E-2</v>
      </c>
    </row>
    <row r="27" spans="1:17" x14ac:dyDescent="0.25">
      <c r="A27" s="207" t="s">
        <v>26</v>
      </c>
      <c r="B27" s="142"/>
      <c r="C27" s="142"/>
      <c r="D27" s="142"/>
      <c r="E27" s="142"/>
      <c r="F27" s="181"/>
      <c r="G27" s="185">
        <f>G22-G24</f>
        <v>-1948.9365245429799</v>
      </c>
      <c r="H27" s="181">
        <f t="shared" ref="H27:N27" si="23">H22-H24</f>
        <v>-5735.9952061278746</v>
      </c>
      <c r="I27" s="181">
        <f t="shared" si="23"/>
        <v>-92150.169418687467</v>
      </c>
      <c r="J27" s="181">
        <f t="shared" si="23"/>
        <v>-113338.64764626045</v>
      </c>
      <c r="K27" s="181">
        <f t="shared" si="23"/>
        <v>-144416.32631787425</v>
      </c>
      <c r="L27" s="181">
        <f t="shared" si="23"/>
        <v>-279085.65021059755</v>
      </c>
      <c r="M27" s="181">
        <f t="shared" si="23"/>
        <v>-474406.42099024262</v>
      </c>
      <c r="N27" s="181">
        <f t="shared" si="23"/>
        <v>-601254.79912407137</v>
      </c>
      <c r="O27" s="142"/>
      <c r="P27" s="142"/>
      <c r="Q27" s="142"/>
    </row>
    <row r="28" spans="1:17" x14ac:dyDescent="0.25">
      <c r="H28" s="132"/>
      <c r="I28" s="132"/>
      <c r="J28" s="132"/>
      <c r="K28" s="132"/>
      <c r="L28" s="132"/>
      <c r="M28" s="132"/>
      <c r="N28" s="132"/>
    </row>
  </sheetData>
  <hyperlinks>
    <hyperlink ref="B2" r:id="rId1" xr:uid="{B01856E7-0A41-4578-83E4-25BF44D5C902}"/>
    <hyperlink ref="B4" r:id="rId2" xr:uid="{8E231E8D-0AFE-4FF0-9ED9-7E75CE6E7B3A}"/>
    <hyperlink ref="B6" r:id="rId3" xr:uid="{A9A98A9D-2EC5-4AA6-81C1-DBA71C9FA9EC}"/>
    <hyperlink ref="B8" r:id="rId4" xr:uid="{1968BB66-F5F3-4A36-AC4E-AE3F0A88A702}"/>
    <hyperlink ref="B10" r:id="rId5" xr:uid="{EA77C08D-1526-4FC8-A355-55FAB34C5EE7}"/>
    <hyperlink ref="B12" r:id="rId6" xr:uid="{8A42DA3D-2D50-4067-8FFC-DD488A489B7A}"/>
  </hyperlinks>
  <pageMargins left="0.7" right="0.7" top="0.75" bottom="0.75" header="0.3" footer="0.3"/>
  <pageSetup orientation="portrait" r:id="rId7"/>
  <legacyDrawing r:id="rId8"/>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17702-08FF-48C1-97C6-023E9E03AFFB}">
  <dimension ref="B2:S46"/>
  <sheetViews>
    <sheetView topLeftCell="E19" workbookViewId="0">
      <selection activeCell="O36" sqref="O36"/>
    </sheetView>
  </sheetViews>
  <sheetFormatPr defaultRowHeight="15" x14ac:dyDescent="0.25"/>
  <cols>
    <col min="1" max="1" width="9.140625" style="17"/>
    <col min="2" max="2" width="19.140625" style="17" bestFit="1" customWidth="1"/>
    <col min="3" max="3" width="12.5703125" style="17" bestFit="1" customWidth="1"/>
    <col min="4" max="4" width="13.7109375" style="17" bestFit="1" customWidth="1"/>
    <col min="5" max="5" width="19.140625" style="17" bestFit="1" customWidth="1"/>
    <col min="6" max="6" width="10" style="17" bestFit="1" customWidth="1"/>
    <col min="7" max="7" width="11.5703125" style="17" bestFit="1" customWidth="1"/>
    <col min="8" max="8" width="11.7109375" style="17" bestFit="1" customWidth="1"/>
    <col min="9" max="9" width="12.42578125" style="17" bestFit="1" customWidth="1"/>
    <col min="10" max="10" width="13.28515625" style="17" bestFit="1" customWidth="1"/>
    <col min="11" max="11" width="11.7109375" style="17" bestFit="1" customWidth="1"/>
    <col min="12" max="12" width="15.5703125" style="17" bestFit="1" customWidth="1"/>
    <col min="13" max="13" width="17.5703125" style="17" bestFit="1" customWidth="1"/>
    <col min="14" max="14" width="19.140625" style="17" bestFit="1" customWidth="1"/>
    <col min="15" max="15" width="10" style="17" bestFit="1" customWidth="1"/>
    <col min="16" max="18" width="14.42578125" style="17" bestFit="1" customWidth="1"/>
    <col min="19" max="16384" width="9.140625" style="17"/>
  </cols>
  <sheetData>
    <row r="2" spans="2:17" x14ac:dyDescent="0.25">
      <c r="B2" s="143" t="s">
        <v>50</v>
      </c>
      <c r="C2" s="143" t="s">
        <v>348</v>
      </c>
      <c r="D2" s="143" t="s">
        <v>127</v>
      </c>
      <c r="E2" s="143" t="s">
        <v>349</v>
      </c>
      <c r="H2" s="17" t="s">
        <v>364</v>
      </c>
      <c r="I2" s="17" t="s">
        <v>367</v>
      </c>
      <c r="K2" s="143" t="s">
        <v>373</v>
      </c>
      <c r="L2" s="143" t="s">
        <v>374</v>
      </c>
      <c r="M2" s="143" t="s">
        <v>375</v>
      </c>
      <c r="N2" s="143" t="s">
        <v>349</v>
      </c>
    </row>
    <row r="3" spans="2:17" x14ac:dyDescent="0.25">
      <c r="B3" s="143" t="s">
        <v>275</v>
      </c>
      <c r="C3" s="186">
        <v>710000</v>
      </c>
      <c r="D3" s="143"/>
      <c r="E3" s="187">
        <f t="shared" ref="E3:E8" si="0">D3/C3</f>
        <v>0</v>
      </c>
      <c r="F3" s="17">
        <f>C3/1000</f>
        <v>710</v>
      </c>
      <c r="H3" s="17" t="s">
        <v>168</v>
      </c>
      <c r="I3" s="17">
        <f>370+210+130</f>
        <v>710</v>
      </c>
      <c r="J3" s="32">
        <f>I3/$I$16</f>
        <v>0.16254578754578755</v>
      </c>
      <c r="K3" s="143" t="s">
        <v>166</v>
      </c>
      <c r="L3" s="143">
        <f>1250*1000</f>
        <v>1250000</v>
      </c>
      <c r="M3" s="143">
        <f>L3*77%</f>
        <v>962500</v>
      </c>
      <c r="N3" s="187">
        <f>M3/L3</f>
        <v>0.77</v>
      </c>
      <c r="P3" s="29">
        <f>L3/1000</f>
        <v>1250</v>
      </c>
      <c r="Q3" s="29">
        <f>M3/1000</f>
        <v>962.5</v>
      </c>
    </row>
    <row r="4" spans="2:17" x14ac:dyDescent="0.25">
      <c r="B4" s="143" t="s">
        <v>353</v>
      </c>
      <c r="C4" s="143">
        <v>595000</v>
      </c>
      <c r="D4" s="143"/>
      <c r="E4" s="187">
        <f t="shared" si="0"/>
        <v>0</v>
      </c>
      <c r="F4" s="17">
        <f t="shared" ref="F4:F7" si="1">C4/1000</f>
        <v>595</v>
      </c>
      <c r="H4" s="17" t="s">
        <v>365</v>
      </c>
      <c r="I4" s="17">
        <f>60+215+240</f>
        <v>515</v>
      </c>
      <c r="J4" s="32">
        <f t="shared" ref="J4:J15" si="2">I4/$I$16</f>
        <v>0.1179029304029304</v>
      </c>
      <c r="K4" s="143" t="s">
        <v>168</v>
      </c>
      <c r="L4" s="143">
        <f>710*1000</f>
        <v>710000</v>
      </c>
      <c r="M4" s="190">
        <f>L4*80%</f>
        <v>568000</v>
      </c>
      <c r="N4" s="187">
        <f t="shared" ref="N4:N14" si="3">M4/L4</f>
        <v>0.8</v>
      </c>
      <c r="P4" s="29">
        <f t="shared" ref="P4:Q13" si="4">L4/1000</f>
        <v>710</v>
      </c>
      <c r="Q4" s="29">
        <f t="shared" si="4"/>
        <v>568</v>
      </c>
    </row>
    <row r="5" spans="2:17" x14ac:dyDescent="0.25">
      <c r="B5" s="143" t="s">
        <v>354</v>
      </c>
      <c r="C5" s="143">
        <v>570000</v>
      </c>
      <c r="D5" s="143"/>
      <c r="E5" s="187">
        <f t="shared" si="0"/>
        <v>0</v>
      </c>
      <c r="F5" s="17">
        <f t="shared" si="1"/>
        <v>570</v>
      </c>
      <c r="H5" s="17" t="s">
        <v>370</v>
      </c>
      <c r="I5" s="17">
        <f>47+160+235</f>
        <v>442</v>
      </c>
      <c r="J5" s="32">
        <f t="shared" si="2"/>
        <v>0.10119047619047619</v>
      </c>
      <c r="K5" s="143" t="s">
        <v>171</v>
      </c>
      <c r="L5" s="143">
        <f>620*1000</f>
        <v>620000</v>
      </c>
      <c r="M5" s="190">
        <f>L5*78%</f>
        <v>483600</v>
      </c>
      <c r="N5" s="187">
        <f t="shared" si="3"/>
        <v>0.78</v>
      </c>
      <c r="P5" s="29">
        <f t="shared" si="4"/>
        <v>620</v>
      </c>
      <c r="Q5" s="29">
        <f t="shared" si="4"/>
        <v>483.6</v>
      </c>
    </row>
    <row r="6" spans="2:17" x14ac:dyDescent="0.25">
      <c r="B6" s="143" t="s">
        <v>355</v>
      </c>
      <c r="C6" s="143">
        <v>502000</v>
      </c>
      <c r="D6" s="143"/>
      <c r="E6" s="187">
        <f t="shared" si="0"/>
        <v>0</v>
      </c>
      <c r="F6" s="17">
        <f t="shared" si="1"/>
        <v>502</v>
      </c>
      <c r="H6" s="17" t="s">
        <v>371</v>
      </c>
      <c r="I6" s="17">
        <v>186</v>
      </c>
      <c r="J6" s="32">
        <f t="shared" si="2"/>
        <v>4.2582417582417584E-2</v>
      </c>
      <c r="K6" s="143" t="s">
        <v>365</v>
      </c>
      <c r="L6" s="143">
        <f>515*1000</f>
        <v>515000</v>
      </c>
      <c r="M6" s="143">
        <f>L6*80%</f>
        <v>412000</v>
      </c>
      <c r="N6" s="187">
        <f t="shared" si="3"/>
        <v>0.8</v>
      </c>
      <c r="P6" s="29">
        <f t="shared" si="4"/>
        <v>515</v>
      </c>
      <c r="Q6" s="29">
        <f t="shared" si="4"/>
        <v>412</v>
      </c>
    </row>
    <row r="7" spans="2:17" x14ac:dyDescent="0.25">
      <c r="B7" s="143" t="s">
        <v>356</v>
      </c>
      <c r="C7" s="143">
        <v>445000</v>
      </c>
      <c r="D7" s="143">
        <f>C7*85%</f>
        <v>378250</v>
      </c>
      <c r="E7" s="187">
        <f t="shared" si="0"/>
        <v>0.85</v>
      </c>
      <c r="F7" s="17">
        <f t="shared" si="1"/>
        <v>445</v>
      </c>
      <c r="H7" s="17" t="s">
        <v>166</v>
      </c>
      <c r="I7" s="17">
        <f>30+60+230+420+210+90+140+70</f>
        <v>1250</v>
      </c>
      <c r="J7" s="32">
        <f t="shared" si="2"/>
        <v>0.28617216117216115</v>
      </c>
      <c r="K7" s="143" t="s">
        <v>370</v>
      </c>
      <c r="L7" s="143">
        <f>442*1000</f>
        <v>442000</v>
      </c>
      <c r="M7" s="190">
        <f>L7*78%</f>
        <v>344760</v>
      </c>
      <c r="N7" s="187">
        <f t="shared" si="3"/>
        <v>0.78</v>
      </c>
      <c r="P7" s="29">
        <f t="shared" si="4"/>
        <v>442</v>
      </c>
      <c r="Q7" s="29">
        <f t="shared" si="4"/>
        <v>344.76</v>
      </c>
    </row>
    <row r="8" spans="2:17" x14ac:dyDescent="0.25">
      <c r="B8" s="143" t="s">
        <v>357</v>
      </c>
      <c r="C8" s="143">
        <v>440000</v>
      </c>
      <c r="D8" s="188">
        <v>338217.97724400001</v>
      </c>
      <c r="E8" s="187">
        <f t="shared" si="0"/>
        <v>0.76867722100909097</v>
      </c>
      <c r="F8" s="31">
        <f>C13-SUM(F3:F7)</f>
        <v>1490.1999999999998</v>
      </c>
      <c r="H8" s="17" t="s">
        <v>170</v>
      </c>
      <c r="I8" s="17">
        <f>90</f>
        <v>90</v>
      </c>
      <c r="J8" s="32">
        <f t="shared" si="2"/>
        <v>2.0604395604395604E-2</v>
      </c>
      <c r="K8" s="143" t="s">
        <v>164</v>
      </c>
      <c r="L8" s="143">
        <f>240*1000</f>
        <v>240000</v>
      </c>
      <c r="M8" s="143">
        <f>L8*79%</f>
        <v>189600</v>
      </c>
      <c r="N8" s="187">
        <f t="shared" si="3"/>
        <v>0.79</v>
      </c>
      <c r="P8" s="29">
        <f t="shared" si="4"/>
        <v>240</v>
      </c>
      <c r="Q8" s="29">
        <f t="shared" si="4"/>
        <v>189.6</v>
      </c>
    </row>
    <row r="9" spans="2:17" x14ac:dyDescent="0.25">
      <c r="B9" s="143" t="s">
        <v>358</v>
      </c>
      <c r="C9" s="143">
        <v>200000</v>
      </c>
      <c r="D9" s="188">
        <v>172180</v>
      </c>
      <c r="E9" s="187">
        <f>D9/C9</f>
        <v>0.8609</v>
      </c>
      <c r="H9" s="17" t="s">
        <v>169</v>
      </c>
      <c r="I9" s="17">
        <v>25</v>
      </c>
      <c r="J9" s="32">
        <f t="shared" si="2"/>
        <v>5.7234432234432231E-3</v>
      </c>
      <c r="K9" s="143" t="s">
        <v>371</v>
      </c>
      <c r="L9" s="143">
        <f>186*1000</f>
        <v>186000</v>
      </c>
      <c r="M9" s="190">
        <f>L9*75%</f>
        <v>139500</v>
      </c>
      <c r="N9" s="187">
        <f t="shared" si="3"/>
        <v>0.75</v>
      </c>
      <c r="P9" s="29">
        <f t="shared" si="4"/>
        <v>186</v>
      </c>
      <c r="Q9" s="29">
        <f t="shared" si="4"/>
        <v>139.5</v>
      </c>
    </row>
    <row r="10" spans="2:17" x14ac:dyDescent="0.25">
      <c r="B10" s="143" t="s">
        <v>38</v>
      </c>
      <c r="C10" s="133">
        <f>C11-SUM(C3:C9)</f>
        <v>850200</v>
      </c>
      <c r="D10" s="133">
        <f>D11-SUM(D3:D9)</f>
        <v>2493531.795196</v>
      </c>
      <c r="E10" s="143"/>
      <c r="F10" s="189"/>
      <c r="H10" s="17" t="s">
        <v>368</v>
      </c>
      <c r="I10" s="17">
        <v>60</v>
      </c>
      <c r="J10" s="32">
        <f t="shared" si="2"/>
        <v>1.3736263736263736E-2</v>
      </c>
      <c r="K10" s="143" t="s">
        <v>170</v>
      </c>
      <c r="L10" s="143">
        <f>90*1000</f>
        <v>90000</v>
      </c>
      <c r="M10" s="190">
        <f>L10*78%</f>
        <v>70200</v>
      </c>
      <c r="N10" s="187">
        <f t="shared" si="3"/>
        <v>0.78</v>
      </c>
      <c r="P10" s="29">
        <f t="shared" si="4"/>
        <v>90</v>
      </c>
      <c r="Q10" s="29">
        <f t="shared" si="4"/>
        <v>70.2</v>
      </c>
    </row>
    <row r="11" spans="2:17" x14ac:dyDescent="0.25">
      <c r="B11" s="143" t="s">
        <v>360</v>
      </c>
      <c r="C11" s="188">
        <v>4312200</v>
      </c>
      <c r="D11" s="188">
        <f>D8/10%</f>
        <v>3382179.77244</v>
      </c>
      <c r="E11" s="187">
        <f>D11/C11</f>
        <v>0.78432813237790455</v>
      </c>
      <c r="H11" s="17" t="s">
        <v>372</v>
      </c>
      <c r="I11" s="17">
        <v>80</v>
      </c>
      <c r="J11" s="32">
        <f t="shared" si="2"/>
        <v>1.8315018315018316E-2</v>
      </c>
      <c r="K11" s="143" t="s">
        <v>372</v>
      </c>
      <c r="L11" s="143">
        <f>80*1000</f>
        <v>80000</v>
      </c>
      <c r="M11" s="190">
        <f>L11*75%</f>
        <v>60000</v>
      </c>
      <c r="N11" s="187">
        <f t="shared" si="3"/>
        <v>0.75</v>
      </c>
      <c r="P11" s="29">
        <f t="shared" si="4"/>
        <v>80</v>
      </c>
      <c r="Q11" s="29">
        <f t="shared" si="4"/>
        <v>60</v>
      </c>
    </row>
    <row r="12" spans="2:17" x14ac:dyDescent="0.25">
      <c r="C12" s="17" t="b">
        <f>C11=G19</f>
        <v>1</v>
      </c>
      <c r="H12" s="17" t="s">
        <v>171</v>
      </c>
      <c r="I12" s="17">
        <f>118+502</f>
        <v>620</v>
      </c>
      <c r="J12" s="32">
        <f t="shared" si="2"/>
        <v>0.14194139194139194</v>
      </c>
      <c r="K12" s="143" t="s">
        <v>165</v>
      </c>
      <c r="L12" s="143">
        <f>80*1000</f>
        <v>80000</v>
      </c>
      <c r="M12" s="190">
        <f>L12*78%</f>
        <v>62400</v>
      </c>
      <c r="N12" s="187">
        <f t="shared" si="3"/>
        <v>0.78</v>
      </c>
      <c r="P12" s="29">
        <f t="shared" si="4"/>
        <v>80</v>
      </c>
      <c r="Q12" s="29">
        <f t="shared" si="4"/>
        <v>62.4</v>
      </c>
    </row>
    <row r="13" spans="2:17" x14ac:dyDescent="0.25">
      <c r="C13" s="191">
        <f>C11/1000</f>
        <v>4312.2</v>
      </c>
      <c r="E13" s="17">
        <f>511000-C7</f>
        <v>66000</v>
      </c>
      <c r="H13" s="17" t="s">
        <v>369</v>
      </c>
      <c r="I13" s="17">
        <v>70</v>
      </c>
      <c r="J13" s="32">
        <f t="shared" si="2"/>
        <v>1.6025641025641024E-2</v>
      </c>
      <c r="K13" s="143" t="s">
        <v>38</v>
      </c>
      <c r="L13" s="190">
        <f>G19-SUM(L3:L12)</f>
        <v>99200</v>
      </c>
      <c r="M13" s="190">
        <f>G21-SUM(M3:M12)</f>
        <v>76601.222910000011</v>
      </c>
      <c r="N13" s="187">
        <f t="shared" si="3"/>
        <v>0.77218974707661303</v>
      </c>
      <c r="P13" s="29">
        <f t="shared" si="4"/>
        <v>99.2</v>
      </c>
      <c r="Q13" s="29">
        <f t="shared" si="4"/>
        <v>76.601222910000018</v>
      </c>
    </row>
    <row r="14" spans="2:17" x14ac:dyDescent="0.25">
      <c r="H14" s="17" t="s">
        <v>165</v>
      </c>
      <c r="I14" s="17">
        <v>80</v>
      </c>
      <c r="J14" s="32">
        <f t="shared" si="2"/>
        <v>1.8315018315018316E-2</v>
      </c>
      <c r="K14" s="143"/>
      <c r="L14" s="143">
        <f>SUM(L3:L13)</f>
        <v>4312200</v>
      </c>
      <c r="M14" s="190">
        <f>SUM(M3:M13)</f>
        <v>3369161.22291</v>
      </c>
      <c r="N14" s="187">
        <f t="shared" si="3"/>
        <v>0.78130912826631416</v>
      </c>
      <c r="P14" s="29">
        <f>SUM(P3:P13)</f>
        <v>4312.2</v>
      </c>
      <c r="Q14" s="29">
        <f>SUM(Q3:Q13)</f>
        <v>3369.1612229099997</v>
      </c>
    </row>
    <row r="15" spans="2:17" x14ac:dyDescent="0.25">
      <c r="H15" s="17" t="s">
        <v>164</v>
      </c>
      <c r="I15" s="17">
        <f>110+90+40</f>
        <v>240</v>
      </c>
      <c r="J15" s="32">
        <f t="shared" si="2"/>
        <v>5.4945054945054944E-2</v>
      </c>
      <c r="L15" s="193">
        <f>L13/L14</f>
        <v>2.300449886368907E-2</v>
      </c>
      <c r="M15" s="193">
        <f>M13/M14</f>
        <v>2.2735992088807871E-2</v>
      </c>
    </row>
    <row r="16" spans="2:17" x14ac:dyDescent="0.25">
      <c r="H16" s="191"/>
      <c r="I16" s="17">
        <f>SUM(I3:I15)</f>
        <v>4368</v>
      </c>
      <c r="L16" s="17" t="b">
        <f>L14=G19</f>
        <v>1</v>
      </c>
      <c r="M16" s="17" t="b">
        <f>M14=G21</f>
        <v>1</v>
      </c>
    </row>
    <row r="17" spans="2:19" x14ac:dyDescent="0.25">
      <c r="I17" s="191"/>
    </row>
    <row r="18" spans="2:19" x14ac:dyDescent="0.25">
      <c r="B18" s="143"/>
      <c r="C18" s="176">
        <v>2018</v>
      </c>
      <c r="D18" s="176">
        <v>2019</v>
      </c>
      <c r="E18" s="176">
        <v>2020</v>
      </c>
      <c r="F18" s="176">
        <v>2021</v>
      </c>
      <c r="G18" s="176">
        <v>2022</v>
      </c>
      <c r="H18" s="176">
        <v>2023</v>
      </c>
      <c r="I18" s="176">
        <v>2024</v>
      </c>
      <c r="J18" s="176">
        <v>2025</v>
      </c>
      <c r="K18" s="176">
        <v>2026</v>
      </c>
      <c r="L18" s="176">
        <v>2027</v>
      </c>
      <c r="M18" s="176">
        <v>2028</v>
      </c>
      <c r="N18" s="176">
        <v>2029</v>
      </c>
      <c r="O18" s="176">
        <v>2030</v>
      </c>
      <c r="P18" s="176" t="s">
        <v>361</v>
      </c>
      <c r="Q18" s="176" t="s">
        <v>362</v>
      </c>
      <c r="R18" s="176" t="s">
        <v>363</v>
      </c>
    </row>
    <row r="19" spans="2:19" x14ac:dyDescent="0.25">
      <c r="B19" s="143" t="s">
        <v>348</v>
      </c>
      <c r="C19" s="188">
        <v>3760000</v>
      </c>
      <c r="D19" s="188">
        <v>4179999.9999999995</v>
      </c>
      <c r="E19" s="188">
        <v>4126000</v>
      </c>
      <c r="F19" s="188">
        <v>4312000</v>
      </c>
      <c r="G19" s="188">
        <v>4312200</v>
      </c>
      <c r="H19" s="188">
        <v>4312200</v>
      </c>
      <c r="I19" s="188">
        <v>4312200</v>
      </c>
      <c r="J19" s="188">
        <v>4378200</v>
      </c>
      <c r="K19" s="188">
        <v>4428400</v>
      </c>
      <c r="L19" s="188">
        <v>4428400</v>
      </c>
      <c r="M19" s="188">
        <v>4428400</v>
      </c>
      <c r="N19" s="188">
        <v>4428400</v>
      </c>
      <c r="O19" s="188">
        <v>4428400</v>
      </c>
      <c r="P19" s="143"/>
      <c r="Q19" s="143"/>
      <c r="R19" s="143"/>
    </row>
    <row r="20" spans="2:19" x14ac:dyDescent="0.25">
      <c r="B20" s="143" t="s">
        <v>349</v>
      </c>
      <c r="C20" s="178">
        <v>0.77860006167129203</v>
      </c>
      <c r="D20" s="178">
        <v>0.72488038277511968</v>
      </c>
      <c r="E20" s="178">
        <v>0.76043746970431414</v>
      </c>
      <c r="F20" s="178">
        <v>0.75383055194805193</v>
      </c>
      <c r="G20" s="178">
        <v>0.78130912826631416</v>
      </c>
      <c r="H20" s="179">
        <v>0.81</v>
      </c>
      <c r="I20" s="180">
        <v>0.84</v>
      </c>
      <c r="J20" s="180">
        <v>0.84</v>
      </c>
      <c r="K20" s="180">
        <v>0.86</v>
      </c>
      <c r="L20" s="180">
        <v>0.89</v>
      </c>
      <c r="M20" s="180">
        <v>0.9</v>
      </c>
      <c r="N20" s="180">
        <v>0.9</v>
      </c>
      <c r="O20" s="180">
        <v>0.92</v>
      </c>
      <c r="P20" s="143"/>
      <c r="Q20" s="143"/>
      <c r="R20" s="143"/>
    </row>
    <row r="21" spans="2:19" x14ac:dyDescent="0.25">
      <c r="B21" s="143" t="s">
        <v>127</v>
      </c>
      <c r="C21" s="181">
        <v>2927536.2318840581</v>
      </c>
      <c r="D21" s="181">
        <v>3030000</v>
      </c>
      <c r="E21" s="181">
        <v>3137565</v>
      </c>
      <c r="F21" s="181">
        <v>3250517.34</v>
      </c>
      <c r="G21" s="181">
        <v>3369161.22291</v>
      </c>
      <c r="H21" s="181">
        <v>3492882</v>
      </c>
      <c r="I21" s="181">
        <v>3622248</v>
      </c>
      <c r="J21" s="181">
        <v>3677688</v>
      </c>
      <c r="K21" s="181">
        <v>3808424</v>
      </c>
      <c r="L21" s="181">
        <v>3941276</v>
      </c>
      <c r="M21" s="181">
        <v>3985560</v>
      </c>
      <c r="N21" s="181">
        <v>3985560</v>
      </c>
      <c r="O21" s="181">
        <v>4074128</v>
      </c>
      <c r="P21" s="143"/>
      <c r="Q21" s="143"/>
      <c r="R21" s="143"/>
    </row>
    <row r="22" spans="2:19" x14ac:dyDescent="0.25">
      <c r="B22" s="143" t="s">
        <v>350</v>
      </c>
      <c r="C22" s="177">
        <v>2927536.2318840581</v>
      </c>
      <c r="D22" s="177">
        <v>3030000</v>
      </c>
      <c r="E22" s="177">
        <v>3137565</v>
      </c>
      <c r="F22" s="177">
        <v>3250517.34</v>
      </c>
      <c r="G22" s="177">
        <v>3369161.22291</v>
      </c>
      <c r="H22" s="182">
        <v>3494830.936524543</v>
      </c>
      <c r="I22" s="177">
        <v>3627983.9952061279</v>
      </c>
      <c r="J22" s="177">
        <v>3769838.1694186875</v>
      </c>
      <c r="K22" s="177">
        <v>3921762.6476462604</v>
      </c>
      <c r="L22" s="177">
        <v>4085692.3263178742</v>
      </c>
      <c r="M22" s="177">
        <v>4264645.6502105976</v>
      </c>
      <c r="N22" s="177">
        <v>4459966.4209902426</v>
      </c>
      <c r="O22" s="177">
        <v>4675382.7991240714</v>
      </c>
      <c r="P22" s="111">
        <f>(G22/C22)^(1/4)-1</f>
        <v>3.5749849143107859E-2</v>
      </c>
      <c r="Q22" s="111">
        <f>(J22/G22)^(1/3)-1</f>
        <v>3.8166405539167947E-2</v>
      </c>
      <c r="R22" s="111">
        <f>(O22/J22)^(1/5)-1</f>
        <v>4.3996141298961788E-2</v>
      </c>
      <c r="S22" s="113">
        <f>(O22/G22)^(1/8)-1</f>
        <v>4.1806163934284823E-2</v>
      </c>
    </row>
    <row r="23" spans="2:19" x14ac:dyDescent="0.25">
      <c r="B23" s="143" t="s">
        <v>26</v>
      </c>
      <c r="C23" s="143"/>
      <c r="D23" s="143"/>
      <c r="E23" s="143"/>
      <c r="F23" s="143"/>
      <c r="G23" s="133"/>
      <c r="H23" s="133">
        <f>H21-H22</f>
        <v>-1948.9365245429799</v>
      </c>
      <c r="I23" s="133">
        <f t="shared" ref="I23:O23" si="5">I21-I22</f>
        <v>-5735.9952061278746</v>
      </c>
      <c r="J23" s="133">
        <f t="shared" si="5"/>
        <v>-92150.169418687467</v>
      </c>
      <c r="K23" s="133">
        <f t="shared" si="5"/>
        <v>-113338.64764626045</v>
      </c>
      <c r="L23" s="133">
        <f t="shared" si="5"/>
        <v>-144416.32631787425</v>
      </c>
      <c r="M23" s="133">
        <f t="shared" si="5"/>
        <v>-279085.65021059755</v>
      </c>
      <c r="N23" s="133">
        <f t="shared" si="5"/>
        <v>-474406.42099024262</v>
      </c>
      <c r="O23" s="133">
        <f t="shared" si="5"/>
        <v>-601254.79912407137</v>
      </c>
      <c r="P23" s="143"/>
      <c r="Q23" s="143"/>
      <c r="R23" s="143"/>
    </row>
    <row r="25" spans="2:19" x14ac:dyDescent="0.25">
      <c r="C25" s="29"/>
      <c r="D25" s="29"/>
      <c r="E25" s="29"/>
      <c r="F25" s="29"/>
      <c r="G25" s="29"/>
      <c r="H25" s="29" t="s">
        <v>350</v>
      </c>
      <c r="J25" s="27"/>
      <c r="K25" s="29"/>
      <c r="L25" s="29"/>
      <c r="M25" s="29" t="s">
        <v>403</v>
      </c>
      <c r="N25" s="29"/>
      <c r="O25" s="29"/>
    </row>
    <row r="26" spans="2:19" x14ac:dyDescent="0.25">
      <c r="B26" s="17" t="s">
        <v>365</v>
      </c>
      <c r="E26" s="17" t="s">
        <v>398</v>
      </c>
      <c r="F26" s="45">
        <v>0.35</v>
      </c>
      <c r="H26" s="17" t="s">
        <v>365</v>
      </c>
      <c r="I26" s="30">
        <v>0.22</v>
      </c>
      <c r="J26" s="189">
        <f>I26*$G$22</f>
        <v>741215.4690402</v>
      </c>
      <c r="K26" s="29">
        <f>J26/1000</f>
        <v>741.21546904019999</v>
      </c>
      <c r="L26" s="189"/>
      <c r="M26" s="143" t="s">
        <v>166</v>
      </c>
      <c r="N26" s="143">
        <f>1250*1000</f>
        <v>1250000</v>
      </c>
      <c r="O26" s="32">
        <f>N26/$G$19</f>
        <v>0.28987523769769491</v>
      </c>
      <c r="P26" s="29">
        <v>962500</v>
      </c>
      <c r="Q26" s="29">
        <f>P26/1000</f>
        <v>962.5</v>
      </c>
    </row>
    <row r="27" spans="2:19" x14ac:dyDescent="0.25">
      <c r="B27" s="17" t="s">
        <v>366</v>
      </c>
      <c r="E27" s="17" t="s">
        <v>366</v>
      </c>
      <c r="F27" s="45">
        <v>0.18</v>
      </c>
      <c r="H27" s="194" t="s">
        <v>166</v>
      </c>
      <c r="I27" s="195">
        <v>0.2</v>
      </c>
      <c r="J27" s="196">
        <f t="shared" ref="J27:J28" si="6">I27*$G$22</f>
        <v>673832.24458200007</v>
      </c>
      <c r="K27" s="197">
        <f t="shared" ref="K27:K28" si="7">J27/1000</f>
        <v>673.83224458200004</v>
      </c>
      <c r="L27" s="198"/>
      <c r="M27" s="143" t="s">
        <v>168</v>
      </c>
      <c r="N27" s="143">
        <f>710*1000</f>
        <v>710000</v>
      </c>
      <c r="O27" s="32">
        <f t="shared" ref="O27:O36" si="8">N27/$G$19</f>
        <v>0.1646491350122907</v>
      </c>
      <c r="P27" s="29">
        <v>568000</v>
      </c>
      <c r="Q27" s="29">
        <f t="shared" ref="Q27:Q36" si="9">P27/1000</f>
        <v>568</v>
      </c>
    </row>
    <row r="28" spans="2:19" x14ac:dyDescent="0.25">
      <c r="B28" s="17" t="s">
        <v>166</v>
      </c>
      <c r="E28" s="17" t="s">
        <v>166</v>
      </c>
      <c r="F28" s="45">
        <v>0.15</v>
      </c>
      <c r="G28" s="31">
        <f>F28*$G$22</f>
        <v>505374.18343649997</v>
      </c>
      <c r="H28" s="17" t="s">
        <v>371</v>
      </c>
      <c r="I28" s="30">
        <v>0.11</v>
      </c>
      <c r="J28" s="189">
        <f t="shared" si="6"/>
        <v>370607.7345201</v>
      </c>
      <c r="K28" s="29">
        <f t="shared" si="7"/>
        <v>370.6077345201</v>
      </c>
      <c r="L28" s="189"/>
      <c r="M28" s="143" t="s">
        <v>171</v>
      </c>
      <c r="N28" s="143">
        <f>620*1000</f>
        <v>620000</v>
      </c>
      <c r="O28" s="32">
        <f t="shared" si="8"/>
        <v>0.14377811789805667</v>
      </c>
      <c r="P28" s="29">
        <v>483600</v>
      </c>
      <c r="Q28" s="29">
        <f t="shared" si="9"/>
        <v>483.6</v>
      </c>
    </row>
    <row r="29" spans="2:19" x14ac:dyDescent="0.25">
      <c r="B29" s="17" t="s">
        <v>391</v>
      </c>
      <c r="E29" s="17" t="s">
        <v>399</v>
      </c>
      <c r="F29" s="45">
        <v>0.1</v>
      </c>
      <c r="H29" s="17" t="s">
        <v>400</v>
      </c>
      <c r="I29" s="30">
        <v>0.10600000000000001</v>
      </c>
      <c r="J29" s="189">
        <f t="shared" ref="J29:J36" si="10">I29*$G$22</f>
        <v>357131.08962846006</v>
      </c>
      <c r="K29" s="29">
        <f t="shared" ref="K29:K36" si="11">J29/1000</f>
        <v>357.13108962846007</v>
      </c>
      <c r="L29" s="198"/>
      <c r="M29" s="143" t="s">
        <v>365</v>
      </c>
      <c r="N29" s="143">
        <f>515*1000</f>
        <v>515000</v>
      </c>
      <c r="O29" s="32">
        <f t="shared" si="8"/>
        <v>0.1194285979314503</v>
      </c>
      <c r="P29" s="29">
        <v>412000</v>
      </c>
      <c r="Q29" s="29">
        <f t="shared" si="9"/>
        <v>412</v>
      </c>
      <c r="R29" s="203">
        <f>K26-Q29</f>
        <v>329.21546904019999</v>
      </c>
    </row>
    <row r="30" spans="2:19" x14ac:dyDescent="0.25">
      <c r="B30" s="17" t="s">
        <v>170</v>
      </c>
      <c r="E30" s="17" t="s">
        <v>168</v>
      </c>
      <c r="F30" s="45">
        <v>0.08</v>
      </c>
      <c r="G30" s="31">
        <f>F30*$G$22</f>
        <v>269532.89783279999</v>
      </c>
      <c r="H30" s="17" t="s">
        <v>401</v>
      </c>
      <c r="I30" s="30">
        <v>9.1000000000000011E-2</v>
      </c>
      <c r="J30" s="189">
        <f t="shared" si="10"/>
        <v>306593.67128481006</v>
      </c>
      <c r="K30" s="29">
        <f t="shared" si="11"/>
        <v>306.59367128481006</v>
      </c>
      <c r="L30" s="45"/>
      <c r="M30" s="143" t="s">
        <v>370</v>
      </c>
      <c r="N30" s="143">
        <f>442*1000</f>
        <v>442000</v>
      </c>
      <c r="O30" s="32">
        <f t="shared" si="8"/>
        <v>0.10249988404990493</v>
      </c>
      <c r="P30" s="29">
        <v>344760</v>
      </c>
      <c r="Q30" s="29">
        <f t="shared" si="9"/>
        <v>344.76</v>
      </c>
    </row>
    <row r="31" spans="2:19" x14ac:dyDescent="0.25">
      <c r="B31" s="17" t="s">
        <v>392</v>
      </c>
      <c r="E31" s="17" t="s">
        <v>38</v>
      </c>
      <c r="F31" s="45">
        <f>100%-SUM(F26:F30)</f>
        <v>0.14000000000000001</v>
      </c>
      <c r="H31" s="17" t="s">
        <v>402</v>
      </c>
      <c r="I31" s="30">
        <v>0.08</v>
      </c>
      <c r="J31" s="189">
        <f t="shared" si="10"/>
        <v>269532.89783279999</v>
      </c>
      <c r="K31" s="29">
        <f t="shared" si="11"/>
        <v>269.53289783280002</v>
      </c>
      <c r="L31" s="45"/>
      <c r="M31" s="143" t="s">
        <v>164</v>
      </c>
      <c r="N31" s="143">
        <f>240*1000</f>
        <v>240000</v>
      </c>
      <c r="O31" s="32">
        <f t="shared" si="8"/>
        <v>5.5656045637957424E-2</v>
      </c>
      <c r="P31" s="29">
        <v>189600</v>
      </c>
      <c r="Q31" s="29">
        <f t="shared" si="9"/>
        <v>189.6</v>
      </c>
    </row>
    <row r="32" spans="2:19" x14ac:dyDescent="0.25">
      <c r="B32" s="17" t="s">
        <v>169</v>
      </c>
      <c r="H32" s="17" t="s">
        <v>168</v>
      </c>
      <c r="I32" s="30">
        <v>7.4999999999999997E-2</v>
      </c>
      <c r="J32" s="189">
        <f t="shared" si="10"/>
        <v>252687.09171824998</v>
      </c>
      <c r="K32" s="29">
        <f t="shared" si="11"/>
        <v>252.68709171824997</v>
      </c>
      <c r="L32" s="45"/>
      <c r="M32" s="143" t="s">
        <v>371</v>
      </c>
      <c r="N32" s="143">
        <f>186*1000</f>
        <v>186000</v>
      </c>
      <c r="O32" s="32">
        <f t="shared" si="8"/>
        <v>4.3133435369417002E-2</v>
      </c>
      <c r="P32" s="29">
        <v>139500</v>
      </c>
      <c r="Q32" s="29">
        <f t="shared" si="9"/>
        <v>139.5</v>
      </c>
      <c r="R32" s="203">
        <f>K28-Q32</f>
        <v>231.1077345201</v>
      </c>
    </row>
    <row r="33" spans="2:18" x14ac:dyDescent="0.25">
      <c r="B33" s="17" t="s">
        <v>393</v>
      </c>
      <c r="H33" s="200" t="s">
        <v>170</v>
      </c>
      <c r="I33" s="201">
        <v>3.2000000000000001E-2</v>
      </c>
      <c r="J33" s="202">
        <f t="shared" si="10"/>
        <v>107813.15913312</v>
      </c>
      <c r="K33" s="203">
        <f t="shared" si="11"/>
        <v>107.81315913312001</v>
      </c>
      <c r="L33" s="204"/>
      <c r="M33" s="205" t="s">
        <v>170</v>
      </c>
      <c r="N33" s="205">
        <f>90*1000</f>
        <v>90000</v>
      </c>
      <c r="O33" s="206">
        <f t="shared" si="8"/>
        <v>2.0871017114234034E-2</v>
      </c>
      <c r="P33" s="203">
        <v>70200</v>
      </c>
      <c r="Q33" s="203">
        <f t="shared" si="9"/>
        <v>70.2</v>
      </c>
      <c r="R33" s="203">
        <f>K33-Q33</f>
        <v>37.613159133120007</v>
      </c>
    </row>
    <row r="34" spans="2:18" x14ac:dyDescent="0.25">
      <c r="B34" s="17" t="s">
        <v>394</v>
      </c>
      <c r="H34" s="17" t="s">
        <v>392</v>
      </c>
      <c r="I34" s="192">
        <v>1.4999999999999999E-2</v>
      </c>
      <c r="J34" s="189">
        <f t="shared" si="10"/>
        <v>50537.418343649995</v>
      </c>
      <c r="K34" s="29">
        <f t="shared" si="11"/>
        <v>50.537418343649996</v>
      </c>
      <c r="L34" s="198"/>
      <c r="M34" s="143" t="s">
        <v>372</v>
      </c>
      <c r="N34" s="143">
        <f>80*1000</f>
        <v>80000</v>
      </c>
      <c r="O34" s="32">
        <f t="shared" si="8"/>
        <v>1.8552015212652474E-2</v>
      </c>
      <c r="P34" s="29">
        <v>60000</v>
      </c>
      <c r="Q34" s="29">
        <f t="shared" si="9"/>
        <v>60</v>
      </c>
    </row>
    <row r="35" spans="2:18" x14ac:dyDescent="0.25">
      <c r="B35" s="17" t="s">
        <v>395</v>
      </c>
      <c r="H35" s="194" t="s">
        <v>391</v>
      </c>
      <c r="I35" s="199">
        <v>1.2E-2</v>
      </c>
      <c r="J35" s="196">
        <f t="shared" si="10"/>
        <v>40429.934674919998</v>
      </c>
      <c r="K35" s="197">
        <f t="shared" si="11"/>
        <v>40.429934674919998</v>
      </c>
      <c r="L35" s="45"/>
      <c r="M35" s="143" t="s">
        <v>165</v>
      </c>
      <c r="N35" s="143">
        <f>80*1000</f>
        <v>80000</v>
      </c>
      <c r="O35" s="32">
        <f t="shared" si="8"/>
        <v>1.8552015212652474E-2</v>
      </c>
      <c r="P35" s="29">
        <v>62400</v>
      </c>
      <c r="Q35" s="29">
        <f t="shared" si="9"/>
        <v>62.4</v>
      </c>
    </row>
    <row r="36" spans="2:18" x14ac:dyDescent="0.25">
      <c r="H36" s="17" t="s">
        <v>38</v>
      </c>
      <c r="I36" s="30">
        <f>100%-SUM(I26:I35)</f>
        <v>5.9000000000000052E-2</v>
      </c>
      <c r="J36" s="189">
        <f t="shared" si="10"/>
        <v>198780.51215169017</v>
      </c>
      <c r="K36" s="29">
        <f t="shared" si="11"/>
        <v>198.78051215169017</v>
      </c>
      <c r="L36" s="45"/>
      <c r="M36" s="143" t="s">
        <v>38</v>
      </c>
      <c r="N36" s="190">
        <f>G19-SUM(N26:N35)</f>
        <v>99200</v>
      </c>
      <c r="O36" s="32">
        <f t="shared" si="8"/>
        <v>2.300449886368907E-2</v>
      </c>
      <c r="P36" s="29">
        <v>76601.222910000011</v>
      </c>
      <c r="Q36" s="29">
        <f t="shared" si="9"/>
        <v>76.601222910000018</v>
      </c>
    </row>
    <row r="37" spans="2:18" x14ac:dyDescent="0.25">
      <c r="K37" s="29">
        <f>SUM(K26:K36)</f>
        <v>3369.1612229100001</v>
      </c>
      <c r="L37" s="45"/>
      <c r="P37" s="29">
        <v>3369161.22291</v>
      </c>
    </row>
    <row r="38" spans="2:18" x14ac:dyDescent="0.25">
      <c r="N38" s="17">
        <f>N33/1000</f>
        <v>90</v>
      </c>
    </row>
    <row r="39" spans="2:18" x14ac:dyDescent="0.25">
      <c r="J39" s="32"/>
    </row>
    <row r="41" spans="2:18" x14ac:dyDescent="0.25">
      <c r="B41" s="143"/>
      <c r="C41" s="176">
        <v>2018</v>
      </c>
      <c r="D41" s="176">
        <v>2022</v>
      </c>
      <c r="E41" s="176">
        <v>2023</v>
      </c>
      <c r="F41" s="176">
        <v>2025</v>
      </c>
      <c r="G41" s="176">
        <v>2030</v>
      </c>
    </row>
    <row r="42" spans="2:18" x14ac:dyDescent="0.25">
      <c r="B42" s="143" t="s">
        <v>348</v>
      </c>
      <c r="C42" s="208">
        <f>3760000/1000</f>
        <v>3760</v>
      </c>
      <c r="D42" s="208">
        <f>4312200/1000</f>
        <v>4312.2</v>
      </c>
      <c r="E42" s="208">
        <f>4312200/1000</f>
        <v>4312.2</v>
      </c>
      <c r="F42" s="208">
        <f>4378200/1000</f>
        <v>4378.2</v>
      </c>
      <c r="G42" s="208">
        <f>4428400/1000</f>
        <v>4428.3999999999996</v>
      </c>
    </row>
    <row r="43" spans="2:18" x14ac:dyDescent="0.25">
      <c r="B43" s="143" t="s">
        <v>127</v>
      </c>
      <c r="C43" s="190">
        <f>2927536.23188406/1000</f>
        <v>2927.5362318840598</v>
      </c>
      <c r="D43" s="190">
        <f>3369161.22291/1000</f>
        <v>3369.1612229100001</v>
      </c>
      <c r="E43" s="190">
        <f>3492882/1000</f>
        <v>3492.8820000000001</v>
      </c>
      <c r="F43" s="190">
        <f>3677688/1000</f>
        <v>3677.6880000000001</v>
      </c>
      <c r="G43" s="190">
        <f>4074128/1000</f>
        <v>4074.1280000000002</v>
      </c>
    </row>
    <row r="44" spans="2:18" x14ac:dyDescent="0.25">
      <c r="B44" s="143" t="s">
        <v>349</v>
      </c>
      <c r="C44" s="187">
        <v>0.77860006167129203</v>
      </c>
      <c r="D44" s="187">
        <v>0.78130912826631416</v>
      </c>
      <c r="E44" s="210">
        <v>0.81</v>
      </c>
      <c r="F44" s="187">
        <v>0.84</v>
      </c>
      <c r="G44" s="187">
        <v>0.92</v>
      </c>
    </row>
    <row r="45" spans="2:18" x14ac:dyDescent="0.25">
      <c r="B45" s="143" t="s">
        <v>350</v>
      </c>
      <c r="C45" s="208">
        <f>2927536.23188406/1000</f>
        <v>2927.5362318840598</v>
      </c>
      <c r="D45" s="208">
        <f>3369161.22291/1000</f>
        <v>3369.1612229100001</v>
      </c>
      <c r="E45" s="209">
        <f>3494830.93652454/1000</f>
        <v>3494.83093652454</v>
      </c>
      <c r="F45" s="208">
        <f>3769838.16941869/1000</f>
        <v>3769.8381694186896</v>
      </c>
      <c r="G45" s="208">
        <f>4675382.79912407/1000</f>
        <v>4675.3827991240705</v>
      </c>
    </row>
    <row r="46" spans="2:18" x14ac:dyDescent="0.25">
      <c r="B46" s="143" t="s">
        <v>26</v>
      </c>
      <c r="C46" s="190"/>
      <c r="D46" s="190"/>
      <c r="E46" s="190">
        <f>-1948.93652454297/1000</f>
        <v>-1.94893652454297</v>
      </c>
      <c r="F46" s="190">
        <f>-92150.1694186875/1000</f>
        <v>-92.150169418687497</v>
      </c>
      <c r="G46" s="190">
        <f>-601254.799124071/1000</f>
        <v>-601.25479912407104</v>
      </c>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CDE6C-0988-4AA8-AB8B-A01E4DFF4C23}">
  <dimension ref="B2:C11"/>
  <sheetViews>
    <sheetView workbookViewId="0">
      <selection activeCell="E5" sqref="E5"/>
    </sheetView>
  </sheetViews>
  <sheetFormatPr defaultRowHeight="15" x14ac:dyDescent="0.25"/>
  <cols>
    <col min="2" max="2" width="31.7109375" bestFit="1" customWidth="1"/>
    <col min="3" max="3" width="13.42578125" bestFit="1" customWidth="1"/>
  </cols>
  <sheetData>
    <row r="2" spans="2:3" x14ac:dyDescent="0.25">
      <c r="B2" t="s">
        <v>376</v>
      </c>
    </row>
    <row r="3" spans="2:3" x14ac:dyDescent="0.25">
      <c r="B3" t="s">
        <v>377</v>
      </c>
    </row>
    <row r="4" spans="2:3" ht="30" x14ac:dyDescent="0.25">
      <c r="B4" t="s">
        <v>378</v>
      </c>
      <c r="C4" s="175" t="s">
        <v>386</v>
      </c>
    </row>
    <row r="5" spans="2:3" x14ac:dyDescent="0.25">
      <c r="B5" t="s">
        <v>379</v>
      </c>
    </row>
    <row r="6" spans="2:3" x14ac:dyDescent="0.25">
      <c r="B6" t="s">
        <v>380</v>
      </c>
    </row>
    <row r="7" spans="2:3" x14ac:dyDescent="0.25">
      <c r="B7" t="s">
        <v>381</v>
      </c>
    </row>
    <row r="8" spans="2:3" x14ac:dyDescent="0.25">
      <c r="B8" t="s">
        <v>382</v>
      </c>
    </row>
    <row r="9" spans="2:3" x14ac:dyDescent="0.25">
      <c r="B9" t="s">
        <v>383</v>
      </c>
    </row>
    <row r="10" spans="2:3" x14ac:dyDescent="0.25">
      <c r="B10" t="s">
        <v>384</v>
      </c>
    </row>
    <row r="11" spans="2:3" x14ac:dyDescent="0.25">
      <c r="B11" t="s">
        <v>385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089F2-54E4-44CF-9C6A-0CBC719A9C71}">
  <dimension ref="A1:Q32"/>
  <sheetViews>
    <sheetView topLeftCell="D1" workbookViewId="0">
      <pane ySplit="1" topLeftCell="A2" activePane="bottomLeft" state="frozen"/>
      <selection pane="bottomLeft" activeCell="M10" sqref="M10"/>
    </sheetView>
  </sheetViews>
  <sheetFormatPr defaultRowHeight="15" x14ac:dyDescent="0.25"/>
  <cols>
    <col min="1" max="1" width="58" bestFit="1" customWidth="1"/>
    <col min="2" max="2" width="16" bestFit="1" customWidth="1"/>
    <col min="3" max="3" width="10.5703125" bestFit="1" customWidth="1"/>
    <col min="4" max="4" width="11.5703125" bestFit="1" customWidth="1"/>
    <col min="5" max="7" width="11.7109375" bestFit="1" customWidth="1"/>
    <col min="8" max="14" width="11.5703125" bestFit="1" customWidth="1"/>
    <col min="15" max="17" width="14.140625" bestFit="1" customWidth="1"/>
  </cols>
  <sheetData>
    <row r="1" spans="1:17" x14ac:dyDescent="0.25">
      <c r="B1" s="1" t="s">
        <v>1</v>
      </c>
      <c r="C1" s="1" t="s">
        <v>2</v>
      </c>
      <c r="D1" s="1" t="s">
        <v>3</v>
      </c>
      <c r="E1" s="1" t="s">
        <v>4</v>
      </c>
      <c r="F1" s="1" t="s">
        <v>5</v>
      </c>
      <c r="G1" s="1" t="s">
        <v>6</v>
      </c>
      <c r="H1" s="1" t="s">
        <v>7</v>
      </c>
      <c r="I1" s="1" t="s">
        <v>8</v>
      </c>
      <c r="J1" s="1" t="s">
        <v>9</v>
      </c>
      <c r="K1" s="1" t="s">
        <v>10</v>
      </c>
      <c r="L1" s="1" t="s">
        <v>11</v>
      </c>
      <c r="M1" s="1" t="s">
        <v>12</v>
      </c>
      <c r="N1" s="1" t="s">
        <v>13</v>
      </c>
      <c r="O1" s="1" t="s">
        <v>60</v>
      </c>
      <c r="P1" s="1" t="s">
        <v>61</v>
      </c>
      <c r="Q1" s="1" t="s">
        <v>62</v>
      </c>
    </row>
    <row r="2" spans="1:17" x14ac:dyDescent="0.25">
      <c r="A2" s="5" t="s">
        <v>25</v>
      </c>
      <c r="B2" s="133">
        <v>9520.5651199999993</v>
      </c>
      <c r="C2" s="133">
        <v>16568.929</v>
      </c>
      <c r="D2" s="133">
        <v>31050.184000000001</v>
      </c>
      <c r="E2" s="133">
        <v>33436.926769999998</v>
      </c>
      <c r="F2" s="133">
        <v>38277.65221</v>
      </c>
      <c r="G2" s="133">
        <v>43857.456035083793</v>
      </c>
      <c r="H2" s="133">
        <v>50338.35304725865</v>
      </c>
      <c r="I2" s="133">
        <v>57877.620847209764</v>
      </c>
      <c r="J2" s="133">
        <v>66661.813905721297</v>
      </c>
      <c r="K2" s="133">
        <v>76979.185556596276</v>
      </c>
      <c r="L2" s="133">
        <v>89124.333367015352</v>
      </c>
      <c r="M2" s="133">
        <v>103453.01650466843</v>
      </c>
      <c r="N2" s="133">
        <v>120499.16047296868</v>
      </c>
      <c r="O2" s="111">
        <f>(F2/B2)^(1/4)-1</f>
        <v>0.41602408749929842</v>
      </c>
      <c r="P2" s="112">
        <f>(I2/F2)^(1/3)-1</f>
        <v>0.14777067915205588</v>
      </c>
      <c r="Q2" s="112">
        <f>(N2/I2)^(1/5)-1</f>
        <v>0.15796296639154717</v>
      </c>
    </row>
    <row r="3" spans="1:17" x14ac:dyDescent="0.25">
      <c r="B3" s="134"/>
      <c r="C3" s="134"/>
      <c r="D3" s="134"/>
      <c r="E3" s="134"/>
      <c r="F3" s="134"/>
      <c r="G3" s="134"/>
      <c r="H3" s="134"/>
      <c r="I3" s="134"/>
      <c r="J3" s="134"/>
      <c r="K3" s="134"/>
      <c r="L3" s="134"/>
      <c r="M3" s="134"/>
      <c r="N3" s="134"/>
      <c r="P3" s="106">
        <f>(N2/F2)^(1/8)-1</f>
        <v>0.15413029518311916</v>
      </c>
    </row>
    <row r="4" spans="1:17" x14ac:dyDescent="0.25">
      <c r="A4" s="5" t="s">
        <v>58</v>
      </c>
      <c r="B4" s="135">
        <f>'Demand-Supply'!B64</f>
        <v>99777.552457683341</v>
      </c>
      <c r="C4" s="135">
        <f>'Demand-Supply'!C64</f>
        <v>97407.687011138056</v>
      </c>
      <c r="D4" s="135">
        <f>'Demand-Supply'!D64</f>
        <v>97145.712012692704</v>
      </c>
      <c r="E4" s="135">
        <f>'Demand-Supply'!E64</f>
        <v>102664.3522183243</v>
      </c>
      <c r="F4" s="135">
        <f>'Demand-Supply'!F64</f>
        <v>115760.81103353451</v>
      </c>
      <c r="G4" s="135">
        <f>'Demand-Supply'!G64</f>
        <v>121901.68010426901</v>
      </c>
      <c r="H4" s="135">
        <f>'Demand-Supply'!H64</f>
        <v>127320.32620317301</v>
      </c>
      <c r="I4" s="135">
        <f>'Demand-Supply'!I64</f>
        <v>132872.78869858637</v>
      </c>
      <c r="J4" s="135">
        <f>'Demand-Supply'!J64</f>
        <v>138425.25119399972</v>
      </c>
      <c r="K4" s="135">
        <f>'Demand-Supply'!K64</f>
        <v>143977.71368941307</v>
      </c>
      <c r="L4" s="135">
        <f>'Demand-Supply'!L64</f>
        <v>149530.17618482641</v>
      </c>
      <c r="M4" s="135">
        <f>'Demand-Supply'!M64</f>
        <v>155082.63868023979</v>
      </c>
      <c r="N4" s="135">
        <f>'Demand-Supply'!N64</f>
        <v>160635.10117565314</v>
      </c>
    </row>
    <row r="5" spans="1:17" x14ac:dyDescent="0.25">
      <c r="B5" s="134"/>
      <c r="C5" s="136"/>
      <c r="D5" s="136"/>
      <c r="E5" s="136"/>
      <c r="F5" s="136"/>
      <c r="G5" s="136"/>
      <c r="H5" s="134"/>
      <c r="I5" s="134"/>
      <c r="J5" s="134"/>
      <c r="K5" s="134"/>
      <c r="L5" s="134"/>
      <c r="M5" s="134"/>
      <c r="N5" s="134"/>
    </row>
    <row r="6" spans="1:17" x14ac:dyDescent="0.25">
      <c r="A6" s="5" t="s">
        <v>59</v>
      </c>
      <c r="B6" s="135">
        <f>(B2*B4)/10^7</f>
        <v>94.993868568759027</v>
      </c>
      <c r="C6" s="135">
        <f t="shared" ref="C6:N6" si="0">(C2*C4)/10^7</f>
        <v>161.39410501417686</v>
      </c>
      <c r="D6" s="135">
        <f t="shared" si="0"/>
        <v>301.63922328051189</v>
      </c>
      <c r="E6" s="135">
        <f t="shared" si="0"/>
        <v>343.27804270135965</v>
      </c>
      <c r="F6" s="135">
        <f t="shared" si="0"/>
        <v>443.10520642891646</v>
      </c>
      <c r="G6" s="135">
        <f t="shared" si="0"/>
        <v>534.62975757758261</v>
      </c>
      <c r="H6" s="135">
        <f t="shared" si="0"/>
        <v>640.90955305074601</v>
      </c>
      <c r="I6" s="135">
        <f t="shared" si="0"/>
        <v>769.03608852082004</v>
      </c>
      <c r="J6" s="135">
        <f t="shared" si="0"/>
        <v>922.76783349471339</v>
      </c>
      <c r="K6" s="135">
        <f t="shared" si="0"/>
        <v>1108.3287138111821</v>
      </c>
      <c r="L6" s="135">
        <f t="shared" si="0"/>
        <v>1332.6777270725011</v>
      </c>
      <c r="M6" s="135">
        <f t="shared" si="0"/>
        <v>1604.3766778974377</v>
      </c>
      <c r="N6" s="135">
        <f t="shared" si="0"/>
        <v>1935.6394834156586</v>
      </c>
      <c r="O6" s="111">
        <f>(F6/B6)^(1/4)-1</f>
        <v>0.46961244033935268</v>
      </c>
      <c r="P6" s="112">
        <f>(I6/F6)^(1/3)-1</f>
        <v>0.20174767102648672</v>
      </c>
      <c r="Q6" s="112">
        <f>(N6/I6)^(1/5)-1</f>
        <v>0.20275051181942927</v>
      </c>
    </row>
    <row r="8" spans="1:17" x14ac:dyDescent="0.25">
      <c r="A8" s="76" t="s">
        <v>63</v>
      </c>
    </row>
    <row r="9" spans="1:17" x14ac:dyDescent="0.25">
      <c r="A9" s="8" t="s">
        <v>39</v>
      </c>
      <c r="B9" s="137">
        <f>('Demand-Supply'!B34*Value!B$4)/10^7</f>
        <v>91.859070905989981</v>
      </c>
      <c r="C9" s="137">
        <f>('Demand-Supply'!C34*Value!C$4)/10^7</f>
        <v>155.9387700985485</v>
      </c>
      <c r="D9" s="137">
        <f>('Demand-Supply'!D34*Value!D$4)/10^7</f>
        <v>291.20190591877872</v>
      </c>
      <c r="E9" s="137">
        <f>('Demand-Supply'!E34*Value!E$4)/10^7</f>
        <v>331.12531708455793</v>
      </c>
      <c r="F9" s="137">
        <f>('Demand-Supply'!F34*Value!F$4)/10^7</f>
        <v>427.06421045334235</v>
      </c>
      <c r="G9" s="137">
        <f>('Demand-Supply'!G34*Value!G$4)/10^7</f>
        <v>514.84845654721198</v>
      </c>
      <c r="H9" s="137">
        <f>('Demand-Supply'!H34*Value!H$4)/10^7</f>
        <v>616.7370850886125</v>
      </c>
      <c r="I9" s="137">
        <f>('Demand-Supply'!I34*Value!I$4)/10^7</f>
        <v>739.48108699307647</v>
      </c>
      <c r="J9" s="137">
        <f>('Demand-Supply'!J34*Value!J$4)/10^7</f>
        <v>886.64512267496127</v>
      </c>
      <c r="K9" s="137">
        <f>('Demand-Supply'!K34*Value!K$4)/10^7</f>
        <v>1064.150365992246</v>
      </c>
      <c r="L9" s="137">
        <f>('Demand-Supply'!L34*Value!L$4)/10^7</f>
        <v>1278.6055496713202</v>
      </c>
      <c r="M9" s="137">
        <f>('Demand-Supply'!M34*Value!M$4)/10^7</f>
        <v>1538.1362856795179</v>
      </c>
      <c r="N9" s="137">
        <f>('Demand-Supply'!N34*Value!N$4)/10^7</f>
        <v>1854.3426251122016</v>
      </c>
      <c r="O9" s="111">
        <f>(F9/B9)^(1/4)-1</f>
        <v>0.46839461190799625</v>
      </c>
      <c r="P9" s="112">
        <f>(I9/F9)^(1/3)-1</f>
        <v>0.20082014347769417</v>
      </c>
      <c r="Q9" s="112">
        <f>(N9/I9)^(1/5)-1</f>
        <v>0.20185640449600339</v>
      </c>
    </row>
    <row r="10" spans="1:17" x14ac:dyDescent="0.25">
      <c r="A10" s="8" t="s">
        <v>40</v>
      </c>
      <c r="B10" s="137">
        <f>('Demand-Supply'!B35*Value!B$4)/10^7</f>
        <v>1.9948712399439394</v>
      </c>
      <c r="C10" s="137">
        <f>('Demand-Supply'!C35*Value!C$4)/10^7</f>
        <v>3.4672415462705963</v>
      </c>
      <c r="D10" s="137">
        <f>('Demand-Supply'!D35*Value!D$4)/10^7</f>
        <v>6.6292039305842492</v>
      </c>
      <c r="E10" s="137">
        <f>('Demand-Supply'!E35*Value!E$4)/10^7</f>
        <v>7.7178569728282991</v>
      </c>
      <c r="F10" s="137">
        <f>('Demand-Supply'!F35*Value!F$4)/10^7</f>
        <v>10.191419747865076</v>
      </c>
      <c r="G10" s="137">
        <f>('Demand-Supply'!G35*Value!G$4)/10^7</f>
        <v>12.545427212213019</v>
      </c>
      <c r="H10" s="137">
        <f>('Demand-Supply'!H35*Value!H$4)/10^7</f>
        <v>15.343822400434387</v>
      </c>
      <c r="I10" s="137">
        <f>('Demand-Supply'!I35*Value!I$4)/10^7</f>
        <v>18.783997833074825</v>
      </c>
      <c r="J10" s="137">
        <f>('Demand-Supply'!J35*Value!J$4)/10^7</f>
        <v>22.995255916921188</v>
      </c>
      <c r="K10" s="137">
        <f>('Demand-Supply'!K35*Value!K$4)/10^7</f>
        <v>28.17856520101137</v>
      </c>
      <c r="L10" s="137">
        <f>('Demand-Supply'!L35*Value!L$4)/10^7</f>
        <v>34.568451173614271</v>
      </c>
      <c r="M10" s="137">
        <f>('Demand-Supply'!M35*Value!M$4)/10^7</f>
        <v>42.458594467283568</v>
      </c>
      <c r="N10" s="137">
        <f>('Demand-Supply'!N35*Value!N$4)/10^7</f>
        <v>52.262266052222749</v>
      </c>
      <c r="O10" s="111">
        <f t="shared" ref="O10:O11" si="1">(F10/B10)^(1/4)-1</f>
        <v>0.50341872465160509</v>
      </c>
      <c r="P10" s="112">
        <f t="shared" ref="P10:P11" si="2">(I10/F10)^(1/3)-1</f>
        <v>0.22607709765685202</v>
      </c>
      <c r="Q10" s="112">
        <f t="shared" ref="Q10:Q11" si="3">(N10/I10)^(1/5)-1</f>
        <v>0.2271002409992251</v>
      </c>
    </row>
    <row r="11" spans="1:17" x14ac:dyDescent="0.25">
      <c r="A11" s="8" t="s">
        <v>38</v>
      </c>
      <c r="B11" s="137">
        <f>('Demand-Supply'!B36*Value!B$4)/10^7</f>
        <v>1.1399264228251091</v>
      </c>
      <c r="C11" s="137">
        <f>('Demand-Supply'!C36*Value!C$4)/10^7</f>
        <v>1.9880933693577838</v>
      </c>
      <c r="D11" s="137">
        <f>('Demand-Supply'!D36*Value!D$4)/10^7</f>
        <v>3.808113431148926</v>
      </c>
      <c r="E11" s="137">
        <f>('Demand-Supply'!E36*Value!E$4)/10^7</f>
        <v>4.4348686439734362</v>
      </c>
      <c r="F11" s="137">
        <f>('Demand-Supply'!F36*Value!F$4)/10^7</f>
        <v>5.849576227708992</v>
      </c>
      <c r="G11" s="137">
        <f>('Demand-Supply'!G36*Value!G$4)/10^7</f>
        <v>7.2358738181577413</v>
      </c>
      <c r="H11" s="137">
        <f>('Demand-Supply'!H36*Value!H$4)/10^7</f>
        <v>8.8286455616991031</v>
      </c>
      <c r="I11" s="137">
        <f>('Demand-Supply'!I36*Value!I$4)/10^7</f>
        <v>10.771003694668892</v>
      </c>
      <c r="J11" s="137">
        <f>('Demand-Supply'!J36*Value!J$4)/10^7</f>
        <v>13.127454902830936</v>
      </c>
      <c r="K11" s="137">
        <f>('Demand-Supply'!K36*Value!K$4)/10^7</f>
        <v>15.999782617924813</v>
      </c>
      <c r="L11" s="137">
        <f>('Demand-Supply'!L36*Value!L$4)/10^7</f>
        <v>19.503726227566386</v>
      </c>
      <c r="M11" s="137">
        <f>('Demand-Supply'!M36*Value!M$4)/10^7</f>
        <v>23.781797750636173</v>
      </c>
      <c r="N11" s="137">
        <f>('Demand-Supply'!N36*Value!N$4)/10^7</f>
        <v>29.034592251234049</v>
      </c>
      <c r="O11" s="111">
        <f t="shared" si="1"/>
        <v>0.50508801014469329</v>
      </c>
      <c r="P11" s="112">
        <f t="shared" si="2"/>
        <v>0.22568044345131533</v>
      </c>
      <c r="Q11" s="112">
        <f t="shared" si="3"/>
        <v>0.21935990740303324</v>
      </c>
    </row>
    <row r="12" spans="1:17" x14ac:dyDescent="0.25">
      <c r="A12" s="12"/>
    </row>
    <row r="13" spans="1:17" x14ac:dyDescent="0.25">
      <c r="A13" s="9" t="s">
        <v>64</v>
      </c>
    </row>
    <row r="14" spans="1:17" x14ac:dyDescent="0.25">
      <c r="A14" s="8" t="s">
        <v>42</v>
      </c>
      <c r="B14" s="138">
        <f>('Demand-Supply'!B45*Value!B$4)/10^7</f>
        <v>85.304493974745611</v>
      </c>
      <c r="C14" s="138">
        <f>('Demand-Supply'!C45*Value!C$4)/10^7</f>
        <v>145.05279709163938</v>
      </c>
      <c r="D14" s="138">
        <f>('Demand-Supply'!D45*Value!D$4)/10^7</f>
        <v>271.3240955029886</v>
      </c>
      <c r="E14" s="138">
        <f>('Demand-Supply'!E45*Value!E$4)/10^7</f>
        <v>309.035728523584</v>
      </c>
      <c r="F14" s="138">
        <f>('Demand-Supply'!F45*Value!F$4)/10^7</f>
        <v>399.23779099245354</v>
      </c>
      <c r="G14" s="138">
        <f>('Demand-Supply'!G45*Value!G$4)/10^7</f>
        <v>482.06796953478363</v>
      </c>
      <c r="H14" s="138">
        <f>('Demand-Supply'!H45*Value!H$4)/10^7</f>
        <v>578.33870232844333</v>
      </c>
      <c r="I14" s="138">
        <f>('Demand-Supply'!I45*Value!I$4)/10^7</f>
        <v>694.48456870379869</v>
      </c>
      <c r="J14" s="138">
        <f>('Demand-Supply'!J45*Value!J$4)/10^7</f>
        <v>833.94748131794233</v>
      </c>
      <c r="K14" s="138">
        <f>('Demand-Supply'!K45*Value!K$4)/10^7</f>
        <v>1002.4096041756924</v>
      </c>
      <c r="L14" s="138">
        <f>('Demand-Supply'!L45*Value!L$4)/10^7</f>
        <v>1206.235648949036</v>
      </c>
      <c r="M14" s="138">
        <f>('Demand-Supply'!M45*Value!M$4)/10^7</f>
        <v>1453.2614439607646</v>
      </c>
      <c r="N14" s="138">
        <f>('Demand-Supply'!N45*Value!N$4)/10^7</f>
        <v>1754.6571917162944</v>
      </c>
      <c r="O14" s="111">
        <f>(F14/B14)^(1/4)-1</f>
        <v>0.47083831025565814</v>
      </c>
      <c r="P14" s="112">
        <f>(I14/F14)^(1/3)-1</f>
        <v>0.202662174831435</v>
      </c>
      <c r="Q14" s="112">
        <f>(N14/I14)^(1/5)-1</f>
        <v>0.20366584183513492</v>
      </c>
    </row>
    <row r="15" spans="1:17" x14ac:dyDescent="0.25">
      <c r="A15" s="8" t="s">
        <v>43</v>
      </c>
      <c r="B15" s="138">
        <f>('Demand-Supply'!B46*Value!B$4)/10^7</f>
        <v>5.4146505084192667</v>
      </c>
      <c r="C15" s="138">
        <f>('Demand-Supply'!C46*Value!C$4)/10^7</f>
        <v>9.1179687969080785</v>
      </c>
      <c r="D15" s="138">
        <f>('Demand-Supply'!D46*Value!D$4)/10^7</f>
        <v>16.889811949234161</v>
      </c>
      <c r="E15" s="138">
        <f>('Demand-Supply'!E46*Value!E$4)/10^7</f>
        <v>19.050241199213755</v>
      </c>
      <c r="F15" s="138">
        <f>('Demand-Supply'!F46*Value!F$4)/10^7</f>
        <v>24.370786353590418</v>
      </c>
      <c r="G15" s="138">
        <f>('Demand-Supply'!G46*Value!G$4)/10^7</f>
        <v>29.157569322703456</v>
      </c>
      <c r="H15" s="138">
        <f>('Demand-Supply'!H46*Value!H$4)/10^7</f>
        <v>34.659485993153176</v>
      </c>
      <c r="I15" s="138">
        <f>('Demand-Supply'!I46*Value!I$4)/10^7</f>
        <v>41.237361687067214</v>
      </c>
      <c r="J15" s="138">
        <f>('Demand-Supply'!J46*Value!J$4)/10^7</f>
        <v>49.062184487553544</v>
      </c>
      <c r="K15" s="138">
        <f>('Demand-Supply'!K46*Value!K$4)/10^7</f>
        <v>58.428496735945558</v>
      </c>
      <c r="L15" s="138">
        <f>('Demand-Supply'!L46*Value!L$4)/10^7</f>
        <v>69.658525811432582</v>
      </c>
      <c r="M15" s="138">
        <f>('Demand-Supply'!M46*Value!M$4)/10^7</f>
        <v>83.145684761491793</v>
      </c>
      <c r="N15" s="138">
        <f>('Demand-Supply'!N46*Value!N$4)/10^7</f>
        <v>99.456508083009226</v>
      </c>
      <c r="O15" s="111">
        <f t="shared" ref="O15:O16" si="4">(F15/B15)^(1/4)-1</f>
        <v>0.45654792245581688</v>
      </c>
      <c r="P15" s="112">
        <f t="shared" ref="P15:P16" si="5">(I15/F15)^(1/3)-1</f>
        <v>0.1916272968997168</v>
      </c>
      <c r="Q15" s="112">
        <f t="shared" ref="Q15:Q16" si="6">(N15/I15)^(1/5)-1</f>
        <v>0.19252767646203406</v>
      </c>
    </row>
    <row r="16" spans="1:17" x14ac:dyDescent="0.25">
      <c r="A16" s="8" t="s">
        <v>44</v>
      </c>
      <c r="B16" s="138">
        <f>('Demand-Supply'!B47*Value!B$4)/10^7</f>
        <v>1.9948712399439394</v>
      </c>
      <c r="C16" s="138">
        <f>('Demand-Supply'!C47*Value!C$4)/10^7</f>
        <v>3.4672415462705963</v>
      </c>
      <c r="D16" s="138">
        <f>('Demand-Supply'!D47*Value!D$4)/10^7</f>
        <v>6.6292039305842492</v>
      </c>
      <c r="E16" s="138">
        <f>('Demand-Supply'!E47*Value!E$4)/10^7</f>
        <v>7.7178569728282991</v>
      </c>
      <c r="F16" s="138">
        <f>('Demand-Supply'!F47*Value!F$4)/10^7</f>
        <v>10.191419747865076</v>
      </c>
      <c r="G16" s="138">
        <f>('Demand-Supply'!G47*Value!G$4)/10^7</f>
        <v>12.545427212213019</v>
      </c>
      <c r="H16" s="138">
        <f>('Demand-Supply'!H47*Value!H$4)/10^7</f>
        <v>15.343822400434387</v>
      </c>
      <c r="I16" s="138">
        <f>('Demand-Supply'!I47*Value!I$4)/10^7</f>
        <v>18.783997833074825</v>
      </c>
      <c r="J16" s="138">
        <f>('Demand-Supply'!J47*Value!J$4)/10^7</f>
        <v>22.995255916921188</v>
      </c>
      <c r="K16" s="138">
        <f>('Demand-Supply'!K47*Value!K$4)/10^7</f>
        <v>28.17856520101137</v>
      </c>
      <c r="L16" s="138">
        <f>('Demand-Supply'!L47*Value!L$4)/10^7</f>
        <v>34.568451173614271</v>
      </c>
      <c r="M16" s="138">
        <f>('Demand-Supply'!M47*Value!M$4)/10^7</f>
        <v>42.458594467283568</v>
      </c>
      <c r="N16" s="138">
        <f>('Demand-Supply'!N47*Value!N$4)/10^7</f>
        <v>52.262266052222749</v>
      </c>
      <c r="O16" s="111">
        <f t="shared" si="4"/>
        <v>0.50341872465160509</v>
      </c>
      <c r="P16" s="112">
        <f t="shared" si="5"/>
        <v>0.22607709765685202</v>
      </c>
      <c r="Q16" s="112">
        <f t="shared" si="6"/>
        <v>0.2271002409992251</v>
      </c>
    </row>
    <row r="17" spans="1:17" x14ac:dyDescent="0.25">
      <c r="A17" s="8" t="s">
        <v>38</v>
      </c>
      <c r="B17" s="138">
        <f>('Demand-Supply'!B48*Value!B$4)/10^7</f>
        <v>2.2798528456502081</v>
      </c>
      <c r="C17" s="138">
        <f>('Demand-Supply'!C48*Value!C$4)/10^7</f>
        <v>3.7560975793588387</v>
      </c>
      <c r="D17" s="138">
        <f>('Demand-Supply'!D48*Value!D$4)/10^7</f>
        <v>6.7961118977048409</v>
      </c>
      <c r="E17" s="138">
        <f>('Demand-Supply'!E48*Value!E$4)/10^7</f>
        <v>7.4742160057336138</v>
      </c>
      <c r="F17" s="138">
        <f>('Demand-Supply'!F48*Value!F$4)/10^7</f>
        <v>9.3052093350074507</v>
      </c>
      <c r="G17" s="138">
        <f>('Demand-Supply'!G48*Value!G$4)/10^7</f>
        <v>10.858791507882515</v>
      </c>
      <c r="H17" s="138">
        <f>('Demand-Supply'!H48*Value!H$4)/10^7</f>
        <v>12.567542328715071</v>
      </c>
      <c r="I17" s="138">
        <f>('Demand-Supply'!I48*Value!I$4)/10^7</f>
        <v>14.530160296879375</v>
      </c>
      <c r="J17" s="138">
        <f>('Demand-Supply'!J48*Value!J$4)/10^7</f>
        <v>16.762911772296388</v>
      </c>
      <c r="K17" s="138">
        <f>('Demand-Supply'!K48*Value!K$4)/10^7</f>
        <v>19.312047698532705</v>
      </c>
      <c r="L17" s="138">
        <f>('Demand-Supply'!L48*Value!L$4)/10^7</f>
        <v>22.215101138417943</v>
      </c>
      <c r="M17" s="138">
        <f>('Demand-Supply'!M48*Value!M$4)/10^7</f>
        <v>25.510954707897579</v>
      </c>
      <c r="N17" s="138">
        <f>('Demand-Supply'!N48*Value!N$4)/10^7</f>
        <v>29.263517564132197</v>
      </c>
      <c r="O17" s="111">
        <f>(F17/B17)^(1/4)-1</f>
        <v>0.42136243351343761</v>
      </c>
      <c r="P17" s="112">
        <f>(I17/F17)^(1/3)-1</f>
        <v>0.16015162477464528</v>
      </c>
      <c r="Q17" s="112">
        <f>(N17/I17)^(1/5)-1</f>
        <v>0.15030027759426456</v>
      </c>
    </row>
    <row r="18" spans="1:17" x14ac:dyDescent="0.25">
      <c r="A18" s="12"/>
    </row>
    <row r="19" spans="1:17" x14ac:dyDescent="0.25">
      <c r="A19" s="76" t="s">
        <v>65</v>
      </c>
    </row>
    <row r="20" spans="1:17" x14ac:dyDescent="0.25">
      <c r="A20" s="8" t="s">
        <v>49</v>
      </c>
      <c r="B20" s="139">
        <f>('Demand-Supply'!B57*Value!B$4)/10^7</f>
        <v>48.446872970067091</v>
      </c>
      <c r="C20" s="139">
        <f>('Demand-Supply'!C57*Value!C$4)/10^7</f>
        <v>82.169408820104763</v>
      </c>
      <c r="D20" s="139">
        <f>('Demand-Supply'!D57*Value!D$4)/10^7</f>
        <v>153.30722645429827</v>
      </c>
      <c r="E20" s="139">
        <f>('Demand-Supply'!E57*Value!E$4)/10^7</f>
        <v>174.16992169001469</v>
      </c>
      <c r="F20" s="139">
        <f>('Demand-Supply'!F57*Value!F$4)/10^7</f>
        <v>224.43278705624618</v>
      </c>
      <c r="G20" s="139">
        <f>('Demand-Supply'!G57*Value!G$4)/10^7</f>
        <v>270.35312692232259</v>
      </c>
      <c r="H20" s="139">
        <f>('Demand-Supply'!H57*Value!H$4)/10^7</f>
        <v>323.57416069323773</v>
      </c>
      <c r="I20" s="139">
        <f>('Demand-Supply'!I57*Value!I$4)/10^7</f>
        <v>387.63468313738883</v>
      </c>
      <c r="J20" s="139">
        <f>('Demand-Supply'!J57*Value!J$4)/10^7</f>
        <v>464.37322831464184</v>
      </c>
      <c r="K20" s="139">
        <f>('Demand-Supply'!K57*Value!K$4)/10^7</f>
        <v>556.85500972308557</v>
      </c>
      <c r="L20" s="139">
        <f>('Demand-Supply'!L57*Value!L$4)/10^7</f>
        <v>668.49398688732037</v>
      </c>
      <c r="M20" s="139">
        <f>('Demand-Supply'!M57*Value!M$4)/10^7</f>
        <v>803.48454070577645</v>
      </c>
      <c r="N20" s="139">
        <f>('Demand-Supply'!N57*Value!N$4)/10^7</f>
        <v>967.81974170782962</v>
      </c>
      <c r="O20" s="111">
        <f>(F20/B20)^(1/4)-1</f>
        <v>0.46708453146534512</v>
      </c>
      <c r="P20" s="112">
        <f>(I20/F20)^(1/3)-1</f>
        <v>0.19980898102834921</v>
      </c>
      <c r="Q20" s="112">
        <f>(N20/I20)^(1/5)-1</f>
        <v>0.20081020401294336</v>
      </c>
    </row>
    <row r="21" spans="1:17" x14ac:dyDescent="0.25">
      <c r="A21" s="8" t="s">
        <v>28</v>
      </c>
      <c r="B21" s="139">
        <f>('Demand-Supply'!B58*Value!B$4)/10^7</f>
        <v>30.540528744856029</v>
      </c>
      <c r="C21" s="139">
        <f>('Demand-Supply'!C58*Value!C$4)/10^7</f>
        <v>52.008829066296421</v>
      </c>
      <c r="D21" s="139">
        <f>('Demand-Supply'!D58*Value!D$4)/10^7</f>
        <v>97.428418512931003</v>
      </c>
      <c r="E21" s="139">
        <f>('Demand-Supply'!E58*Value!E$4)/10^7</f>
        <v>111.13536890436937</v>
      </c>
      <c r="F21" s="139">
        <f>('Demand-Supply'!F58*Value!F$4)/10^7</f>
        <v>143.78763948618345</v>
      </c>
      <c r="G21" s="139">
        <f>('Demand-Supply'!G58*Value!G$4)/10^7</f>
        <v>173.81926887827245</v>
      </c>
      <c r="H21" s="139">
        <f>('Demand-Supply'!H58*Value!H$4)/10^7</f>
        <v>208.77169901193648</v>
      </c>
      <c r="I21" s="139">
        <f>('Demand-Supply'!I58*Value!I$4)/10^7</f>
        <v>250.98726766144634</v>
      </c>
      <c r="J21" s="139">
        <f>('Demand-Supply'!J58*Value!J$4)/10^7</f>
        <v>301.7362629239696</v>
      </c>
      <c r="K21" s="139">
        <f>('Demand-Supply'!K58*Value!K$4)/10^7</f>
        <v>363.10625855046442</v>
      </c>
      <c r="L21" s="139">
        <f>('Demand-Supply'!L58*Value!L$4)/10^7</f>
        <v>437.44189971292934</v>
      </c>
      <c r="M21" s="139">
        <f>('Demand-Supply'!M58*Value!M$4)/10^7</f>
        <v>527.63265910442965</v>
      </c>
      <c r="N21" s="139">
        <f>('Demand-Supply'!N58*Value!N$4)/10^7</f>
        <v>637.79320978546014</v>
      </c>
      <c r="O21" s="111">
        <f t="shared" ref="O21:O22" si="7">(F21/B21)^(1/4)-1</f>
        <v>0.47302884256273181</v>
      </c>
      <c r="P21" s="112">
        <f t="shared" ref="P21:P22" si="8">(I21/F21)^(1/3)-1</f>
        <v>0.20404683066314377</v>
      </c>
      <c r="Q21" s="112">
        <f t="shared" ref="Q21:Q22" si="9">(N21/I21)^(1/5)-1</f>
        <v>0.20505159007105744</v>
      </c>
    </row>
    <row r="22" spans="1:17" x14ac:dyDescent="0.25">
      <c r="A22" s="8" t="s">
        <v>27</v>
      </c>
      <c r="B22" s="139">
        <f>('Demand-Supply'!B59*Value!B$4)/10^7</f>
        <v>10.401828608279112</v>
      </c>
      <c r="C22" s="139">
        <f>('Demand-Supply'!C59*Value!C$4)/10^7</f>
        <v>17.550345043918529</v>
      </c>
      <c r="D22" s="139">
        <f>('Demand-Supply'!D59*Value!D$4)/10^7</f>
        <v>32.573893887510614</v>
      </c>
      <c r="E22" s="139">
        <f>('Demand-Supply'!E59*Value!E$4)/10^7</f>
        <v>36.813894288568896</v>
      </c>
      <c r="F22" s="139">
        <f>('Demand-Supply'!F59*Value!F$4)/10^7</f>
        <v>47.190704484679586</v>
      </c>
      <c r="G22" s="139">
        <f>('Demand-Supply'!G59*Value!G$4)/10^7</f>
        <v>56.596853865402579</v>
      </c>
      <c r="H22" s="139">
        <f>('Demand-Supply'!H59*Value!H$4)/10^7</f>
        <v>67.441226737109545</v>
      </c>
      <c r="I22" s="139">
        <f>('Demand-Supply'!I59*Value!I$4)/10^7</f>
        <v>80.438690352771005</v>
      </c>
      <c r="J22" s="139">
        <f>('Demand-Supply'!J59*Value!J$4)/10^7</f>
        <v>95.940123277896504</v>
      </c>
      <c r="K22" s="139">
        <f>('Demand-Supply'!K59*Value!K$4)/10^7</f>
        <v>114.54231704823975</v>
      </c>
      <c r="L22" s="139">
        <f>('Demand-Supply'!L59*Value!L$4)/10^7</f>
        <v>136.90271881775183</v>
      </c>
      <c r="M22" s="139">
        <f>('Demand-Supply'!M59*Value!M$4)/10^7</f>
        <v>163.82600021343811</v>
      </c>
      <c r="N22" s="139">
        <f>('Demand-Supply'!N59*Value!N$4)/10^7</f>
        <v>196.46740756668927</v>
      </c>
      <c r="O22" s="111">
        <f t="shared" si="7"/>
        <v>0.45944150100222836</v>
      </c>
      <c r="P22" s="112">
        <f t="shared" si="8"/>
        <v>0.19454590394963378</v>
      </c>
      <c r="Q22" s="112">
        <f t="shared" si="9"/>
        <v>0.19554273497365404</v>
      </c>
    </row>
    <row r="23" spans="1:17" x14ac:dyDescent="0.25">
      <c r="A23" s="8" t="s">
        <v>45</v>
      </c>
      <c r="B23" s="139">
        <f>('Demand-Supply'!B60*Value!B$4)/10^7</f>
        <v>5.6046382455567869</v>
      </c>
      <c r="C23" s="139">
        <f>('Demand-Supply'!C60*Value!C$4)/10^7</f>
        <v>9.6655220838571552</v>
      </c>
      <c r="D23" s="139">
        <f>('Demand-Supply'!D60*Value!D$4)/10^7</f>
        <v>18.329684425772026</v>
      </c>
      <c r="E23" s="139">
        <f>('Demand-Supply'!E60*Value!E$4)/10^7</f>
        <v>21.158857818406673</v>
      </c>
      <c r="F23" s="139">
        <f>('Demand-Supply'!F60*Value!F$4)/10^7</f>
        <v>27.694075401807229</v>
      </c>
      <c r="G23" s="139">
        <f>('Demand-Supply'!G60*Value!G$4)/10^7</f>
        <v>33.86050791158511</v>
      </c>
      <c r="H23" s="139">
        <f>('Demand-Supply'!H60*Value!H$4)/10^7</f>
        <v>41.122466608462219</v>
      </c>
      <c r="I23" s="139">
        <f>('Demand-Supply'!I60*Value!I$4)/10^7</f>
        <v>49.975447369213882</v>
      </c>
      <c r="J23" s="139">
        <f>('Demand-Supply'!J60*Value!J$4)/10^7</f>
        <v>60.718218978205513</v>
      </c>
      <c r="K23" s="139">
        <f>('Demand-Supply'!K60*Value!K$4)/10^7</f>
        <v>73.82512848939237</v>
      </c>
      <c r="L23" s="139">
        <f>('Demand-Supply'!L60*Value!L$4)/10^7</f>
        <v>89.839121654499323</v>
      </c>
      <c r="M23" s="139">
        <f>('Demand-Supply'!M60*Value!M$4)/10^7</f>
        <v>109.43347787379346</v>
      </c>
      <c r="N23" s="139">
        <f>('Demand-Supply'!N60*Value!N$4)/10^7</f>
        <v>133.5591243556797</v>
      </c>
      <c r="O23" s="111">
        <f>(F23/B23)^(1/4)-1</f>
        <v>0.49093881423684715</v>
      </c>
      <c r="P23" s="112">
        <f>(I23/F23)^(1/3)-1</f>
        <v>0.2174653416681076</v>
      </c>
      <c r="Q23" s="112">
        <f>(N23/I23)^(1/5)-1</f>
        <v>0.21726006578791091</v>
      </c>
    </row>
    <row r="26" spans="1:17" x14ac:dyDescent="0.25">
      <c r="B26" s="171">
        <v>91.859070905989981</v>
      </c>
      <c r="C26" s="171">
        <v>427.06421045334235</v>
      </c>
      <c r="D26" s="171">
        <v>739.48108699307647</v>
      </c>
      <c r="E26" s="171">
        <v>1854.3426251122016</v>
      </c>
      <c r="G26" s="172">
        <v>85.304493974745611</v>
      </c>
      <c r="H26" s="172">
        <v>399.23779099245354</v>
      </c>
      <c r="I26" s="172">
        <v>694.48456870379869</v>
      </c>
      <c r="J26" s="172">
        <v>1754.6571917162944</v>
      </c>
    </row>
    <row r="27" spans="1:17" x14ac:dyDescent="0.25">
      <c r="B27" s="171">
        <v>1.9948712399439394</v>
      </c>
      <c r="C27" s="171">
        <v>10.191419747865076</v>
      </c>
      <c r="D27" s="171">
        <v>18.783997833074825</v>
      </c>
      <c r="E27" s="171">
        <v>52.262266052222749</v>
      </c>
      <c r="G27" s="172">
        <v>5.4146505084192667</v>
      </c>
      <c r="H27" s="172">
        <v>24.370786353590418</v>
      </c>
      <c r="I27" s="172">
        <v>41.237361687067214</v>
      </c>
      <c r="J27" s="172">
        <v>99.456508083009226</v>
      </c>
    </row>
    <row r="28" spans="1:17" x14ac:dyDescent="0.25">
      <c r="B28" s="171">
        <v>1.1399264228251091</v>
      </c>
      <c r="C28" s="171">
        <v>5.849576227708992</v>
      </c>
      <c r="D28" s="171">
        <v>10.771003694668892</v>
      </c>
      <c r="E28" s="171">
        <v>29.034592251234049</v>
      </c>
      <c r="G28" s="172">
        <v>1.9948712399439394</v>
      </c>
      <c r="H28" s="172">
        <v>10.191419747865076</v>
      </c>
      <c r="I28" s="172">
        <v>18.783997833074825</v>
      </c>
      <c r="J28" s="172">
        <v>52.262266052222749</v>
      </c>
    </row>
    <row r="29" spans="1:17" x14ac:dyDescent="0.25">
      <c r="B29" s="172">
        <f>SUM(B26:B28)</f>
        <v>94.993868568759027</v>
      </c>
      <c r="C29" s="172">
        <f>SUM(C26:C28)</f>
        <v>443.10520642891646</v>
      </c>
      <c r="D29" s="172">
        <f>SUM(D26:D28)</f>
        <v>769.03608852082027</v>
      </c>
      <c r="E29" s="172">
        <f>SUM(E26:E28)</f>
        <v>1935.6394834156583</v>
      </c>
      <c r="G29" s="172">
        <v>2.2798528456502081</v>
      </c>
      <c r="H29" s="172">
        <v>9.3052093350074507</v>
      </c>
      <c r="I29" s="172">
        <v>14.530160296879375</v>
      </c>
      <c r="J29" s="172">
        <v>29.263517564132197</v>
      </c>
    </row>
    <row r="30" spans="1:17" x14ac:dyDescent="0.25">
      <c r="G30" s="172">
        <f>SUM(G26:G29)</f>
        <v>94.993868568759027</v>
      </c>
      <c r="H30" s="172">
        <f>SUM(H26:H29)</f>
        <v>443.10520642891652</v>
      </c>
      <c r="I30" s="172">
        <f>SUM(I26:I29)</f>
        <v>769.03608852082004</v>
      </c>
      <c r="J30" s="172">
        <f>SUM(J26:J29)</f>
        <v>1935.6394834156583</v>
      </c>
    </row>
    <row r="32" spans="1:17" x14ac:dyDescent="0.25">
      <c r="B32" s="17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B854F-1C3D-4198-A347-626493FC3AF1}">
  <dimension ref="B1:H25"/>
  <sheetViews>
    <sheetView topLeftCell="A2" workbookViewId="0">
      <selection activeCell="D12" sqref="D12:E12"/>
    </sheetView>
  </sheetViews>
  <sheetFormatPr defaultRowHeight="15" x14ac:dyDescent="0.25"/>
  <cols>
    <col min="2" max="2" width="34.5703125" bestFit="1" customWidth="1"/>
    <col min="3" max="3" width="20" bestFit="1" customWidth="1"/>
    <col min="4" max="4" width="10" bestFit="1" customWidth="1"/>
    <col min="5" max="5" width="11.5703125" bestFit="1" customWidth="1"/>
  </cols>
  <sheetData>
    <row r="1" spans="2:8" x14ac:dyDescent="0.25">
      <c r="D1" t="s">
        <v>67</v>
      </c>
      <c r="E1" t="s">
        <v>57</v>
      </c>
      <c r="F1" t="s">
        <v>68</v>
      </c>
    </row>
    <row r="2" spans="2:8" x14ac:dyDescent="0.25">
      <c r="D2" s="108">
        <v>38277.65221</v>
      </c>
      <c r="E2">
        <v>115760.81103353451</v>
      </c>
      <c r="F2" s="108">
        <v>443.10520642891646</v>
      </c>
    </row>
    <row r="3" spans="2:8" x14ac:dyDescent="0.25">
      <c r="B3" t="s">
        <v>50</v>
      </c>
      <c r="C3" t="s">
        <v>54</v>
      </c>
      <c r="D3" t="s">
        <v>66</v>
      </c>
    </row>
    <row r="4" spans="2:8" x14ac:dyDescent="0.25">
      <c r="B4" t="s">
        <v>53</v>
      </c>
      <c r="C4" s="116">
        <v>11630.13991</v>
      </c>
      <c r="D4" s="106">
        <f>C4/$D$2</f>
        <v>0.30383629189675421</v>
      </c>
      <c r="E4" s="29">
        <f>(C4*$E$2)/10^7</f>
        <v>134.63144284150781</v>
      </c>
      <c r="F4" s="106">
        <f>E4/$F$2</f>
        <v>0.30383629189675426</v>
      </c>
    </row>
    <row r="5" spans="2:8" x14ac:dyDescent="0.25">
      <c r="B5" t="s">
        <v>56</v>
      </c>
      <c r="C5" s="116">
        <v>7637.3768</v>
      </c>
      <c r="D5" s="106">
        <f t="shared" ref="D5:D9" si="0">C5/$D$2</f>
        <v>0.19952573784044003</v>
      </c>
      <c r="E5" s="29">
        <f t="shared" ref="E5:E8" si="1">(C5*$E$2)/10^7</f>
        <v>88.410893253670054</v>
      </c>
      <c r="F5" s="106">
        <f t="shared" ref="F5:F9" si="2">E5/$F$2</f>
        <v>0.19952573784044003</v>
      </c>
    </row>
    <row r="6" spans="2:8" x14ac:dyDescent="0.25">
      <c r="B6" t="s">
        <v>52</v>
      </c>
      <c r="C6" s="116">
        <v>4623.2887000000001</v>
      </c>
      <c r="D6" s="106">
        <f t="shared" si="0"/>
        <v>0.12078297474034132</v>
      </c>
      <c r="E6" s="29">
        <f t="shared" si="1"/>
        <v>53.519564955417543</v>
      </c>
      <c r="F6" s="106">
        <f t="shared" si="2"/>
        <v>0.12078297474034132</v>
      </c>
      <c r="H6" s="151">
        <f>C4+C6</f>
        <v>16253.428609999999</v>
      </c>
    </row>
    <row r="7" spans="2:8" x14ac:dyDescent="0.25">
      <c r="B7" t="s">
        <v>55</v>
      </c>
      <c r="C7" s="116">
        <v>2475.6625600000002</v>
      </c>
      <c r="D7" s="106">
        <f t="shared" si="0"/>
        <v>6.4676447406386006E-2</v>
      </c>
      <c r="E7" s="29">
        <f t="shared" si="1"/>
        <v>28.658470579095631</v>
      </c>
      <c r="F7" s="106">
        <f t="shared" si="2"/>
        <v>6.4676447406386006E-2</v>
      </c>
    </row>
    <row r="8" spans="2:8" x14ac:dyDescent="0.25">
      <c r="B8" t="s">
        <v>51</v>
      </c>
      <c r="C8" s="116">
        <v>921.2</v>
      </c>
      <c r="D8" s="106">
        <f t="shared" si="0"/>
        <v>2.4066261821547599E-2</v>
      </c>
      <c r="E8" s="29">
        <f t="shared" si="1"/>
        <v>10.663885912409199</v>
      </c>
      <c r="F8" s="106">
        <f t="shared" si="2"/>
        <v>2.4066261821547599E-2</v>
      </c>
      <c r="G8" s="105"/>
    </row>
    <row r="9" spans="2:8" x14ac:dyDescent="0.25">
      <c r="B9" t="s">
        <v>38</v>
      </c>
      <c r="C9" s="116">
        <f>D2-SUM(C4:C8)</f>
        <v>10989.984239999998</v>
      </c>
      <c r="D9" s="106">
        <f t="shared" si="0"/>
        <v>0.28711228629453078</v>
      </c>
      <c r="E9" s="29">
        <f>F2-SUM(E4:E8)</f>
        <v>127.22094888681619</v>
      </c>
      <c r="F9" s="106">
        <f t="shared" si="2"/>
        <v>0.28711228629453073</v>
      </c>
    </row>
    <row r="10" spans="2:8" x14ac:dyDescent="0.25">
      <c r="D10" s="107"/>
    </row>
    <row r="11" spans="2:8" x14ac:dyDescent="0.25">
      <c r="C11" t="s">
        <v>336</v>
      </c>
      <c r="D11" s="107" t="s">
        <v>279</v>
      </c>
      <c r="E11" t="s">
        <v>280</v>
      </c>
    </row>
    <row r="12" spans="2:8" x14ac:dyDescent="0.25">
      <c r="B12" t="s">
        <v>333</v>
      </c>
      <c r="C12" s="116">
        <v>16253.428609999999</v>
      </c>
      <c r="D12" s="116">
        <v>191.97910799541066</v>
      </c>
      <c r="E12" s="108">
        <f>(D12/C12)*10^7</f>
        <v>118116.06806289141</v>
      </c>
      <c r="G12" s="106">
        <f>C12/$C$18</f>
        <v>0.42461540858979047</v>
      </c>
      <c r="H12" s="106">
        <f>D12/$D$18</f>
        <v>0.43336141759686381</v>
      </c>
    </row>
    <row r="13" spans="2:8" x14ac:dyDescent="0.25">
      <c r="B13" t="s">
        <v>56</v>
      </c>
      <c r="C13" s="116">
        <v>7637.3768</v>
      </c>
      <c r="D13" s="116">
        <v>88.700193814337027</v>
      </c>
      <c r="E13" s="108">
        <f t="shared" ref="E13:E16" si="3">(D13/C13)*10^7</f>
        <v>116139.60674866405</v>
      </c>
      <c r="G13" s="106">
        <f t="shared" ref="G13:G17" si="4">C13/$C$18</f>
        <v>0.19952392496995663</v>
      </c>
      <c r="H13" s="106">
        <f t="shared" ref="H13:H17" si="5">D13/$D$18</f>
        <v>0.20022617113845831</v>
      </c>
    </row>
    <row r="14" spans="2:8" x14ac:dyDescent="0.25">
      <c r="B14" t="s">
        <v>334</v>
      </c>
      <c r="C14" s="116">
        <v>2475.6625600000002</v>
      </c>
      <c r="D14" s="116">
        <v>31.671879842806597</v>
      </c>
      <c r="E14" s="108">
        <f t="shared" si="3"/>
        <v>127932.94350586532</v>
      </c>
      <c r="G14" s="106">
        <f t="shared" si="4"/>
        <v>6.4675859762788029E-2</v>
      </c>
      <c r="H14" s="106">
        <f t="shared" si="5"/>
        <v>7.1494085423942658E-2</v>
      </c>
    </row>
    <row r="15" spans="2:8" x14ac:dyDescent="0.25">
      <c r="B15" t="s">
        <v>51</v>
      </c>
      <c r="C15" s="116">
        <v>921.2</v>
      </c>
      <c r="D15" s="116">
        <v>10.66872878722725</v>
      </c>
      <c r="E15" s="108">
        <f t="shared" si="3"/>
        <v>115813.38240585379</v>
      </c>
      <c r="G15" s="106">
        <f t="shared" si="4"/>
        <v>2.4066043157949739E-2</v>
      </c>
      <c r="H15" s="106">
        <f t="shared" si="5"/>
        <v>2.4082909226246615E-2</v>
      </c>
    </row>
    <row r="16" spans="2:8" x14ac:dyDescent="0.25">
      <c r="B16" t="s">
        <v>335</v>
      </c>
      <c r="C16" s="116">
        <v>696.8</v>
      </c>
      <c r="D16" s="116">
        <v>7.9403386972304988</v>
      </c>
      <c r="E16" s="108">
        <f t="shared" si="3"/>
        <v>113954.34410491532</v>
      </c>
      <c r="G16" s="106">
        <f t="shared" si="4"/>
        <v>1.8203667903234234E-2</v>
      </c>
      <c r="H16" s="106">
        <f t="shared" si="5"/>
        <v>1.7924015117901804E-2</v>
      </c>
    </row>
    <row r="17" spans="2:8" x14ac:dyDescent="0.25">
      <c r="B17" t="s">
        <v>38</v>
      </c>
      <c r="C17" s="105">
        <f>38278-SUM(C12:C16)</f>
        <v>10293.532029999998</v>
      </c>
      <c r="D17" s="105">
        <f>443-SUM(D12:D16)</f>
        <v>112.03975086298794</v>
      </c>
      <c r="G17" s="106">
        <f t="shared" si="4"/>
        <v>0.26891509561628085</v>
      </c>
      <c r="H17" s="106">
        <f t="shared" si="5"/>
        <v>0.25291140149658681</v>
      </c>
    </row>
    <row r="18" spans="2:8" x14ac:dyDescent="0.25">
      <c r="B18" t="s">
        <v>153</v>
      </c>
      <c r="C18" s="105">
        <f>SUM(C12:C17)</f>
        <v>38278</v>
      </c>
      <c r="D18" s="105">
        <f>SUM(D12:D17)</f>
        <v>443</v>
      </c>
      <c r="H18" s="151"/>
    </row>
    <row r="19" spans="2:8" x14ac:dyDescent="0.25">
      <c r="C19" s="105"/>
      <c r="D19" s="105"/>
      <c r="H19" s="151"/>
    </row>
    <row r="20" spans="2:8" x14ac:dyDescent="0.25">
      <c r="B20" t="s">
        <v>275</v>
      </c>
      <c r="C20" s="108">
        <v>696800</v>
      </c>
      <c r="D20" s="105">
        <f>C20/1000</f>
        <v>696.8</v>
      </c>
    </row>
    <row r="21" spans="2:8" x14ac:dyDescent="0.25">
      <c r="B21" t="s">
        <v>276</v>
      </c>
      <c r="C21" s="108">
        <v>717800</v>
      </c>
      <c r="D21" s="105">
        <f t="shared" ref="D21:D23" si="6">C21/1000</f>
        <v>717.8</v>
      </c>
    </row>
    <row r="22" spans="2:8" x14ac:dyDescent="0.25">
      <c r="B22" s="152" t="s">
        <v>277</v>
      </c>
      <c r="C22" s="153">
        <v>1433400</v>
      </c>
      <c r="D22" s="154">
        <f t="shared" si="6"/>
        <v>1433.4</v>
      </c>
    </row>
    <row r="23" spans="2:8" x14ac:dyDescent="0.25">
      <c r="B23" t="s">
        <v>278</v>
      </c>
      <c r="C23" s="108">
        <v>3398613</v>
      </c>
      <c r="D23" s="105">
        <f t="shared" si="6"/>
        <v>3398.6129999999998</v>
      </c>
    </row>
    <row r="24" spans="2:8" x14ac:dyDescent="0.25">
      <c r="C24" s="108"/>
      <c r="D24" s="105"/>
    </row>
    <row r="25" spans="2:8" x14ac:dyDescent="0.25">
      <c r="B25" t="s">
        <v>344</v>
      </c>
      <c r="C25" s="174" t="s">
        <v>343</v>
      </c>
    </row>
  </sheetData>
  <hyperlinks>
    <hyperlink ref="C25" r:id="rId1" xr:uid="{168E654C-F4BC-4EFB-A7A9-9991F27AF0E6}"/>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EC328-44D3-4175-A90A-D6BA972E74FB}">
  <dimension ref="A2:F52"/>
  <sheetViews>
    <sheetView topLeftCell="A3" workbookViewId="0">
      <selection activeCell="A53" sqref="A53"/>
    </sheetView>
  </sheetViews>
  <sheetFormatPr defaultRowHeight="15" x14ac:dyDescent="0.25"/>
  <cols>
    <col min="1" max="1" width="66.140625" style="124" customWidth="1"/>
    <col min="2" max="3" width="14.28515625" style="123" bestFit="1" customWidth="1"/>
    <col min="4" max="5" width="10" style="123" bestFit="1" customWidth="1"/>
    <col min="6" max="6" width="11.5703125" style="123" bestFit="1" customWidth="1"/>
    <col min="7" max="16384" width="9.140625" style="123"/>
  </cols>
  <sheetData>
    <row r="2" spans="1:2" ht="30" x14ac:dyDescent="0.25">
      <c r="A2" s="124" t="s">
        <v>69</v>
      </c>
      <c r="B2" s="125" t="s">
        <v>70</v>
      </c>
    </row>
    <row r="17" spans="1:2" ht="60" x14ac:dyDescent="0.25">
      <c r="A17" s="124" t="s">
        <v>71</v>
      </c>
      <c r="B17" s="125" t="s">
        <v>72</v>
      </c>
    </row>
    <row r="19" spans="1:2" ht="60" x14ac:dyDescent="0.25">
      <c r="A19" s="124" t="s">
        <v>73</v>
      </c>
      <c r="B19" s="125" t="s">
        <v>74</v>
      </c>
    </row>
    <row r="20" spans="1:2" ht="60" x14ac:dyDescent="0.25">
      <c r="A20" s="124" t="s">
        <v>75</v>
      </c>
    </row>
    <row r="21" spans="1:2" ht="30" x14ac:dyDescent="0.25">
      <c r="A21" s="124" t="s">
        <v>76</v>
      </c>
    </row>
    <row r="22" spans="1:2" ht="45" x14ac:dyDescent="0.25">
      <c r="A22" s="124" t="s">
        <v>77</v>
      </c>
    </row>
    <row r="23" spans="1:2" ht="75" x14ac:dyDescent="0.25">
      <c r="A23" s="124" t="s">
        <v>78</v>
      </c>
    </row>
    <row r="24" spans="1:2" ht="75" x14ac:dyDescent="0.25">
      <c r="A24" s="124" t="s">
        <v>79</v>
      </c>
    </row>
    <row r="26" spans="1:2" x14ac:dyDescent="0.25">
      <c r="A26" s="124" t="s">
        <v>81</v>
      </c>
      <c r="B26" s="125" t="s">
        <v>80</v>
      </c>
    </row>
    <row r="28" spans="1:2" x14ac:dyDescent="0.25">
      <c r="A28" s="126" t="s">
        <v>83</v>
      </c>
    </row>
    <row r="29" spans="1:2" x14ac:dyDescent="0.25">
      <c r="A29" s="124" t="s">
        <v>82</v>
      </c>
      <c r="B29" s="125" t="s">
        <v>84</v>
      </c>
    </row>
    <row r="30" spans="1:2" x14ac:dyDescent="0.25">
      <c r="A30" s="124" t="s">
        <v>85</v>
      </c>
    </row>
    <row r="32" spans="1:2" ht="30" x14ac:dyDescent="0.25">
      <c r="A32" s="124" t="s">
        <v>86</v>
      </c>
      <c r="B32" s="125" t="s">
        <v>87</v>
      </c>
    </row>
    <row r="34" spans="1:6" x14ac:dyDescent="0.25">
      <c r="A34" s="124" t="s">
        <v>90</v>
      </c>
      <c r="B34" s="125" t="s">
        <v>88</v>
      </c>
    </row>
    <row r="36" spans="1:6" x14ac:dyDescent="0.25">
      <c r="B36" s="123">
        <v>2020</v>
      </c>
      <c r="C36" s="123">
        <v>2021</v>
      </c>
      <c r="D36" s="125" t="s">
        <v>147</v>
      </c>
    </row>
    <row r="37" spans="1:6" x14ac:dyDescent="0.25">
      <c r="A37" s="124" t="s">
        <v>144</v>
      </c>
      <c r="B37" s="123">
        <v>9.1799999999999998E-4</v>
      </c>
      <c r="C37" s="123">
        <v>8.4099999999999995E-4</v>
      </c>
    </row>
    <row r="38" spans="1:6" x14ac:dyDescent="0.25">
      <c r="D38" s="213" t="s">
        <v>146</v>
      </c>
      <c r="E38" s="213"/>
    </row>
    <row r="39" spans="1:6" x14ac:dyDescent="0.25">
      <c r="A39" s="124" t="s">
        <v>89</v>
      </c>
      <c r="B39" s="128">
        <v>30058872</v>
      </c>
      <c r="C39" s="128">
        <v>42654722</v>
      </c>
      <c r="D39" s="128">
        <f t="shared" ref="D39:E41" si="0">B39*B$37</f>
        <v>27594.044495999999</v>
      </c>
      <c r="E39" s="128">
        <f t="shared" si="0"/>
        <v>35872.621201999995</v>
      </c>
    </row>
    <row r="40" spans="1:6" x14ac:dyDescent="0.25">
      <c r="A40" s="124" t="s">
        <v>145</v>
      </c>
      <c r="B40" s="128">
        <v>1805359</v>
      </c>
      <c r="C40" s="128">
        <v>5025466</v>
      </c>
      <c r="D40" s="128">
        <f t="shared" si="0"/>
        <v>1657.3195619999999</v>
      </c>
      <c r="E40" s="128">
        <f t="shared" si="0"/>
        <v>4226.4169059999995</v>
      </c>
    </row>
    <row r="41" spans="1:6" x14ac:dyDescent="0.25">
      <c r="A41" s="124" t="s">
        <v>148</v>
      </c>
      <c r="B41" s="128">
        <v>951597</v>
      </c>
      <c r="C41" s="128">
        <v>4890652</v>
      </c>
      <c r="D41" s="128">
        <f t="shared" si="0"/>
        <v>873.56604600000003</v>
      </c>
      <c r="E41" s="128">
        <f t="shared" si="0"/>
        <v>4113.0383320000001</v>
      </c>
    </row>
    <row r="44" spans="1:6" x14ac:dyDescent="0.25">
      <c r="A44" s="124" t="s">
        <v>149</v>
      </c>
      <c r="B44" s="129">
        <v>20175492</v>
      </c>
      <c r="C44" s="131">
        <f>B44/$B$49</f>
        <v>0.47299551032122539</v>
      </c>
      <c r="F44" s="128">
        <v>502000</v>
      </c>
    </row>
    <row r="45" spans="1:6" x14ac:dyDescent="0.25">
      <c r="A45" s="124" t="s">
        <v>150</v>
      </c>
      <c r="B45" s="129">
        <v>17803863</v>
      </c>
      <c r="C45" s="131">
        <f t="shared" ref="C45:C48" si="1">B45/$B$49</f>
        <v>0.41739489006633312</v>
      </c>
      <c r="F45" s="128">
        <v>360000</v>
      </c>
    </row>
    <row r="46" spans="1:6" x14ac:dyDescent="0.25">
      <c r="A46" s="124" t="s">
        <v>151</v>
      </c>
      <c r="B46" s="129">
        <v>3202981</v>
      </c>
      <c r="C46" s="131">
        <f t="shared" si="1"/>
        <v>7.5090889116567208E-2</v>
      </c>
      <c r="F46" s="132">
        <f>F44-F45</f>
        <v>142000</v>
      </c>
    </row>
    <row r="47" spans="1:6" x14ac:dyDescent="0.25">
      <c r="A47" s="124" t="s">
        <v>152</v>
      </c>
      <c r="B47" s="129">
        <v>690346</v>
      </c>
      <c r="C47" s="131">
        <f t="shared" si="1"/>
        <v>1.6184515280629422E-2</v>
      </c>
    </row>
    <row r="48" spans="1:6" x14ac:dyDescent="0.25">
      <c r="A48" s="124" t="s">
        <v>38</v>
      </c>
      <c r="B48" s="129">
        <v>782040</v>
      </c>
      <c r="C48" s="131">
        <f t="shared" si="1"/>
        <v>1.8334195215244868E-2</v>
      </c>
    </row>
    <row r="49" spans="1:2" x14ac:dyDescent="0.25">
      <c r="A49" s="124" t="s">
        <v>153</v>
      </c>
      <c r="B49" s="129">
        <f>SUM(B44:B48)</f>
        <v>42654722</v>
      </c>
    </row>
    <row r="52" spans="1:2" ht="60" x14ac:dyDescent="0.25">
      <c r="A52" s="124" t="s">
        <v>154</v>
      </c>
      <c r="B52" s="125" t="s">
        <v>155</v>
      </c>
    </row>
  </sheetData>
  <mergeCells count="1">
    <mergeCell ref="D38:E38"/>
  </mergeCells>
  <hyperlinks>
    <hyperlink ref="B2" r:id="rId1" xr:uid="{1FE2AEA2-8E9B-4BB2-BE69-CDA93B3A1316}"/>
    <hyperlink ref="B17" r:id="rId2" xr:uid="{1530A7CA-9AAC-49F8-89F8-965194B9E3A7}"/>
    <hyperlink ref="B19" r:id="rId3" xr:uid="{C1316A24-E16A-4936-8AE6-877C3771D6EE}"/>
    <hyperlink ref="B26" r:id="rId4" xr:uid="{0D3465C5-57D0-47E7-82F6-458F79A8977B}"/>
    <hyperlink ref="B29" r:id="rId5" xr:uid="{66679658-C56C-487F-911B-A0827963C999}"/>
    <hyperlink ref="B32" r:id="rId6" xr:uid="{F0B0805E-ECA3-442B-ACDD-FF118561D6BA}"/>
    <hyperlink ref="B34" r:id="rId7" xr:uid="{D124C686-EC30-4AC0-B8D6-77F56ABB3355}"/>
    <hyperlink ref="D36" r:id="rId8" xr:uid="{9210B966-251F-4673-8686-03E8A70E926D}"/>
    <hyperlink ref="B52" r:id="rId9" location=":~:text=for%20market%20leadership.-,Following%20the%20expansion%2C%20its%20production%20plant%20in%20Yeosu%2C%20South%20Jeolla,fourth%2Dlargest%20capacities%2C%20respectively." xr:uid="{60501676-D12E-4C7A-A92E-F69A45D4BC57}"/>
  </hyperlinks>
  <pageMargins left="0.7" right="0.7" top="0.75" bottom="0.75" header="0.3" footer="0.3"/>
  <pageSetup orientation="portrait" r:id="rId10"/>
  <drawing r:id="rId11"/>
  <legacyDrawing r:id="rId1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5589F-C51F-413B-AB85-4497A6824124}">
  <dimension ref="A2:L272"/>
  <sheetViews>
    <sheetView workbookViewId="0">
      <selection activeCell="A2" sqref="A2"/>
    </sheetView>
  </sheetViews>
  <sheetFormatPr defaultRowHeight="15" x14ac:dyDescent="0.25"/>
  <cols>
    <col min="1" max="1" width="51" style="124" customWidth="1"/>
    <col min="2" max="2" width="11.5703125" style="123" bestFit="1" customWidth="1"/>
    <col min="3" max="16384" width="9.140625" style="123"/>
  </cols>
  <sheetData>
    <row r="2" spans="1:12" ht="90" x14ac:dyDescent="0.25">
      <c r="A2" s="124" t="s">
        <v>91</v>
      </c>
      <c r="B2" s="125" t="s">
        <v>94</v>
      </c>
    </row>
    <row r="3" spans="1:12" ht="60" x14ac:dyDescent="0.25">
      <c r="A3" s="124" t="s">
        <v>92</v>
      </c>
    </row>
    <row r="4" spans="1:12" ht="45" x14ac:dyDescent="0.25">
      <c r="A4" s="124" t="s">
        <v>93</v>
      </c>
    </row>
    <row r="6" spans="1:12" ht="105" x14ac:dyDescent="0.25">
      <c r="A6" s="124" t="s">
        <v>95</v>
      </c>
      <c r="B6" s="125" t="s">
        <v>96</v>
      </c>
    </row>
    <row r="7" spans="1:12" x14ac:dyDescent="0.25">
      <c r="B7" s="125" t="s">
        <v>97</v>
      </c>
      <c r="L7" s="127" t="s">
        <v>173</v>
      </c>
    </row>
    <row r="8" spans="1:12" x14ac:dyDescent="0.25">
      <c r="L8" s="123" t="s">
        <v>164</v>
      </c>
    </row>
    <row r="9" spans="1:12" x14ac:dyDescent="0.25">
      <c r="L9" s="123" t="s">
        <v>165</v>
      </c>
    </row>
    <row r="10" spans="1:12" x14ac:dyDescent="0.25">
      <c r="L10" s="123" t="s">
        <v>166</v>
      </c>
    </row>
    <row r="11" spans="1:12" x14ac:dyDescent="0.25">
      <c r="L11" s="123" t="s">
        <v>167</v>
      </c>
    </row>
    <row r="12" spans="1:12" x14ac:dyDescent="0.25">
      <c r="L12" s="123" t="s">
        <v>168</v>
      </c>
    </row>
    <row r="13" spans="1:12" x14ac:dyDescent="0.25">
      <c r="L13" s="123" t="s">
        <v>169</v>
      </c>
    </row>
    <row r="14" spans="1:12" x14ac:dyDescent="0.25">
      <c r="L14" s="123" t="s">
        <v>170</v>
      </c>
    </row>
    <row r="15" spans="1:12" x14ac:dyDescent="0.25">
      <c r="L15" s="123" t="s">
        <v>171</v>
      </c>
    </row>
    <row r="16" spans="1:12" x14ac:dyDescent="0.25">
      <c r="L16" s="123" t="s">
        <v>172</v>
      </c>
    </row>
    <row r="17" spans="1:12" x14ac:dyDescent="0.25">
      <c r="L17"/>
    </row>
    <row r="18" spans="1:12" x14ac:dyDescent="0.25">
      <c r="L18"/>
    </row>
    <row r="19" spans="1:12" x14ac:dyDescent="0.25">
      <c r="L19"/>
    </row>
    <row r="20" spans="1:12" x14ac:dyDescent="0.25">
      <c r="L20"/>
    </row>
    <row r="21" spans="1:12" x14ac:dyDescent="0.25">
      <c r="L21"/>
    </row>
    <row r="22" spans="1:12" x14ac:dyDescent="0.25">
      <c r="A22" s="126" t="s">
        <v>99</v>
      </c>
      <c r="B22" s="125" t="s">
        <v>100</v>
      </c>
      <c r="L22"/>
    </row>
    <row r="23" spans="1:12" x14ac:dyDescent="0.25">
      <c r="A23" s="124" t="s">
        <v>98</v>
      </c>
      <c r="L23"/>
    </row>
    <row r="24" spans="1:12" x14ac:dyDescent="0.25">
      <c r="A24" s="124" t="s">
        <v>101</v>
      </c>
      <c r="L24"/>
    </row>
    <row r="25" spans="1:12" x14ac:dyDescent="0.25">
      <c r="A25" s="124" t="s">
        <v>102</v>
      </c>
      <c r="L25"/>
    </row>
    <row r="26" spans="1:12" x14ac:dyDescent="0.25">
      <c r="L26"/>
    </row>
    <row r="27" spans="1:12" x14ac:dyDescent="0.25">
      <c r="A27" s="124" t="s">
        <v>103</v>
      </c>
      <c r="B27" s="125" t="s">
        <v>104</v>
      </c>
      <c r="L27"/>
    </row>
    <row r="28" spans="1:12" x14ac:dyDescent="0.25">
      <c r="A28" s="124" t="s">
        <v>105</v>
      </c>
      <c r="L28"/>
    </row>
    <row r="29" spans="1:12" x14ac:dyDescent="0.25">
      <c r="A29" s="124" t="s">
        <v>106</v>
      </c>
      <c r="B29" s="125" t="s">
        <v>104</v>
      </c>
      <c r="L29"/>
    </row>
    <row r="30" spans="1:12" x14ac:dyDescent="0.25">
      <c r="L30"/>
    </row>
    <row r="31" spans="1:12" x14ac:dyDescent="0.25">
      <c r="A31" s="124" t="s">
        <v>108</v>
      </c>
      <c r="B31" s="125" t="s">
        <v>107</v>
      </c>
      <c r="L31"/>
    </row>
    <row r="32" spans="1:12" x14ac:dyDescent="0.25">
      <c r="L32"/>
    </row>
    <row r="33" spans="1:12" x14ac:dyDescent="0.25">
      <c r="A33" s="124" t="s">
        <v>109</v>
      </c>
      <c r="B33" s="125" t="s">
        <v>107</v>
      </c>
      <c r="L33"/>
    </row>
    <row r="34" spans="1:12" x14ac:dyDescent="0.25">
      <c r="L34"/>
    </row>
    <row r="35" spans="1:12" x14ac:dyDescent="0.25">
      <c r="A35" s="124" t="s">
        <v>111</v>
      </c>
      <c r="B35" s="125" t="s">
        <v>110</v>
      </c>
      <c r="L35"/>
    </row>
    <row r="36" spans="1:12" x14ac:dyDescent="0.25">
      <c r="L36"/>
    </row>
    <row r="37" spans="1:12" x14ac:dyDescent="0.25">
      <c r="B37" s="123" t="s">
        <v>156</v>
      </c>
      <c r="C37" s="123" t="s">
        <v>157</v>
      </c>
      <c r="L37"/>
    </row>
    <row r="38" spans="1:12" x14ac:dyDescent="0.25">
      <c r="A38" s="124" t="s">
        <v>158</v>
      </c>
      <c r="B38" s="123">
        <v>8.2129999999999998E-3</v>
      </c>
      <c r="C38" s="123">
        <v>9.025E-3</v>
      </c>
      <c r="L38"/>
    </row>
    <row r="39" spans="1:12" x14ac:dyDescent="0.25">
      <c r="D39" s="213" t="s">
        <v>146</v>
      </c>
      <c r="E39" s="213"/>
      <c r="L39"/>
    </row>
    <row r="40" spans="1:12" x14ac:dyDescent="0.25">
      <c r="A40" s="124" t="s">
        <v>159</v>
      </c>
      <c r="B40" s="123">
        <v>148</v>
      </c>
      <c r="C40" s="123">
        <v>115.6</v>
      </c>
      <c r="D40" s="29">
        <f>(B40*B$38)*100</f>
        <v>121.55240000000001</v>
      </c>
      <c r="E40" s="29">
        <f>(C40*C$38)*100</f>
        <v>104.32900000000001</v>
      </c>
      <c r="L40"/>
    </row>
    <row r="41" spans="1:12" x14ac:dyDescent="0.25">
      <c r="A41" s="124" t="s">
        <v>160</v>
      </c>
      <c r="B41" s="123">
        <v>11</v>
      </c>
      <c r="C41" s="123">
        <v>8.1</v>
      </c>
      <c r="D41" s="29">
        <f t="shared" ref="D41:E42" si="0">(B41*B$38)*100</f>
        <v>9.0343</v>
      </c>
      <c r="E41" s="29">
        <f t="shared" si="0"/>
        <v>7.3102499999999999</v>
      </c>
      <c r="L41"/>
    </row>
    <row r="42" spans="1:12" x14ac:dyDescent="0.25">
      <c r="A42" s="124" t="s">
        <v>161</v>
      </c>
      <c r="B42" s="123">
        <v>9</v>
      </c>
      <c r="C42" s="123">
        <v>5.9</v>
      </c>
      <c r="D42" s="29">
        <f t="shared" si="0"/>
        <v>7.3916999999999993</v>
      </c>
      <c r="E42" s="29">
        <f t="shared" si="0"/>
        <v>5.3247499999999999</v>
      </c>
      <c r="L42"/>
    </row>
    <row r="43" spans="1:12" x14ac:dyDescent="0.25">
      <c r="B43" s="123" t="s">
        <v>157</v>
      </c>
      <c r="L43"/>
    </row>
    <row r="44" spans="1:12" x14ac:dyDescent="0.25">
      <c r="A44" s="124" t="s">
        <v>162</v>
      </c>
      <c r="B44" s="27">
        <v>78991</v>
      </c>
      <c r="C44" s="130">
        <f>B44/$B$47</f>
        <v>0.68843472198012901</v>
      </c>
      <c r="L44"/>
    </row>
    <row r="45" spans="1:12" x14ac:dyDescent="0.25">
      <c r="A45" s="124" t="s">
        <v>163</v>
      </c>
      <c r="B45" s="27">
        <v>18553</v>
      </c>
      <c r="C45" s="130">
        <f>B45/$B$47</f>
        <v>0.16169600836674219</v>
      </c>
      <c r="L45"/>
    </row>
    <row r="46" spans="1:12" x14ac:dyDescent="0.25">
      <c r="A46" s="124" t="s">
        <v>38</v>
      </c>
      <c r="B46" s="27">
        <v>17196</v>
      </c>
      <c r="C46" s="130">
        <f>B46/$B$47</f>
        <v>0.1498692696531288</v>
      </c>
      <c r="L46"/>
    </row>
    <row r="47" spans="1:12" x14ac:dyDescent="0.25">
      <c r="B47" s="27">
        <f>SUM(B44:B46)</f>
        <v>114740</v>
      </c>
      <c r="L47"/>
    </row>
    <row r="48" spans="1:12" x14ac:dyDescent="0.25">
      <c r="L48"/>
    </row>
    <row r="49" spans="1:12" x14ac:dyDescent="0.25">
      <c r="A49" s="124" t="s">
        <v>175</v>
      </c>
      <c r="B49" s="125" t="s">
        <v>174</v>
      </c>
      <c r="L49"/>
    </row>
    <row r="50" spans="1:12" x14ac:dyDescent="0.25">
      <c r="L50"/>
    </row>
    <row r="51" spans="1:12" x14ac:dyDescent="0.25">
      <c r="L51"/>
    </row>
    <row r="52" spans="1:12" x14ac:dyDescent="0.25">
      <c r="L52"/>
    </row>
    <row r="53" spans="1:12" x14ac:dyDescent="0.25">
      <c r="L53"/>
    </row>
    <row r="54" spans="1:12" x14ac:dyDescent="0.25">
      <c r="L54"/>
    </row>
    <row r="55" spans="1:12" x14ac:dyDescent="0.25">
      <c r="L55"/>
    </row>
    <row r="56" spans="1:12" x14ac:dyDescent="0.25">
      <c r="L56"/>
    </row>
    <row r="57" spans="1:12" x14ac:dyDescent="0.25">
      <c r="L57"/>
    </row>
    <row r="58" spans="1:12" x14ac:dyDescent="0.25">
      <c r="L58"/>
    </row>
    <row r="59" spans="1:12" x14ac:dyDescent="0.25">
      <c r="L59"/>
    </row>
    <row r="60" spans="1:12" x14ac:dyDescent="0.25">
      <c r="L60"/>
    </row>
    <row r="61" spans="1:12" x14ac:dyDescent="0.25">
      <c r="L61"/>
    </row>
    <row r="62" spans="1:12" x14ac:dyDescent="0.25">
      <c r="L62"/>
    </row>
    <row r="63" spans="1:12" x14ac:dyDescent="0.25">
      <c r="L63"/>
    </row>
    <row r="64" spans="1:12" x14ac:dyDescent="0.25">
      <c r="L64"/>
    </row>
    <row r="65" spans="12:12" x14ac:dyDescent="0.25">
      <c r="L65"/>
    </row>
    <row r="66" spans="12:12" x14ac:dyDescent="0.25">
      <c r="L66"/>
    </row>
    <row r="67" spans="12:12" x14ac:dyDescent="0.25">
      <c r="L67"/>
    </row>
    <row r="68" spans="12:12" x14ac:dyDescent="0.25">
      <c r="L68"/>
    </row>
    <row r="69" spans="12:12" x14ac:dyDescent="0.25">
      <c r="L69"/>
    </row>
    <row r="70" spans="12:12" x14ac:dyDescent="0.25">
      <c r="L70"/>
    </row>
    <row r="71" spans="12:12" x14ac:dyDescent="0.25">
      <c r="L71"/>
    </row>
    <row r="72" spans="12:12" x14ac:dyDescent="0.25">
      <c r="L72"/>
    </row>
    <row r="73" spans="12:12" x14ac:dyDescent="0.25">
      <c r="L73"/>
    </row>
    <row r="74" spans="12:12" x14ac:dyDescent="0.25">
      <c r="L74"/>
    </row>
    <row r="75" spans="12:12" x14ac:dyDescent="0.25">
      <c r="L75"/>
    </row>
    <row r="76" spans="12:12" x14ac:dyDescent="0.25">
      <c r="L76"/>
    </row>
    <row r="77" spans="12:12" x14ac:dyDescent="0.25">
      <c r="L77"/>
    </row>
    <row r="78" spans="12:12" x14ac:dyDescent="0.25">
      <c r="L78"/>
    </row>
    <row r="79" spans="12:12" x14ac:dyDescent="0.25">
      <c r="L79"/>
    </row>
    <row r="80" spans="12:12" x14ac:dyDescent="0.25">
      <c r="L80"/>
    </row>
    <row r="81" spans="12:12" x14ac:dyDescent="0.25">
      <c r="L81"/>
    </row>
    <row r="82" spans="12:12" x14ac:dyDescent="0.25">
      <c r="L82"/>
    </row>
    <row r="83" spans="12:12" x14ac:dyDescent="0.25">
      <c r="L83"/>
    </row>
    <row r="84" spans="12:12" x14ac:dyDescent="0.25">
      <c r="L84"/>
    </row>
    <row r="85" spans="12:12" x14ac:dyDescent="0.25">
      <c r="L85"/>
    </row>
    <row r="86" spans="12:12" x14ac:dyDescent="0.25">
      <c r="L86"/>
    </row>
    <row r="87" spans="12:12" x14ac:dyDescent="0.25">
      <c r="L87"/>
    </row>
    <row r="88" spans="12:12" x14ac:dyDescent="0.25">
      <c r="L88"/>
    </row>
    <row r="89" spans="12:12" x14ac:dyDescent="0.25">
      <c r="L89"/>
    </row>
    <row r="90" spans="12:12" x14ac:dyDescent="0.25">
      <c r="L90"/>
    </row>
    <row r="91" spans="12:12" x14ac:dyDescent="0.25">
      <c r="L91"/>
    </row>
    <row r="92" spans="12:12" x14ac:dyDescent="0.25">
      <c r="L92"/>
    </row>
    <row r="93" spans="12:12" x14ac:dyDescent="0.25">
      <c r="L93"/>
    </row>
    <row r="94" spans="12:12" x14ac:dyDescent="0.25">
      <c r="L94"/>
    </row>
    <row r="95" spans="12:12" x14ac:dyDescent="0.25">
      <c r="L95"/>
    </row>
    <row r="96" spans="12:12" x14ac:dyDescent="0.25">
      <c r="L96"/>
    </row>
    <row r="97" spans="12:12" x14ac:dyDescent="0.25">
      <c r="L97"/>
    </row>
    <row r="98" spans="12:12" x14ac:dyDescent="0.25">
      <c r="L98"/>
    </row>
    <row r="99" spans="12:12" x14ac:dyDescent="0.25">
      <c r="L99"/>
    </row>
    <row r="100" spans="12:12" x14ac:dyDescent="0.25">
      <c r="L100"/>
    </row>
    <row r="101" spans="12:12" x14ac:dyDescent="0.25">
      <c r="L101"/>
    </row>
    <row r="102" spans="12:12" x14ac:dyDescent="0.25">
      <c r="L102"/>
    </row>
    <row r="103" spans="12:12" x14ac:dyDescent="0.25">
      <c r="L103"/>
    </row>
    <row r="104" spans="12:12" x14ac:dyDescent="0.25">
      <c r="L104"/>
    </row>
    <row r="105" spans="12:12" x14ac:dyDescent="0.25">
      <c r="L105"/>
    </row>
    <row r="106" spans="12:12" x14ac:dyDescent="0.25">
      <c r="L106"/>
    </row>
    <row r="107" spans="12:12" x14ac:dyDescent="0.25">
      <c r="L107"/>
    </row>
    <row r="108" spans="12:12" x14ac:dyDescent="0.25">
      <c r="L108"/>
    </row>
    <row r="109" spans="12:12" x14ac:dyDescent="0.25">
      <c r="L109"/>
    </row>
    <row r="110" spans="12:12" x14ac:dyDescent="0.25">
      <c r="L110"/>
    </row>
    <row r="111" spans="12:12" x14ac:dyDescent="0.25">
      <c r="L111"/>
    </row>
    <row r="112" spans="12:12" x14ac:dyDescent="0.25">
      <c r="L112"/>
    </row>
    <row r="113" spans="12:12" x14ac:dyDescent="0.25">
      <c r="L113"/>
    </row>
    <row r="114" spans="12:12" x14ac:dyDescent="0.25">
      <c r="L114"/>
    </row>
    <row r="115" spans="12:12" x14ac:dyDescent="0.25">
      <c r="L115"/>
    </row>
    <row r="116" spans="12:12" x14ac:dyDescent="0.25">
      <c r="L116"/>
    </row>
    <row r="117" spans="12:12" x14ac:dyDescent="0.25">
      <c r="L117"/>
    </row>
    <row r="118" spans="12:12" x14ac:dyDescent="0.25">
      <c r="L118"/>
    </row>
    <row r="119" spans="12:12" x14ac:dyDescent="0.25">
      <c r="L119"/>
    </row>
    <row r="120" spans="12:12" x14ac:dyDescent="0.25">
      <c r="L120"/>
    </row>
    <row r="121" spans="12:12" x14ac:dyDescent="0.25">
      <c r="L121"/>
    </row>
    <row r="122" spans="12:12" x14ac:dyDescent="0.25">
      <c r="L122"/>
    </row>
    <row r="123" spans="12:12" x14ac:dyDescent="0.25">
      <c r="L123"/>
    </row>
    <row r="124" spans="12:12" x14ac:dyDescent="0.25">
      <c r="L124"/>
    </row>
    <row r="125" spans="12:12" x14ac:dyDescent="0.25">
      <c r="L125"/>
    </row>
    <row r="126" spans="12:12" x14ac:dyDescent="0.25">
      <c r="L126"/>
    </row>
    <row r="127" spans="12:12" x14ac:dyDescent="0.25">
      <c r="L127"/>
    </row>
    <row r="128" spans="12:12" x14ac:dyDescent="0.25">
      <c r="L128"/>
    </row>
    <row r="129" spans="12:12" x14ac:dyDescent="0.25">
      <c r="L129"/>
    </row>
    <row r="130" spans="12:12" x14ac:dyDescent="0.25">
      <c r="L130"/>
    </row>
    <row r="131" spans="12:12" x14ac:dyDescent="0.25">
      <c r="L131"/>
    </row>
    <row r="132" spans="12:12" x14ac:dyDescent="0.25">
      <c r="L132"/>
    </row>
    <row r="133" spans="12:12" x14ac:dyDescent="0.25">
      <c r="L133"/>
    </row>
    <row r="134" spans="12:12" x14ac:dyDescent="0.25">
      <c r="L134"/>
    </row>
    <row r="135" spans="12:12" x14ac:dyDescent="0.25">
      <c r="L135"/>
    </row>
    <row r="136" spans="12:12" x14ac:dyDescent="0.25">
      <c r="L136"/>
    </row>
    <row r="137" spans="12:12" x14ac:dyDescent="0.25">
      <c r="L137"/>
    </row>
    <row r="138" spans="12:12" x14ac:dyDescent="0.25">
      <c r="L138"/>
    </row>
    <row r="139" spans="12:12" x14ac:dyDescent="0.25">
      <c r="L139"/>
    </row>
    <row r="140" spans="12:12" x14ac:dyDescent="0.25">
      <c r="L140"/>
    </row>
    <row r="141" spans="12:12" x14ac:dyDescent="0.25">
      <c r="L141"/>
    </row>
    <row r="142" spans="12:12" x14ac:dyDescent="0.25">
      <c r="L142"/>
    </row>
    <row r="143" spans="12:12" x14ac:dyDescent="0.25">
      <c r="L143"/>
    </row>
    <row r="144" spans="12:12" x14ac:dyDescent="0.25">
      <c r="L144"/>
    </row>
    <row r="145" spans="12:12" x14ac:dyDescent="0.25">
      <c r="L145"/>
    </row>
    <row r="146" spans="12:12" x14ac:dyDescent="0.25">
      <c r="L146"/>
    </row>
    <row r="147" spans="12:12" x14ac:dyDescent="0.25">
      <c r="L147"/>
    </row>
    <row r="148" spans="12:12" x14ac:dyDescent="0.25">
      <c r="L148"/>
    </row>
    <row r="149" spans="12:12" x14ac:dyDescent="0.25">
      <c r="L149"/>
    </row>
    <row r="150" spans="12:12" x14ac:dyDescent="0.25">
      <c r="L150"/>
    </row>
    <row r="151" spans="12:12" x14ac:dyDescent="0.25">
      <c r="L151"/>
    </row>
    <row r="152" spans="12:12" x14ac:dyDescent="0.25">
      <c r="L152"/>
    </row>
    <row r="153" spans="12:12" x14ac:dyDescent="0.25">
      <c r="L153"/>
    </row>
    <row r="154" spans="12:12" x14ac:dyDescent="0.25">
      <c r="L154"/>
    </row>
    <row r="155" spans="12:12" x14ac:dyDescent="0.25">
      <c r="L155"/>
    </row>
    <row r="156" spans="12:12" x14ac:dyDescent="0.25">
      <c r="L156"/>
    </row>
    <row r="157" spans="12:12" x14ac:dyDescent="0.25">
      <c r="L157"/>
    </row>
    <row r="158" spans="12:12" x14ac:dyDescent="0.25">
      <c r="L158"/>
    </row>
    <row r="159" spans="12:12" x14ac:dyDescent="0.25">
      <c r="L159"/>
    </row>
    <row r="160" spans="12:12" x14ac:dyDescent="0.25">
      <c r="L160"/>
    </row>
    <row r="161" spans="12:12" x14ac:dyDescent="0.25">
      <c r="L161"/>
    </row>
    <row r="162" spans="12:12" x14ac:dyDescent="0.25">
      <c r="L162"/>
    </row>
    <row r="163" spans="12:12" x14ac:dyDescent="0.25">
      <c r="L163"/>
    </row>
    <row r="164" spans="12:12" x14ac:dyDescent="0.25">
      <c r="L164"/>
    </row>
    <row r="165" spans="12:12" x14ac:dyDescent="0.25">
      <c r="L165"/>
    </row>
    <row r="166" spans="12:12" x14ac:dyDescent="0.25">
      <c r="L166"/>
    </row>
    <row r="167" spans="12:12" x14ac:dyDescent="0.25">
      <c r="L167"/>
    </row>
    <row r="168" spans="12:12" x14ac:dyDescent="0.25">
      <c r="L168"/>
    </row>
    <row r="169" spans="12:12" x14ac:dyDescent="0.25">
      <c r="L169"/>
    </row>
    <row r="170" spans="12:12" x14ac:dyDescent="0.25">
      <c r="L170"/>
    </row>
    <row r="171" spans="12:12" x14ac:dyDescent="0.25">
      <c r="L171"/>
    </row>
    <row r="172" spans="12:12" x14ac:dyDescent="0.25">
      <c r="L172"/>
    </row>
    <row r="173" spans="12:12" x14ac:dyDescent="0.25">
      <c r="L173"/>
    </row>
    <row r="174" spans="12:12" x14ac:dyDescent="0.25">
      <c r="L174"/>
    </row>
    <row r="175" spans="12:12" x14ac:dyDescent="0.25">
      <c r="L175"/>
    </row>
    <row r="176" spans="12:12" x14ac:dyDescent="0.25">
      <c r="L176"/>
    </row>
    <row r="177" spans="12:12" x14ac:dyDescent="0.25">
      <c r="L177"/>
    </row>
    <row r="178" spans="12:12" x14ac:dyDescent="0.25">
      <c r="L178"/>
    </row>
    <row r="179" spans="12:12" x14ac:dyDescent="0.25">
      <c r="L179"/>
    </row>
    <row r="180" spans="12:12" x14ac:dyDescent="0.25">
      <c r="L180"/>
    </row>
    <row r="181" spans="12:12" x14ac:dyDescent="0.25">
      <c r="L181"/>
    </row>
    <row r="182" spans="12:12" x14ac:dyDescent="0.25">
      <c r="L182"/>
    </row>
    <row r="183" spans="12:12" x14ac:dyDescent="0.25">
      <c r="L183"/>
    </row>
    <row r="184" spans="12:12" x14ac:dyDescent="0.25">
      <c r="L184"/>
    </row>
    <row r="185" spans="12:12" x14ac:dyDescent="0.25">
      <c r="L185"/>
    </row>
    <row r="186" spans="12:12" x14ac:dyDescent="0.25">
      <c r="L186"/>
    </row>
    <row r="187" spans="12:12" x14ac:dyDescent="0.25">
      <c r="L187"/>
    </row>
    <row r="188" spans="12:12" x14ac:dyDescent="0.25">
      <c r="L188"/>
    </row>
    <row r="189" spans="12:12" x14ac:dyDescent="0.25">
      <c r="L189"/>
    </row>
    <row r="190" spans="12:12" x14ac:dyDescent="0.25">
      <c r="L190"/>
    </row>
    <row r="191" spans="12:12" x14ac:dyDescent="0.25">
      <c r="L191"/>
    </row>
    <row r="192" spans="12:12" x14ac:dyDescent="0.25">
      <c r="L192"/>
    </row>
    <row r="193" spans="12:12" x14ac:dyDescent="0.25">
      <c r="L193"/>
    </row>
    <row r="194" spans="12:12" x14ac:dyDescent="0.25">
      <c r="L194"/>
    </row>
    <row r="195" spans="12:12" x14ac:dyDescent="0.25">
      <c r="L195"/>
    </row>
    <row r="196" spans="12:12" x14ac:dyDescent="0.25">
      <c r="L196"/>
    </row>
    <row r="197" spans="12:12" x14ac:dyDescent="0.25">
      <c r="L197"/>
    </row>
    <row r="198" spans="12:12" x14ac:dyDescent="0.25">
      <c r="L198"/>
    </row>
    <row r="199" spans="12:12" x14ac:dyDescent="0.25">
      <c r="L199"/>
    </row>
    <row r="200" spans="12:12" x14ac:dyDescent="0.25">
      <c r="L200"/>
    </row>
    <row r="201" spans="12:12" x14ac:dyDescent="0.25">
      <c r="L201"/>
    </row>
    <row r="202" spans="12:12" x14ac:dyDescent="0.25">
      <c r="L202"/>
    </row>
    <row r="203" spans="12:12" x14ac:dyDescent="0.25">
      <c r="L203"/>
    </row>
    <row r="204" spans="12:12" x14ac:dyDescent="0.25">
      <c r="L204"/>
    </row>
    <row r="205" spans="12:12" x14ac:dyDescent="0.25">
      <c r="L205"/>
    </row>
    <row r="206" spans="12:12" x14ac:dyDescent="0.25">
      <c r="L206"/>
    </row>
    <row r="207" spans="12:12" x14ac:dyDescent="0.25">
      <c r="L207"/>
    </row>
    <row r="208" spans="12:12" x14ac:dyDescent="0.25">
      <c r="L208"/>
    </row>
    <row r="209" spans="12:12" x14ac:dyDescent="0.25">
      <c r="L209"/>
    </row>
    <row r="210" spans="12:12" x14ac:dyDescent="0.25">
      <c r="L210"/>
    </row>
    <row r="211" spans="12:12" x14ac:dyDescent="0.25">
      <c r="L211"/>
    </row>
    <row r="212" spans="12:12" x14ac:dyDescent="0.25">
      <c r="L212"/>
    </row>
    <row r="213" spans="12:12" x14ac:dyDescent="0.25">
      <c r="L213"/>
    </row>
    <row r="214" spans="12:12" x14ac:dyDescent="0.25">
      <c r="L214"/>
    </row>
    <row r="215" spans="12:12" x14ac:dyDescent="0.25">
      <c r="L215"/>
    </row>
    <row r="216" spans="12:12" x14ac:dyDescent="0.25">
      <c r="L216"/>
    </row>
    <row r="217" spans="12:12" x14ac:dyDescent="0.25">
      <c r="L217"/>
    </row>
    <row r="218" spans="12:12" x14ac:dyDescent="0.25">
      <c r="L218"/>
    </row>
    <row r="219" spans="12:12" x14ac:dyDescent="0.25">
      <c r="L219"/>
    </row>
    <row r="220" spans="12:12" x14ac:dyDescent="0.25">
      <c r="L220"/>
    </row>
    <row r="221" spans="12:12" x14ac:dyDescent="0.25">
      <c r="L221"/>
    </row>
    <row r="222" spans="12:12" x14ac:dyDescent="0.25">
      <c r="L222"/>
    </row>
    <row r="223" spans="12:12" x14ac:dyDescent="0.25">
      <c r="L223"/>
    </row>
    <row r="224" spans="12:12" x14ac:dyDescent="0.25">
      <c r="L224"/>
    </row>
    <row r="225" spans="12:12" x14ac:dyDescent="0.25">
      <c r="L225"/>
    </row>
    <row r="226" spans="12:12" x14ac:dyDescent="0.25">
      <c r="L226"/>
    </row>
    <row r="227" spans="12:12" x14ac:dyDescent="0.25">
      <c r="L227"/>
    </row>
    <row r="228" spans="12:12" x14ac:dyDescent="0.25">
      <c r="L228"/>
    </row>
    <row r="229" spans="12:12" x14ac:dyDescent="0.25">
      <c r="L229"/>
    </row>
    <row r="230" spans="12:12" x14ac:dyDescent="0.25">
      <c r="L230"/>
    </row>
    <row r="231" spans="12:12" x14ac:dyDescent="0.25">
      <c r="L231"/>
    </row>
    <row r="232" spans="12:12" x14ac:dyDescent="0.25">
      <c r="L232"/>
    </row>
    <row r="233" spans="12:12" x14ac:dyDescent="0.25">
      <c r="L233"/>
    </row>
    <row r="234" spans="12:12" x14ac:dyDescent="0.25">
      <c r="L234"/>
    </row>
    <row r="235" spans="12:12" x14ac:dyDescent="0.25">
      <c r="L235"/>
    </row>
    <row r="236" spans="12:12" x14ac:dyDescent="0.25">
      <c r="L236"/>
    </row>
    <row r="237" spans="12:12" x14ac:dyDescent="0.25">
      <c r="L237"/>
    </row>
    <row r="238" spans="12:12" x14ac:dyDescent="0.25">
      <c r="L238"/>
    </row>
    <row r="239" spans="12:12" x14ac:dyDescent="0.25">
      <c r="L239"/>
    </row>
    <row r="240" spans="12:12" x14ac:dyDescent="0.25">
      <c r="L240"/>
    </row>
    <row r="241" spans="12:12" x14ac:dyDescent="0.25">
      <c r="L241"/>
    </row>
    <row r="242" spans="12:12" x14ac:dyDescent="0.25">
      <c r="L242"/>
    </row>
    <row r="243" spans="12:12" x14ac:dyDescent="0.25">
      <c r="L243"/>
    </row>
    <row r="244" spans="12:12" x14ac:dyDescent="0.25">
      <c r="L244"/>
    </row>
    <row r="245" spans="12:12" x14ac:dyDescent="0.25">
      <c r="L245"/>
    </row>
    <row r="246" spans="12:12" x14ac:dyDescent="0.25">
      <c r="L246"/>
    </row>
    <row r="247" spans="12:12" x14ac:dyDescent="0.25">
      <c r="L247"/>
    </row>
    <row r="248" spans="12:12" x14ac:dyDescent="0.25">
      <c r="L248"/>
    </row>
    <row r="249" spans="12:12" x14ac:dyDescent="0.25">
      <c r="L249"/>
    </row>
    <row r="250" spans="12:12" x14ac:dyDescent="0.25">
      <c r="L250"/>
    </row>
    <row r="251" spans="12:12" x14ac:dyDescent="0.25">
      <c r="L251"/>
    </row>
    <row r="252" spans="12:12" x14ac:dyDescent="0.25">
      <c r="L252"/>
    </row>
    <row r="253" spans="12:12" x14ac:dyDescent="0.25">
      <c r="L253"/>
    </row>
    <row r="254" spans="12:12" x14ac:dyDescent="0.25">
      <c r="L254"/>
    </row>
    <row r="255" spans="12:12" x14ac:dyDescent="0.25">
      <c r="L255"/>
    </row>
    <row r="256" spans="12:12" x14ac:dyDescent="0.25">
      <c r="L256"/>
    </row>
    <row r="257" spans="12:12" x14ac:dyDescent="0.25">
      <c r="L257"/>
    </row>
    <row r="258" spans="12:12" x14ac:dyDescent="0.25">
      <c r="L258"/>
    </row>
    <row r="259" spans="12:12" x14ac:dyDescent="0.25">
      <c r="L259"/>
    </row>
    <row r="260" spans="12:12" x14ac:dyDescent="0.25">
      <c r="L260"/>
    </row>
    <row r="261" spans="12:12" x14ac:dyDescent="0.25">
      <c r="L261"/>
    </row>
    <row r="262" spans="12:12" x14ac:dyDescent="0.25">
      <c r="L262"/>
    </row>
    <row r="263" spans="12:12" x14ac:dyDescent="0.25">
      <c r="L263"/>
    </row>
    <row r="264" spans="12:12" x14ac:dyDescent="0.25">
      <c r="L264"/>
    </row>
    <row r="265" spans="12:12" x14ac:dyDescent="0.25">
      <c r="L265"/>
    </row>
    <row r="266" spans="12:12" x14ac:dyDescent="0.25">
      <c r="L266"/>
    </row>
    <row r="267" spans="12:12" x14ac:dyDescent="0.25">
      <c r="L267"/>
    </row>
    <row r="268" spans="12:12" x14ac:dyDescent="0.25">
      <c r="L268"/>
    </row>
    <row r="269" spans="12:12" x14ac:dyDescent="0.25">
      <c r="L269"/>
    </row>
    <row r="270" spans="12:12" x14ac:dyDescent="0.25">
      <c r="L270"/>
    </row>
    <row r="271" spans="12:12" x14ac:dyDescent="0.25">
      <c r="L271"/>
    </row>
    <row r="272" spans="12:12" x14ac:dyDescent="0.25">
      <c r="L272"/>
    </row>
  </sheetData>
  <mergeCells count="1">
    <mergeCell ref="D39:E39"/>
  </mergeCells>
  <hyperlinks>
    <hyperlink ref="B2" r:id="rId1" xr:uid="{BC96A1BE-75E7-4674-840B-7D5544193858}"/>
    <hyperlink ref="B6" r:id="rId2" xr:uid="{4A543F6B-6CAA-4D4D-AD37-90B57DD795FF}"/>
    <hyperlink ref="B7" r:id="rId3" xr:uid="{E9D280AA-547C-4F03-9779-EF7D584AF611}"/>
    <hyperlink ref="B22" r:id="rId4" xr:uid="{27FC8617-63FC-4FC3-8E5F-10809A0D3355}"/>
    <hyperlink ref="B27" r:id="rId5" xr:uid="{778EB455-208D-488D-BF2C-7279552F47A7}"/>
    <hyperlink ref="B29" r:id="rId6" xr:uid="{1C9FD673-256D-4D9E-8466-82C2626A7C59}"/>
    <hyperlink ref="B31" r:id="rId7" xr:uid="{26D5D027-F2F9-4A48-9D48-4C0A6B285C43}"/>
    <hyperlink ref="B33" r:id="rId8" xr:uid="{4DA6A23E-82E2-46AA-B1DF-C61C5A3C5715}"/>
    <hyperlink ref="B35" r:id="rId9" xr:uid="{6DCA6E04-48B5-4A21-A3A3-1DB09EC3C775}"/>
    <hyperlink ref="B49" r:id="rId10" xr:uid="{61F60855-7B1F-4B1C-BBA7-851435F5F6ED}"/>
  </hyperlinks>
  <pageMargins left="0.7" right="0.7" top="0.75" bottom="0.75" header="0.3" footer="0.3"/>
  <pageSetup orientation="portrait" r:id="rId11"/>
  <drawing r:id="rId12"/>
  <legacyDrawing r:id="rId1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ABD53-051B-449A-B470-933ABEFE6564}">
  <dimension ref="A2:M43"/>
  <sheetViews>
    <sheetView workbookViewId="0">
      <selection activeCell="A14" sqref="A14"/>
    </sheetView>
  </sheetViews>
  <sheetFormatPr defaultRowHeight="15" x14ac:dyDescent="0.25"/>
  <cols>
    <col min="1" max="1" width="64.140625" style="124" customWidth="1"/>
    <col min="2" max="4" width="9.140625" style="123"/>
    <col min="5" max="5" width="25.85546875" style="123" bestFit="1" customWidth="1"/>
    <col min="6" max="12" width="9.140625" style="123"/>
    <col min="13" max="13" width="36.42578125" style="123" bestFit="1" customWidth="1"/>
    <col min="14" max="16384" width="9.140625" style="123"/>
  </cols>
  <sheetData>
    <row r="2" spans="1:13" ht="45" x14ac:dyDescent="0.25">
      <c r="A2" s="124" t="s">
        <v>112</v>
      </c>
      <c r="B2" s="125" t="s">
        <v>114</v>
      </c>
      <c r="M2" s="123" t="s">
        <v>125</v>
      </c>
    </row>
    <row r="3" spans="1:13" ht="30" x14ac:dyDescent="0.25">
      <c r="A3" s="124" t="s">
        <v>113</v>
      </c>
      <c r="M3" s="123" t="s">
        <v>126</v>
      </c>
    </row>
    <row r="4" spans="1:13" x14ac:dyDescent="0.25">
      <c r="M4" s="123" t="s">
        <v>127</v>
      </c>
    </row>
    <row r="5" spans="1:13" x14ac:dyDescent="0.25">
      <c r="A5" s="124" t="s">
        <v>116</v>
      </c>
      <c r="B5" s="125" t="s">
        <v>115</v>
      </c>
      <c r="M5" s="123" t="s">
        <v>128</v>
      </c>
    </row>
    <row r="6" spans="1:13" x14ac:dyDescent="0.25">
      <c r="M6" s="123" t="s">
        <v>129</v>
      </c>
    </row>
    <row r="7" spans="1:13" x14ac:dyDescent="0.25">
      <c r="A7" s="126" t="s">
        <v>99</v>
      </c>
      <c r="B7" s="125" t="s">
        <v>117</v>
      </c>
      <c r="M7" s="123" t="s">
        <v>130</v>
      </c>
    </row>
    <row r="8" spans="1:13" x14ac:dyDescent="0.25">
      <c r="A8" s="124" t="s">
        <v>120</v>
      </c>
    </row>
    <row r="9" spans="1:13" x14ac:dyDescent="0.25">
      <c r="A9" s="124" t="s">
        <v>118</v>
      </c>
    </row>
    <row r="10" spans="1:13" x14ac:dyDescent="0.25">
      <c r="A10" s="124" t="s">
        <v>119</v>
      </c>
    </row>
    <row r="12" spans="1:13" x14ac:dyDescent="0.25">
      <c r="A12" s="124" t="s">
        <v>122</v>
      </c>
      <c r="B12" s="125" t="s">
        <v>121</v>
      </c>
    </row>
    <row r="14" spans="1:13" ht="65.25" customHeight="1" x14ac:dyDescent="0.25">
      <c r="A14" s="124" t="s">
        <v>123</v>
      </c>
      <c r="B14" s="125" t="s">
        <v>124</v>
      </c>
    </row>
    <row r="16" spans="1:13" x14ac:dyDescent="0.25">
      <c r="A16" s="126" t="s">
        <v>99</v>
      </c>
      <c r="B16" s="125" t="s">
        <v>117</v>
      </c>
    </row>
    <row r="17" spans="1:3" x14ac:dyDescent="0.25">
      <c r="A17" s="124" t="s">
        <v>131</v>
      </c>
    </row>
    <row r="18" spans="1:3" x14ac:dyDescent="0.25">
      <c r="A18" s="124" t="s">
        <v>132</v>
      </c>
    </row>
    <row r="19" spans="1:3" x14ac:dyDescent="0.25">
      <c r="A19" s="124" t="s">
        <v>133</v>
      </c>
    </row>
    <row r="21" spans="1:3" ht="45" x14ac:dyDescent="0.25">
      <c r="A21" s="124" t="s">
        <v>134</v>
      </c>
      <c r="B21" s="125" t="s">
        <v>117</v>
      </c>
    </row>
    <row r="22" spans="1:3" ht="30" x14ac:dyDescent="0.25">
      <c r="A22" s="124" t="s">
        <v>135</v>
      </c>
    </row>
    <row r="24" spans="1:3" ht="15.75" customHeight="1" x14ac:dyDescent="0.25">
      <c r="A24" s="124" t="s">
        <v>137</v>
      </c>
      <c r="B24" s="125" t="s">
        <v>136</v>
      </c>
    </row>
    <row r="26" spans="1:3" ht="75.75" customHeight="1" x14ac:dyDescent="0.25">
      <c r="A26" s="141" t="s">
        <v>138</v>
      </c>
      <c r="B26" s="125" t="s">
        <v>139</v>
      </c>
    </row>
    <row r="28" spans="1:3" ht="165" x14ac:dyDescent="0.25">
      <c r="A28" s="124" t="s">
        <v>140</v>
      </c>
      <c r="B28" s="125" t="s">
        <v>141</v>
      </c>
    </row>
    <row r="30" spans="1:3" ht="180" x14ac:dyDescent="0.25">
      <c r="A30" s="124" t="s">
        <v>142</v>
      </c>
      <c r="B30" s="125" t="s">
        <v>143</v>
      </c>
    </row>
    <row r="32" spans="1:3" x14ac:dyDescent="0.25">
      <c r="B32" s="123" t="s">
        <v>156</v>
      </c>
      <c r="C32" s="123" t="s">
        <v>157</v>
      </c>
    </row>
    <row r="33" spans="1:5" x14ac:dyDescent="0.25">
      <c r="A33" s="124" t="s">
        <v>158</v>
      </c>
      <c r="B33" s="123">
        <v>8.2129999999999998E-3</v>
      </c>
      <c r="C33" s="123">
        <v>9.025E-3</v>
      </c>
    </row>
    <row r="35" spans="1:5" x14ac:dyDescent="0.25">
      <c r="A35" s="124" t="s">
        <v>181</v>
      </c>
      <c r="B35" s="123">
        <v>162526</v>
      </c>
      <c r="C35" s="123">
        <v>144757</v>
      </c>
      <c r="D35" s="140">
        <f t="shared" ref="D35:E37" si="0">B35*B$33</f>
        <v>1334.8260379999999</v>
      </c>
      <c r="E35" s="140">
        <f t="shared" si="0"/>
        <v>1306.4319250000001</v>
      </c>
    </row>
    <row r="36" spans="1:5" x14ac:dyDescent="0.25">
      <c r="A36" s="124" t="s">
        <v>145</v>
      </c>
      <c r="B36" s="123">
        <v>11868</v>
      </c>
      <c r="C36" s="123">
        <v>11932</v>
      </c>
      <c r="D36" s="140">
        <f t="shared" si="0"/>
        <v>97.471884000000003</v>
      </c>
      <c r="E36" s="140">
        <f t="shared" si="0"/>
        <v>107.6863</v>
      </c>
    </row>
    <row r="37" spans="1:5" x14ac:dyDescent="0.25">
      <c r="A37" s="124" t="s">
        <v>182</v>
      </c>
      <c r="B37" s="123">
        <v>10734</v>
      </c>
      <c r="C37" s="123">
        <v>10638</v>
      </c>
      <c r="D37" s="140">
        <f t="shared" si="0"/>
        <v>88.158342000000005</v>
      </c>
      <c r="E37" s="140">
        <f t="shared" si="0"/>
        <v>96.007949999999994</v>
      </c>
    </row>
    <row r="39" spans="1:5" ht="30" x14ac:dyDescent="0.25">
      <c r="A39" s="124" t="s">
        <v>183</v>
      </c>
      <c r="B39" s="125" t="s">
        <v>136</v>
      </c>
    </row>
    <row r="41" spans="1:5" ht="45" x14ac:dyDescent="0.25">
      <c r="A41" s="124" t="s">
        <v>184</v>
      </c>
      <c r="B41" s="125" t="s">
        <v>185</v>
      </c>
    </row>
    <row r="43" spans="1:5" x14ac:dyDescent="0.25">
      <c r="A43" s="124" t="s">
        <v>187</v>
      </c>
      <c r="B43" s="125" t="s">
        <v>186</v>
      </c>
    </row>
  </sheetData>
  <hyperlinks>
    <hyperlink ref="B2" r:id="rId1" xr:uid="{4481065C-1577-464C-B5C8-03776F8C4311}"/>
    <hyperlink ref="B5" r:id="rId2" xr:uid="{4023BD42-87F6-4A20-96EA-39F348124E0A}"/>
    <hyperlink ref="B7" r:id="rId3" xr:uid="{105323EA-B566-43D6-9015-772D54E974BB}"/>
    <hyperlink ref="B12" r:id="rId4" xr:uid="{C9D9F38E-E198-42CD-B6CC-59ED7B517961}"/>
    <hyperlink ref="B14" r:id="rId5" xr:uid="{4B58732C-8917-4498-A1C7-B111E2C98879}"/>
    <hyperlink ref="B16" r:id="rId6" xr:uid="{BFFAA03D-E82E-4222-B08C-5A1170E11C3B}"/>
    <hyperlink ref="B21" r:id="rId7" xr:uid="{38A5179A-53E1-4E76-9EBF-2B432E454679}"/>
    <hyperlink ref="B30" r:id="rId8" xr:uid="{67219349-B176-4737-A4AB-3817704A18C1}"/>
    <hyperlink ref="B28" r:id="rId9" xr:uid="{08DD28A7-82E8-4DB3-8A07-D25DFFD8FBE5}"/>
    <hyperlink ref="B26" r:id="rId10" xr:uid="{1DD9DAA7-DEEB-4AE4-A59D-BDC9AB290CBE}"/>
    <hyperlink ref="B24" r:id="rId11" xr:uid="{A486114C-2588-48E2-BD37-5909AF4DBE32}"/>
    <hyperlink ref="B39" r:id="rId12" xr:uid="{E399864F-0725-40A9-BEEB-8887E8FE89AE}"/>
    <hyperlink ref="B41" r:id="rId13" xr:uid="{5CDF3436-9968-4B94-AD32-8AB11C9C20E9}"/>
    <hyperlink ref="B43" r:id="rId14" xr:uid="{7EBFFF7C-D05C-4F59-9598-C32165E957BF}"/>
  </hyperlinks>
  <pageMargins left="0.7" right="0.7" top="0.75" bottom="0.75" header="0.3" footer="0.3"/>
  <pageSetup orientation="portrait" r:id="rId15"/>
  <legacyDrawing r:id="rId1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0825E-1917-4527-9C48-96935F3AA7F0}">
  <dimension ref="A2:L65"/>
  <sheetViews>
    <sheetView workbookViewId="0">
      <selection activeCell="A8" sqref="A8"/>
    </sheetView>
  </sheetViews>
  <sheetFormatPr defaultRowHeight="15" x14ac:dyDescent="0.25"/>
  <cols>
    <col min="1" max="1" width="43.5703125" style="124" customWidth="1"/>
    <col min="2" max="2" width="29" style="123" customWidth="1"/>
    <col min="3" max="3" width="28.42578125" style="123" customWidth="1"/>
    <col min="4" max="6" width="9.140625" style="123"/>
    <col min="7" max="7" width="26.28515625" style="123" customWidth="1"/>
    <col min="8" max="8" width="9.140625" style="123"/>
    <col min="9" max="9" width="10" style="123" bestFit="1" customWidth="1"/>
    <col min="10" max="16384" width="9.140625" style="123"/>
  </cols>
  <sheetData>
    <row r="2" spans="1:12" ht="30" x14ac:dyDescent="0.25">
      <c r="A2" s="124" t="s">
        <v>188</v>
      </c>
      <c r="B2" s="125" t="s">
        <v>189</v>
      </c>
      <c r="L2" s="123" t="s">
        <v>125</v>
      </c>
    </row>
    <row r="3" spans="1:12" x14ac:dyDescent="0.25">
      <c r="H3" s="123">
        <v>157</v>
      </c>
      <c r="L3" s="123" t="s">
        <v>126</v>
      </c>
    </row>
    <row r="4" spans="1:12" ht="90" x14ac:dyDescent="0.25">
      <c r="A4" s="124" t="s">
        <v>190</v>
      </c>
      <c r="B4" s="125" t="s">
        <v>189</v>
      </c>
      <c r="L4" s="123" t="s">
        <v>127</v>
      </c>
    </row>
    <row r="5" spans="1:12" x14ac:dyDescent="0.25">
      <c r="F5" s="123" t="s">
        <v>243</v>
      </c>
      <c r="G5" s="129">
        <v>30000</v>
      </c>
      <c r="H5" s="129">
        <f>G5+60000</f>
        <v>90000</v>
      </c>
      <c r="I5" s="129"/>
      <c r="L5" s="123" t="s">
        <v>128</v>
      </c>
    </row>
    <row r="6" spans="1:12" ht="30" x14ac:dyDescent="0.25">
      <c r="A6" s="124" t="s">
        <v>191</v>
      </c>
      <c r="F6" s="123" t="s">
        <v>244</v>
      </c>
      <c r="G6" s="129">
        <v>9500</v>
      </c>
      <c r="H6" s="129">
        <f>G6+10000</f>
        <v>19500</v>
      </c>
      <c r="I6" s="129">
        <v>40000</v>
      </c>
      <c r="L6" s="123" t="s">
        <v>129</v>
      </c>
    </row>
    <row r="7" spans="1:12" ht="30" x14ac:dyDescent="0.25">
      <c r="A7" s="124" t="s">
        <v>192</v>
      </c>
      <c r="B7" s="123" t="s">
        <v>242</v>
      </c>
      <c r="F7" s="123" t="s">
        <v>245</v>
      </c>
      <c r="G7" s="129">
        <v>60000</v>
      </c>
      <c r="H7" s="129">
        <f>G7+10000</f>
        <v>70000</v>
      </c>
      <c r="I7" s="128">
        <f>200000-169500</f>
        <v>30500</v>
      </c>
      <c r="L7" s="123" t="s">
        <v>130</v>
      </c>
    </row>
    <row r="8" spans="1:12" x14ac:dyDescent="0.25">
      <c r="I8" s="129">
        <f>H7+H5+I6</f>
        <v>200000</v>
      </c>
    </row>
    <row r="9" spans="1:12" ht="30" x14ac:dyDescent="0.25">
      <c r="A9" s="124" t="s">
        <v>193</v>
      </c>
      <c r="B9" s="125" t="s">
        <v>194</v>
      </c>
    </row>
    <row r="11" spans="1:12" ht="90" x14ac:dyDescent="0.25">
      <c r="A11" s="124" t="s">
        <v>195</v>
      </c>
      <c r="B11" s="125" t="s">
        <v>196</v>
      </c>
    </row>
    <row r="13" spans="1:12" x14ac:dyDescent="0.25">
      <c r="A13" s="124" t="s">
        <v>197</v>
      </c>
      <c r="B13" s="125" t="s">
        <v>198</v>
      </c>
    </row>
    <row r="15" spans="1:12" x14ac:dyDescent="0.25">
      <c r="A15" s="124" t="s">
        <v>199</v>
      </c>
      <c r="B15" s="125" t="s">
        <v>196</v>
      </c>
    </row>
    <row r="18" spans="2:9" x14ac:dyDescent="0.25">
      <c r="B18" s="142" t="s">
        <v>200</v>
      </c>
      <c r="C18" s="142" t="s">
        <v>201</v>
      </c>
      <c r="D18" s="142" t="s">
        <v>202</v>
      </c>
      <c r="E18" s="142" t="s">
        <v>203</v>
      </c>
      <c r="G18" s="215" t="s">
        <v>234</v>
      </c>
      <c r="H18" s="216"/>
    </row>
    <row r="19" spans="2:9" x14ac:dyDescent="0.25">
      <c r="B19" s="142" t="s">
        <v>204</v>
      </c>
      <c r="C19" s="142" t="s">
        <v>212</v>
      </c>
      <c r="D19" s="142" t="s">
        <v>216</v>
      </c>
      <c r="E19" s="142" t="s">
        <v>216</v>
      </c>
      <c r="G19" s="142" t="s">
        <v>220</v>
      </c>
      <c r="H19" s="142" t="s">
        <v>227</v>
      </c>
    </row>
    <row r="20" spans="2:9" x14ac:dyDescent="0.25">
      <c r="B20" s="142" t="s">
        <v>205</v>
      </c>
      <c r="C20" s="142" t="s">
        <v>213</v>
      </c>
      <c r="D20" s="142">
        <v>32</v>
      </c>
      <c r="E20" s="142">
        <v>34</v>
      </c>
      <c r="G20" s="142" t="s">
        <v>221</v>
      </c>
      <c r="H20" s="142" t="s">
        <v>228</v>
      </c>
    </row>
    <row r="21" spans="2:9" x14ac:dyDescent="0.25">
      <c r="B21" s="142" t="s">
        <v>206</v>
      </c>
      <c r="C21" s="142" t="s">
        <v>213</v>
      </c>
      <c r="D21" s="142">
        <v>20</v>
      </c>
      <c r="E21" s="142">
        <v>18</v>
      </c>
      <c r="G21" s="142" t="s">
        <v>222</v>
      </c>
      <c r="H21" s="142" t="s">
        <v>229</v>
      </c>
    </row>
    <row r="22" spans="2:9" x14ac:dyDescent="0.25">
      <c r="B22" s="142" t="s">
        <v>207</v>
      </c>
      <c r="C22" s="142" t="s">
        <v>214</v>
      </c>
      <c r="D22" s="142">
        <v>450</v>
      </c>
      <c r="E22" s="142">
        <v>450</v>
      </c>
      <c r="G22" s="142" t="s">
        <v>223</v>
      </c>
      <c r="H22" s="142" t="s">
        <v>230</v>
      </c>
    </row>
    <row r="23" spans="2:9" x14ac:dyDescent="0.25">
      <c r="B23" s="142" t="s">
        <v>208</v>
      </c>
      <c r="C23" s="142"/>
      <c r="D23" s="142"/>
      <c r="E23" s="142"/>
      <c r="G23" s="142" t="s">
        <v>224</v>
      </c>
      <c r="H23" s="144" t="s">
        <v>231</v>
      </c>
    </row>
    <row r="24" spans="2:9" x14ac:dyDescent="0.25">
      <c r="B24" s="142" t="s">
        <v>209</v>
      </c>
      <c r="C24" s="142" t="s">
        <v>215</v>
      </c>
      <c r="D24" s="214" t="s">
        <v>217</v>
      </c>
      <c r="E24" s="214"/>
      <c r="G24" s="142" t="s">
        <v>225</v>
      </c>
      <c r="H24" s="142" t="s">
        <v>232</v>
      </c>
    </row>
    <row r="25" spans="2:9" x14ac:dyDescent="0.25">
      <c r="B25" s="142" t="s">
        <v>210</v>
      </c>
      <c r="C25" s="142" t="s">
        <v>215</v>
      </c>
      <c r="D25" s="214" t="s">
        <v>218</v>
      </c>
      <c r="E25" s="214"/>
      <c r="G25" s="142" t="s">
        <v>226</v>
      </c>
      <c r="H25" s="142" t="s">
        <v>233</v>
      </c>
    </row>
    <row r="26" spans="2:9" x14ac:dyDescent="0.25">
      <c r="B26" s="142" t="s">
        <v>211</v>
      </c>
      <c r="C26" s="142" t="s">
        <v>215</v>
      </c>
      <c r="D26" s="214" t="s">
        <v>219</v>
      </c>
      <c r="E26" s="214"/>
    </row>
    <row r="28" spans="2:9" x14ac:dyDescent="0.25">
      <c r="B28" s="214" t="s">
        <v>179</v>
      </c>
      <c r="C28" s="214" t="s">
        <v>235</v>
      </c>
      <c r="D28" s="214" t="s">
        <v>236</v>
      </c>
      <c r="E28" s="214" t="s">
        <v>237</v>
      </c>
      <c r="F28" s="214" t="s">
        <v>238</v>
      </c>
      <c r="G28" s="214" t="s">
        <v>208</v>
      </c>
      <c r="H28" s="214"/>
      <c r="I28" s="214"/>
    </row>
    <row r="29" spans="2:9" x14ac:dyDescent="0.25">
      <c r="B29" s="214"/>
      <c r="C29" s="214"/>
      <c r="D29" s="214"/>
      <c r="E29" s="214"/>
      <c r="F29" s="214"/>
      <c r="G29" s="142" t="s">
        <v>239</v>
      </c>
      <c r="H29" s="142" t="s">
        <v>240</v>
      </c>
      <c r="I29" s="142" t="s">
        <v>241</v>
      </c>
    </row>
    <row r="30" spans="2:9" x14ac:dyDescent="0.25">
      <c r="B30" s="142" t="s">
        <v>202</v>
      </c>
      <c r="C30" s="142" t="s">
        <v>216</v>
      </c>
      <c r="D30" s="142">
        <v>32</v>
      </c>
      <c r="E30" s="142">
        <v>20</v>
      </c>
      <c r="F30" s="142">
        <v>450</v>
      </c>
      <c r="G30" s="143" t="s">
        <v>217</v>
      </c>
      <c r="H30" s="142" t="s">
        <v>218</v>
      </c>
      <c r="I30" s="142" t="s">
        <v>219</v>
      </c>
    </row>
    <row r="31" spans="2:9" x14ac:dyDescent="0.25">
      <c r="B31" s="142" t="s">
        <v>203</v>
      </c>
      <c r="C31" s="142" t="s">
        <v>216</v>
      </c>
      <c r="D31" s="142">
        <v>34</v>
      </c>
      <c r="E31" s="142">
        <v>18</v>
      </c>
      <c r="F31" s="142">
        <v>450</v>
      </c>
      <c r="G31" s="143"/>
      <c r="H31" s="143"/>
      <c r="I31" s="142"/>
    </row>
    <row r="33" spans="1:3" x14ac:dyDescent="0.25">
      <c r="A33" s="124" t="s">
        <v>246</v>
      </c>
      <c r="B33" s="125" t="s">
        <v>247</v>
      </c>
    </row>
    <row r="35" spans="1:3" x14ac:dyDescent="0.25">
      <c r="B35" s="123" t="s">
        <v>248</v>
      </c>
    </row>
    <row r="39" spans="1:3" x14ac:dyDescent="0.25">
      <c r="A39" s="124" t="s">
        <v>249</v>
      </c>
      <c r="B39" s="125" t="s">
        <v>250</v>
      </c>
    </row>
    <row r="44" spans="1:3" x14ac:dyDescent="0.25">
      <c r="A44" s="124" t="s">
        <v>251</v>
      </c>
      <c r="B44" s="125" t="s">
        <v>247</v>
      </c>
    </row>
    <row r="46" spans="1:3" x14ac:dyDescent="0.25">
      <c r="A46" s="145" t="s">
        <v>252</v>
      </c>
      <c r="B46" s="146" t="s">
        <v>259</v>
      </c>
      <c r="C46" s="123">
        <v>2021</v>
      </c>
    </row>
    <row r="47" spans="1:3" x14ac:dyDescent="0.25">
      <c r="A47" s="124" t="s">
        <v>253</v>
      </c>
      <c r="B47" s="147">
        <v>0.3478</v>
      </c>
      <c r="C47" s="147">
        <v>0.34560000000000002</v>
      </c>
    </row>
    <row r="48" spans="1:3" x14ac:dyDescent="0.25">
      <c r="A48" s="124" t="s">
        <v>254</v>
      </c>
      <c r="B48" s="147">
        <v>0.1784</v>
      </c>
      <c r="C48" s="147">
        <v>0.18</v>
      </c>
    </row>
    <row r="49" spans="1:5" x14ac:dyDescent="0.25">
      <c r="A49" s="124" t="s">
        <v>255</v>
      </c>
      <c r="B49" s="147">
        <v>0.17749999999999999</v>
      </c>
      <c r="C49" s="147">
        <v>0.17630000000000001</v>
      </c>
    </row>
    <row r="50" spans="1:5" x14ac:dyDescent="0.25">
      <c r="A50" s="148" t="s">
        <v>256</v>
      </c>
      <c r="B50" s="149">
        <v>0.14599999999999999</v>
      </c>
      <c r="C50" s="147">
        <v>0.14799999999999999</v>
      </c>
    </row>
    <row r="51" spans="1:5" x14ac:dyDescent="0.25">
      <c r="A51" s="124" t="s">
        <v>257</v>
      </c>
      <c r="B51" s="147">
        <v>0.1346</v>
      </c>
      <c r="C51" s="147">
        <v>0.13320000000000001</v>
      </c>
    </row>
    <row r="52" spans="1:5" x14ac:dyDescent="0.25">
      <c r="A52" s="124" t="s">
        <v>258</v>
      </c>
      <c r="B52" s="147">
        <v>5.8999999999999999E-3</v>
      </c>
      <c r="C52" s="147">
        <v>6.1999999999999998E-3</v>
      </c>
    </row>
    <row r="53" spans="1:5" x14ac:dyDescent="0.25">
      <c r="A53" s="124" t="s">
        <v>274</v>
      </c>
      <c r="B53" s="147">
        <v>4.3E-3</v>
      </c>
      <c r="C53" s="147">
        <v>4.7999999999999996E-3</v>
      </c>
    </row>
    <row r="54" spans="1:5" x14ac:dyDescent="0.25">
      <c r="A54" s="124" t="s">
        <v>38</v>
      </c>
      <c r="B54" s="147">
        <v>5.4999999999999997E-3</v>
      </c>
      <c r="C54" s="147">
        <f>100%-SUM(C47:C53)</f>
        <v>5.8999999999999053E-3</v>
      </c>
    </row>
    <row r="56" spans="1:5" x14ac:dyDescent="0.25">
      <c r="A56" s="124" t="s">
        <v>159</v>
      </c>
      <c r="B56" s="123">
        <v>7608362</v>
      </c>
      <c r="C56" s="128">
        <f>B56/10^3</f>
        <v>7608.3620000000001</v>
      </c>
      <c r="D56" s="123">
        <v>4881333</v>
      </c>
      <c r="E56" s="128">
        <f>D56/10^3</f>
        <v>4881.3329999999996</v>
      </c>
    </row>
    <row r="57" spans="1:5" x14ac:dyDescent="0.25">
      <c r="A57" s="124" t="s">
        <v>260</v>
      </c>
      <c r="B57" s="129">
        <v>2972853</v>
      </c>
      <c r="C57" s="128">
        <f>B57/10^3</f>
        <v>2972.8530000000001</v>
      </c>
      <c r="D57" s="123">
        <v>816552</v>
      </c>
      <c r="E57" s="128">
        <f>D57/10^3</f>
        <v>816.55200000000002</v>
      </c>
    </row>
    <row r="59" spans="1:5" x14ac:dyDescent="0.25">
      <c r="A59" s="127" t="s">
        <v>261</v>
      </c>
      <c r="B59" s="127" t="s">
        <v>262</v>
      </c>
    </row>
    <row r="60" spans="1:5" x14ac:dyDescent="0.25">
      <c r="A60" s="123" t="s">
        <v>263</v>
      </c>
      <c r="B60" s="123" t="s">
        <v>264</v>
      </c>
    </row>
    <row r="61" spans="1:5" x14ac:dyDescent="0.25">
      <c r="A61" s="123" t="s">
        <v>265</v>
      </c>
      <c r="B61" s="123" t="s">
        <v>266</v>
      </c>
    </row>
    <row r="62" spans="1:5" x14ac:dyDescent="0.25">
      <c r="A62" s="123" t="s">
        <v>267</v>
      </c>
      <c r="B62" s="123" t="s">
        <v>268</v>
      </c>
    </row>
    <row r="63" spans="1:5" x14ac:dyDescent="0.25">
      <c r="A63" s="123" t="s">
        <v>269</v>
      </c>
      <c r="B63" s="123" t="s">
        <v>270</v>
      </c>
    </row>
    <row r="64" spans="1:5" x14ac:dyDescent="0.25">
      <c r="A64" s="123" t="s">
        <v>271</v>
      </c>
      <c r="B64" s="123" t="s">
        <v>272</v>
      </c>
    </row>
    <row r="65" spans="1:2" x14ac:dyDescent="0.25">
      <c r="A65" s="123" t="s">
        <v>38</v>
      </c>
      <c r="B65" s="123" t="s">
        <v>273</v>
      </c>
    </row>
  </sheetData>
  <mergeCells count="10">
    <mergeCell ref="B28:B29"/>
    <mergeCell ref="G18:H18"/>
    <mergeCell ref="G28:I28"/>
    <mergeCell ref="C28:C29"/>
    <mergeCell ref="D28:D29"/>
    <mergeCell ref="E28:E29"/>
    <mergeCell ref="F28:F29"/>
    <mergeCell ref="D24:E24"/>
    <mergeCell ref="D25:E25"/>
    <mergeCell ref="D26:E26"/>
  </mergeCells>
  <phoneticPr fontId="7" type="noConversion"/>
  <hyperlinks>
    <hyperlink ref="B2" r:id="rId1" xr:uid="{FF2305EC-19B2-4302-A399-E4B3A316DB42}"/>
    <hyperlink ref="B4" r:id="rId2" xr:uid="{CB62013C-C848-45F8-9950-FE458A941EE7}"/>
    <hyperlink ref="B9" r:id="rId3" xr:uid="{86EA7665-263F-4C85-8816-3A951CC9F4AB}"/>
    <hyperlink ref="B11" r:id="rId4" xr:uid="{808B3D8B-AE4D-4618-AA8E-1D85D6B4F3F9}"/>
    <hyperlink ref="B13" r:id="rId5" xr:uid="{818BEAD3-EC05-4A19-8213-C42E47E5ED9E}"/>
    <hyperlink ref="B15" r:id="rId6" xr:uid="{33C738F6-945F-4973-844B-55794146885F}"/>
    <hyperlink ref="B33" r:id="rId7" xr:uid="{0375A4FE-1C2F-4B28-AD35-AD619E54C8D5}"/>
    <hyperlink ref="B39" r:id="rId8" xr:uid="{D4E2E9A5-5200-4920-B0A5-20077C3BBAE3}"/>
    <hyperlink ref="B44" r:id="rId9" xr:uid="{ADAB291E-3869-4049-874B-53A310342B22}"/>
  </hyperlinks>
  <pageMargins left="0.7" right="0.7" top="0.75" bottom="0.75" header="0.3" footer="0.3"/>
  <drawing r:id="rId10"/>
  <legacyDrawing r:id="rId1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4FD3E-9A08-48DC-B0D4-51D5729038B5}">
  <dimension ref="A2:H43"/>
  <sheetViews>
    <sheetView topLeftCell="A13" workbookViewId="0">
      <selection activeCell="D10" sqref="D10"/>
    </sheetView>
  </sheetViews>
  <sheetFormatPr defaultRowHeight="15" x14ac:dyDescent="0.25"/>
  <cols>
    <col min="1" max="1" width="47.5703125" style="150" customWidth="1"/>
    <col min="2" max="2" width="11.7109375" style="3" customWidth="1"/>
    <col min="3" max="3" width="31.5703125" style="3" customWidth="1"/>
    <col min="4" max="4" width="19.28515625" style="3" customWidth="1"/>
    <col min="5" max="5" width="21" style="3" customWidth="1"/>
    <col min="6" max="6" width="9.28515625" style="3" customWidth="1"/>
    <col min="7" max="7" width="9.42578125" style="3" customWidth="1"/>
    <col min="8" max="8" width="11.42578125" style="3" customWidth="1"/>
    <col min="9" max="9" width="22.7109375" style="3" customWidth="1"/>
    <col min="10" max="16384" width="9.140625" style="3"/>
  </cols>
  <sheetData>
    <row r="2" spans="1:8" x14ac:dyDescent="0.25">
      <c r="A2" s="213" t="s">
        <v>179</v>
      </c>
      <c r="B2" s="213"/>
      <c r="C2" s="3" t="s">
        <v>281</v>
      </c>
      <c r="D2" s="3" t="s">
        <v>282</v>
      </c>
      <c r="E2" s="3" t="s">
        <v>283</v>
      </c>
      <c r="F2" s="157" t="s">
        <v>312</v>
      </c>
    </row>
    <row r="3" spans="1:8" ht="30" x14ac:dyDescent="0.25">
      <c r="A3" s="213" t="s">
        <v>180</v>
      </c>
      <c r="B3" s="213"/>
      <c r="C3" s="150" t="s">
        <v>302</v>
      </c>
      <c r="D3" s="150" t="s">
        <v>303</v>
      </c>
      <c r="E3" s="150" t="s">
        <v>304</v>
      </c>
    </row>
    <row r="4" spans="1:8" x14ac:dyDescent="0.25">
      <c r="A4" s="213" t="s">
        <v>284</v>
      </c>
      <c r="B4" s="213"/>
      <c r="C4" s="3" t="s">
        <v>285</v>
      </c>
      <c r="D4" s="3" t="s">
        <v>285</v>
      </c>
      <c r="E4" s="3" t="s">
        <v>285</v>
      </c>
      <c r="H4" s="3" t="s">
        <v>125</v>
      </c>
    </row>
    <row r="5" spans="1:8" x14ac:dyDescent="0.25">
      <c r="A5" s="213" t="s">
        <v>305</v>
      </c>
      <c r="B5" s="3" t="s">
        <v>286</v>
      </c>
      <c r="C5" s="3" t="s">
        <v>287</v>
      </c>
      <c r="D5" s="3" t="s">
        <v>288</v>
      </c>
      <c r="E5" s="3" t="s">
        <v>289</v>
      </c>
      <c r="H5" s="3" t="s">
        <v>126</v>
      </c>
    </row>
    <row r="6" spans="1:8" x14ac:dyDescent="0.25">
      <c r="A6" s="213"/>
      <c r="B6" s="3" t="s">
        <v>306</v>
      </c>
      <c r="C6" s="3" t="s">
        <v>290</v>
      </c>
      <c r="D6" s="3" t="s">
        <v>291</v>
      </c>
      <c r="E6" s="3" t="s">
        <v>292</v>
      </c>
      <c r="H6" s="3" t="s">
        <v>127</v>
      </c>
    </row>
    <row r="7" spans="1:8" x14ac:dyDescent="0.25">
      <c r="A7" s="213"/>
      <c r="B7" s="3" t="s">
        <v>307</v>
      </c>
      <c r="C7" s="155" t="s">
        <v>309</v>
      </c>
      <c r="D7" s="3" t="s">
        <v>293</v>
      </c>
      <c r="E7" s="3" t="s">
        <v>292</v>
      </c>
      <c r="H7" s="3" t="s">
        <v>128</v>
      </c>
    </row>
    <row r="8" spans="1:8" x14ac:dyDescent="0.25">
      <c r="A8" s="213"/>
      <c r="B8" s="3" t="s">
        <v>308</v>
      </c>
      <c r="C8" s="156" t="s">
        <v>310</v>
      </c>
      <c r="D8" s="155" t="s">
        <v>311</v>
      </c>
      <c r="E8" s="3" t="s">
        <v>292</v>
      </c>
      <c r="H8" s="3" t="s">
        <v>129</v>
      </c>
    </row>
    <row r="9" spans="1:8" x14ac:dyDescent="0.25">
      <c r="A9" s="213" t="s">
        <v>294</v>
      </c>
      <c r="B9" s="213"/>
      <c r="C9" s="3" t="s">
        <v>295</v>
      </c>
      <c r="D9" s="3" t="s">
        <v>296</v>
      </c>
      <c r="E9" s="3" t="s">
        <v>297</v>
      </c>
      <c r="H9" s="3" t="s">
        <v>130</v>
      </c>
    </row>
    <row r="10" spans="1:8" ht="90" x14ac:dyDescent="0.25">
      <c r="A10" s="3" t="s">
        <v>298</v>
      </c>
      <c r="C10" s="150" t="s">
        <v>299</v>
      </c>
      <c r="D10" s="150" t="s">
        <v>300</v>
      </c>
      <c r="E10" s="150" t="s">
        <v>301</v>
      </c>
    </row>
    <row r="12" spans="1:8" x14ac:dyDescent="0.25">
      <c r="A12" s="3" t="s">
        <v>313</v>
      </c>
      <c r="B12" s="157" t="s">
        <v>312</v>
      </c>
    </row>
    <row r="14" spans="1:8" ht="120" x14ac:dyDescent="0.25">
      <c r="A14" s="150" t="s">
        <v>314</v>
      </c>
      <c r="B14" s="157" t="s">
        <v>312</v>
      </c>
    </row>
    <row r="16" spans="1:8" ht="45" x14ac:dyDescent="0.25">
      <c r="A16" s="150" t="s">
        <v>315</v>
      </c>
      <c r="B16" s="157" t="s">
        <v>312</v>
      </c>
    </row>
    <row r="18" spans="1:3" ht="30" x14ac:dyDescent="0.25">
      <c r="A18" s="150" t="s">
        <v>316</v>
      </c>
      <c r="B18" s="157" t="s">
        <v>317</v>
      </c>
    </row>
    <row r="20" spans="1:3" ht="75" x14ac:dyDescent="0.25">
      <c r="A20" s="150" t="s">
        <v>318</v>
      </c>
      <c r="B20" s="157" t="s">
        <v>319</v>
      </c>
    </row>
    <row r="22" spans="1:3" ht="90" x14ac:dyDescent="0.25">
      <c r="A22" s="150" t="s">
        <v>320</v>
      </c>
      <c r="B22" s="157" t="s">
        <v>321</v>
      </c>
    </row>
    <row r="24" spans="1:3" ht="45" x14ac:dyDescent="0.25">
      <c r="A24" s="150" t="s">
        <v>322</v>
      </c>
      <c r="B24" s="157" t="s">
        <v>323</v>
      </c>
    </row>
    <row r="26" spans="1:3" ht="60" x14ac:dyDescent="0.25">
      <c r="A26" s="158" t="s">
        <v>324</v>
      </c>
      <c r="B26" s="157" t="s">
        <v>325</v>
      </c>
    </row>
    <row r="28" spans="1:3" x14ac:dyDescent="0.25">
      <c r="A28" s="150" t="s">
        <v>89</v>
      </c>
      <c r="B28" s="157" t="s">
        <v>325</v>
      </c>
    </row>
    <row r="31" spans="1:3" x14ac:dyDescent="0.25">
      <c r="A31" s="124"/>
      <c r="B31" s="123" t="s">
        <v>156</v>
      </c>
      <c r="C31" s="123" t="s">
        <v>157</v>
      </c>
    </row>
    <row r="32" spans="1:3" x14ac:dyDescent="0.25">
      <c r="A32" s="124" t="s">
        <v>158</v>
      </c>
      <c r="B32" s="123">
        <v>8.2129999999999998E-3</v>
      </c>
      <c r="C32" s="123">
        <v>9.025E-3</v>
      </c>
    </row>
    <row r="35" spans="1:5" x14ac:dyDescent="0.25">
      <c r="A35" s="150" t="s">
        <v>327</v>
      </c>
      <c r="B35" s="3" t="s">
        <v>156</v>
      </c>
      <c r="C35" s="3" t="s">
        <v>157</v>
      </c>
      <c r="D35" s="3" t="s">
        <v>328</v>
      </c>
      <c r="E35" s="3" t="s">
        <v>328</v>
      </c>
    </row>
    <row r="36" spans="1:5" x14ac:dyDescent="0.25">
      <c r="A36" s="150" t="s">
        <v>89</v>
      </c>
      <c r="B36" s="159">
        <v>369293</v>
      </c>
      <c r="C36" s="159">
        <v>273163</v>
      </c>
      <c r="D36" s="161">
        <f>B36*B32</f>
        <v>3033.0034089999999</v>
      </c>
      <c r="E36" s="161">
        <f>C36*C32</f>
        <v>2465.2960750000002</v>
      </c>
    </row>
    <row r="37" spans="1:5" x14ac:dyDescent="0.25">
      <c r="A37" s="150" t="s">
        <v>330</v>
      </c>
      <c r="B37" s="159">
        <v>29062</v>
      </c>
      <c r="C37" s="159">
        <v>-15921</v>
      </c>
      <c r="D37" s="161">
        <f>B37*B32</f>
        <v>238.686206</v>
      </c>
      <c r="E37" s="161">
        <f>C37*C32</f>
        <v>-143.68702500000001</v>
      </c>
    </row>
    <row r="38" spans="1:5" x14ac:dyDescent="0.25">
      <c r="A38" s="150" t="s">
        <v>326</v>
      </c>
      <c r="B38" s="159">
        <v>33675</v>
      </c>
      <c r="C38" s="159">
        <v>-12926</v>
      </c>
      <c r="D38" s="161">
        <f>B38*B32</f>
        <v>276.57277499999998</v>
      </c>
      <c r="E38" s="161">
        <f>C38*C32</f>
        <v>-116.65715</v>
      </c>
    </row>
    <row r="40" spans="1:5" x14ac:dyDescent="0.25">
      <c r="A40" s="150" t="s">
        <v>332</v>
      </c>
      <c r="B40" s="3">
        <v>200</v>
      </c>
      <c r="C40" s="160">
        <f>B40/$B$43</f>
        <v>0.54200542005420049</v>
      </c>
    </row>
    <row r="41" spans="1:5" x14ac:dyDescent="0.25">
      <c r="A41" s="150" t="s">
        <v>331</v>
      </c>
      <c r="B41" s="3">
        <v>159</v>
      </c>
      <c r="C41" s="160">
        <f t="shared" ref="C41:C42" si="0">B41/$B$43</f>
        <v>0.43089430894308944</v>
      </c>
    </row>
    <row r="42" spans="1:5" x14ac:dyDescent="0.25">
      <c r="A42" s="150" t="s">
        <v>329</v>
      </c>
      <c r="B42" s="3">
        <v>10</v>
      </c>
      <c r="C42" s="160">
        <f t="shared" si="0"/>
        <v>2.7100271002710029E-2</v>
      </c>
    </row>
    <row r="43" spans="1:5" x14ac:dyDescent="0.25">
      <c r="B43" s="3">
        <f>SUM(B40:B42)</f>
        <v>369</v>
      </c>
    </row>
  </sheetData>
  <mergeCells count="5">
    <mergeCell ref="A4:B4"/>
    <mergeCell ref="A9:B9"/>
    <mergeCell ref="A2:B2"/>
    <mergeCell ref="A5:A8"/>
    <mergeCell ref="A3:B3"/>
  </mergeCells>
  <hyperlinks>
    <hyperlink ref="F2" r:id="rId1" xr:uid="{F90C173E-80E7-4B07-84A2-1F0FF484DDC7}"/>
    <hyperlink ref="B12" r:id="rId2" xr:uid="{723CAB56-E1E8-4C5C-A511-ACD4EE1DF42C}"/>
    <hyperlink ref="B14" r:id="rId3" xr:uid="{AC975443-F92A-4EAF-98B5-315222BFBB26}"/>
    <hyperlink ref="B16" r:id="rId4" xr:uid="{58AD2DC1-8091-429A-96E7-82B6E1B443DE}"/>
    <hyperlink ref="B18" r:id="rId5" xr:uid="{3C2FB5B4-F7BF-46C0-B0AF-190A8FA5DC08}"/>
    <hyperlink ref="B20" r:id="rId6" xr:uid="{77FE0617-1272-4DAA-9A02-2563E32CE952}"/>
    <hyperlink ref="B22" r:id="rId7" xr:uid="{18EC3976-148A-4A61-B7A8-5F7F3A0E0723}"/>
    <hyperlink ref="B24" r:id="rId8" xr:uid="{0AA35847-BE2F-4B7E-A30C-4FF1C21C6C76}"/>
    <hyperlink ref="B26" r:id="rId9" xr:uid="{CCD796FE-EF26-43A9-B8F2-C30B013A6955}"/>
    <hyperlink ref="B28" r:id="rId10" xr:uid="{3A134360-80EF-48D1-AB15-8ABF7F71C691}"/>
  </hyperlinks>
  <pageMargins left="0.7" right="0.7" top="0.75" bottom="0.75" header="0.3" footer="0.3"/>
  <pageSetup orientation="portrait" r:id="rId11"/>
  <ignoredErrors>
    <ignoredError sqref="C7" twoDigitTextYear="1"/>
  </ignoredErrors>
  <legacyDrawing r:id="rId1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B1078-D311-4F45-9D84-BC8590FFAC62}">
  <dimension ref="A2:B8"/>
  <sheetViews>
    <sheetView workbookViewId="0">
      <selection activeCell="A4" sqref="A4"/>
    </sheetView>
  </sheetViews>
  <sheetFormatPr defaultRowHeight="15" x14ac:dyDescent="0.25"/>
  <cols>
    <col min="1" max="1" width="54.85546875" style="123" customWidth="1"/>
    <col min="2" max="16384" width="9.140625" style="123"/>
  </cols>
  <sheetData>
    <row r="2" spans="1:2" ht="45" x14ac:dyDescent="0.25">
      <c r="A2" s="124" t="s">
        <v>337</v>
      </c>
      <c r="B2" s="125" t="s">
        <v>338</v>
      </c>
    </row>
    <row r="4" spans="1:2" ht="120" x14ac:dyDescent="0.25">
      <c r="A4" s="124" t="s">
        <v>339</v>
      </c>
      <c r="B4" s="125" t="s">
        <v>340</v>
      </c>
    </row>
    <row r="6" spans="1:2" ht="30" x14ac:dyDescent="0.25">
      <c r="A6" s="124" t="s">
        <v>341</v>
      </c>
      <c r="B6" s="125" t="s">
        <v>342</v>
      </c>
    </row>
    <row r="8" spans="1:2" ht="105" x14ac:dyDescent="0.25">
      <c r="A8" s="124" t="s">
        <v>345</v>
      </c>
      <c r="B8" s="125" t="s">
        <v>346</v>
      </c>
    </row>
  </sheetData>
  <hyperlinks>
    <hyperlink ref="B2" r:id="rId1" xr:uid="{C4748131-033D-4E1E-8695-E499FFC6671E}"/>
    <hyperlink ref="B4" r:id="rId2" xr:uid="{987A79FB-6F55-45EB-A4E5-234844E74216}"/>
    <hyperlink ref="B6" r:id="rId3" location=":~:text=Evonik%20is%20a%20leading%20global,570%2C000%20metric%20tons%20a%20year." display="https://corporate.evonik.com/de/presse/pressemitteilungen/products/evonik-strengthens-leading-market-position-in-superabsorbent-polymers-with-flexible-and-cost-optimiz-105083.html#:~:text=Evonik%20is%20a%20leading%20global,570%2C000%20metric%20tons%20a%20year." xr:uid="{E03F73F4-E533-4787-95C2-513496E84DA1}"/>
    <hyperlink ref="B8" r:id="rId4" xr:uid="{8D88E3C3-74E6-4100-832E-B0F96418F40A}"/>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Demand-Supply</vt:lpstr>
      <vt:lpstr>Value</vt:lpstr>
      <vt:lpstr>Company Shares</vt:lpstr>
      <vt:lpstr>LG Chem</vt:lpstr>
      <vt:lpstr>Sumitomo</vt:lpstr>
      <vt:lpstr>SDP</vt:lpstr>
      <vt:lpstr>Formosa</vt:lpstr>
      <vt:lpstr>Nippon</vt:lpstr>
      <vt:lpstr>Evonik</vt:lpstr>
      <vt:lpstr>Global Scenario</vt:lpstr>
      <vt:lpstr>Top Companies</vt:lpstr>
      <vt:lpstr>Diaper Manufacturing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Sidhi Mishra</dc:creator>
  <cp:lastModifiedBy>Hardik Malhotra</cp:lastModifiedBy>
  <dcterms:created xsi:type="dcterms:W3CDTF">2015-06-05T18:17:20Z</dcterms:created>
  <dcterms:modified xsi:type="dcterms:W3CDTF">2023-07-08T09:51:20Z</dcterms:modified>
</cp:coreProperties>
</file>